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O:\Person og krim\Statistikk og analyse (FNF)\RMørk\Livstatistikk - fra fno\Faste statistikker\MA\2024\Q1-2024\Publisert\"/>
    </mc:Choice>
  </mc:AlternateContent>
  <xr:revisionPtr revIDLastSave="0" documentId="13_ncr:1_{B44D5983-EAE8-4B14-9449-9A0034BE3CB7}" xr6:coauthVersionLast="47" xr6:coauthVersionMax="47" xr10:uidLastSave="{00000000-0000-0000-0000-000000000000}"/>
  <bookViews>
    <workbookView xWindow="-120" yWindow="-120" windowWidth="29040" windowHeight="15720" tabRatio="835" activeTab="1" xr2:uid="{00000000-000D-0000-FFFF-FFFF00000000}"/>
  </bookViews>
  <sheets>
    <sheet name="Forside" sheetId="80" r:id="rId1"/>
    <sheet name="Innhold" sheetId="7" r:id="rId2"/>
    <sheet name="Figurer" sheetId="8" r:id="rId3"/>
    <sheet name="Tabel 1.1" sheetId="9" r:id="rId4"/>
    <sheet name="Tabell 1.2" sheetId="10" r:id="rId5"/>
    <sheet name="Tabell 1.3" sheetId="58" r:id="rId6"/>
    <sheet name="Skjema total MA" sheetId="4" r:id="rId7"/>
    <sheet name="DNB Livsforsikring" sheetId="13" r:id="rId8"/>
    <sheet name="Eika Forsikring AS" sheetId="19" r:id="rId9"/>
    <sheet name="Euro Accident" sheetId="77" r:id="rId10"/>
    <sheet name="Fremtind Livsforsikring" sheetId="16" r:id="rId11"/>
    <sheet name="Frende Livsforsikring" sheetId="20" r:id="rId12"/>
    <sheet name="Frende Skadeforsikring" sheetId="21" r:id="rId13"/>
    <sheet name="Gjensidige Forsikring" sheetId="22" r:id="rId14"/>
    <sheet name="Gjensidige Pensjon" sheetId="23" r:id="rId15"/>
    <sheet name="If Skadeforsikring NUF" sheetId="25" r:id="rId16"/>
    <sheet name="KLP" sheetId="26" r:id="rId17"/>
    <sheet name="KLP Skadeforsikring AS" sheetId="51" r:id="rId18"/>
    <sheet name="Landkreditt Forsikring" sheetId="40" r:id="rId19"/>
    <sheet name="Ly Forsikring" sheetId="78" r:id="rId20"/>
    <sheet name="Nordea Liv " sheetId="29" r:id="rId21"/>
    <sheet name="Oslo Forsikring" sheetId="81" r:id="rId22"/>
    <sheet name="Oslo Pensjonsforsikring" sheetId="34" r:id="rId23"/>
    <sheet name="Protector Forsikring" sheetId="72" r:id="rId24"/>
    <sheet name="Sparebank 1" sheetId="33" r:id="rId25"/>
    <sheet name="Storebrand Livsforsikring" sheetId="37" r:id="rId26"/>
    <sheet name="Telenor Forsikring" sheetId="38" r:id="rId27"/>
    <sheet name="Tryg Forsikring" sheetId="39" r:id="rId28"/>
    <sheet name="WaterCircles F" sheetId="74" r:id="rId29"/>
    <sheet name="Youplus Livsforsikring" sheetId="79" r:id="rId30"/>
    <sheet name="Tabell 4" sheetId="65" r:id="rId31"/>
    <sheet name="Tabell 6" sheetId="62" r:id="rId32"/>
    <sheet name="Tabell 8" sheetId="75" r:id="rId33"/>
    <sheet name="Noter og kommentarer" sheetId="3" r:id="rId34"/>
  </sheets>
  <externalReferences>
    <externalReference r:id="rId35"/>
  </externalReferences>
  <definedNames>
    <definedName name="Dag">#REF!</definedName>
    <definedName name="Dager" localSheetId="21">#REF!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 localSheetId="21">#REF!</definedName>
    <definedName name="SelskapListe">#REF!</definedName>
    <definedName name="Selskapsliste">[1]Oppslagstabeller!$A$1:$G$36</definedName>
    <definedName name="UtfylteTall" localSheetId="21">#REF!</definedName>
    <definedName name="UtfylteTall">#REF!</definedName>
    <definedName name="_xlnm.Print_Area" localSheetId="10">'Fremtind Livsforsikring'!$A$1:$M$137</definedName>
    <definedName name="_xlnm.Print_Area" localSheetId="33">'Noter og kommentarer'!$A$1:$L$43</definedName>
    <definedName name="_xlnm.Print_Area" localSheetId="6">'Skjema total MA'!$A$1:$J$138</definedName>
    <definedName name="år">#REF!</definedName>
    <definedName name="ÅrFratrekk" localSheetId="21">#REF!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58" l="1"/>
  <c r="AB86" i="62"/>
  <c r="AB84" i="62"/>
  <c r="AB79" i="62"/>
  <c r="AB46" i="62"/>
  <c r="Y79" i="62"/>
  <c r="Y57" i="62"/>
  <c r="Y49" i="62"/>
  <c r="Y42" i="62"/>
  <c r="Y24" i="62"/>
  <c r="V42" i="62"/>
  <c r="S58" i="62"/>
  <c r="S56" i="62"/>
  <c r="S49" i="62"/>
  <c r="S26" i="62"/>
  <c r="S25" i="62"/>
  <c r="S24" i="62"/>
  <c r="S19" i="62"/>
  <c r="S18" i="62"/>
  <c r="S17" i="62"/>
  <c r="S15" i="62"/>
  <c r="P86" i="62"/>
  <c r="P83" i="62"/>
  <c r="P84" i="62"/>
  <c r="P79" i="62"/>
  <c r="P78" i="62"/>
  <c r="P52" i="62"/>
  <c r="M79" i="62"/>
  <c r="M77" i="62"/>
  <c r="M61" i="62"/>
  <c r="M49" i="62"/>
  <c r="M46" i="62"/>
  <c r="M40" i="62"/>
  <c r="M34" i="62"/>
  <c r="M19" i="62"/>
  <c r="M14" i="62"/>
  <c r="J70" i="62"/>
  <c r="J36" i="62"/>
  <c r="J17" i="62"/>
  <c r="G90" i="62"/>
  <c r="G89" i="62"/>
  <c r="G79" i="62"/>
  <c r="G75" i="62"/>
  <c r="G71" i="62"/>
  <c r="G37" i="62"/>
  <c r="G36" i="62"/>
  <c r="G34" i="62"/>
  <c r="G23" i="62"/>
  <c r="G19" i="62"/>
  <c r="G18" i="62"/>
  <c r="G17" i="62"/>
  <c r="D49" i="62"/>
  <c r="D46" i="62"/>
  <c r="D38" i="62"/>
  <c r="D19" i="62"/>
  <c r="D18" i="62"/>
  <c r="D17" i="62"/>
  <c r="AG84" i="62" l="1"/>
  <c r="AF84" i="62"/>
  <c r="AF76" i="62"/>
  <c r="V34" i="65" l="1"/>
  <c r="V28" i="65"/>
  <c r="V20" i="65"/>
  <c r="S28" i="65"/>
  <c r="P43" i="65"/>
  <c r="M26" i="65"/>
  <c r="M17" i="65"/>
  <c r="G34" i="65"/>
  <c r="G32" i="65"/>
  <c r="AJ20" i="65"/>
  <c r="AI20" i="65"/>
  <c r="AJ18" i="65"/>
  <c r="AI18" i="65"/>
  <c r="AJ17" i="65"/>
  <c r="AI17" i="65"/>
  <c r="AJ16" i="65"/>
  <c r="AI16" i="65"/>
  <c r="AJ15" i="65"/>
  <c r="AI15" i="65"/>
  <c r="AJ12" i="65"/>
  <c r="AI12" i="65"/>
  <c r="AJ11" i="65"/>
  <c r="AI11" i="65"/>
  <c r="AI13" i="65"/>
  <c r="AJ13" i="65"/>
  <c r="AJ22" i="62" l="1"/>
  <c r="AJ21" i="62"/>
  <c r="H23" i="9" l="1"/>
  <c r="N66" i="8" s="1"/>
  <c r="G23" i="9"/>
  <c r="G59" i="9" s="1"/>
  <c r="B23" i="9"/>
  <c r="D23" i="9" s="1"/>
  <c r="H59" i="9" l="1"/>
  <c r="M22" i="8"/>
  <c r="M66" i="8"/>
  <c r="B59" i="9"/>
  <c r="D59" i="9" s="1"/>
  <c r="V79" i="62"/>
  <c r="V78" i="62"/>
  <c r="V77" i="62"/>
  <c r="V21" i="62"/>
  <c r="AC93" i="62"/>
  <c r="AD80" i="62"/>
  <c r="AD93" i="62" s="1"/>
  <c r="AD39" i="62"/>
  <c r="AD45" i="62" s="1"/>
  <c r="AD20" i="62"/>
  <c r="AD27" i="62" s="1"/>
  <c r="AD29" i="62" s="1"/>
  <c r="AC20" i="62"/>
  <c r="AC27" i="62" s="1"/>
  <c r="AC29" i="62" s="1"/>
  <c r="AD30" i="65"/>
  <c r="AC30" i="65"/>
  <c r="AC35" i="65" s="1"/>
  <c r="AC42" i="65" s="1"/>
  <c r="AC44" i="65" s="1"/>
  <c r="AC46" i="65" s="1"/>
  <c r="AD21" i="65"/>
  <c r="AD14" i="65"/>
  <c r="AC14" i="65"/>
  <c r="AD35" i="65" l="1"/>
  <c r="AD42" i="65" s="1"/>
  <c r="AD44" i="65" s="1"/>
  <c r="AD46" i="65" s="1"/>
  <c r="AD62" i="62"/>
  <c r="AD64" i="62" s="1"/>
  <c r="AC64" i="62"/>
  <c r="U14" i="75" l="1"/>
  <c r="T14" i="75"/>
  <c r="U88" i="62"/>
  <c r="T88" i="62"/>
  <c r="U80" i="62"/>
  <c r="T80" i="62"/>
  <c r="U39" i="62"/>
  <c r="T39" i="62"/>
  <c r="U35" i="62"/>
  <c r="T35" i="62"/>
  <c r="T34" i="62"/>
  <c r="U28" i="62"/>
  <c r="T28" i="62"/>
  <c r="U20" i="62"/>
  <c r="T20" i="62"/>
  <c r="U16" i="62"/>
  <c r="T16" i="62"/>
  <c r="T15" i="62"/>
  <c r="U41" i="65"/>
  <c r="T41" i="65"/>
  <c r="U30" i="65"/>
  <c r="T30" i="65"/>
  <c r="U21" i="65"/>
  <c r="T21" i="65"/>
  <c r="U14" i="65"/>
  <c r="T14" i="65"/>
  <c r="U35" i="65" l="1"/>
  <c r="U42" i="65" s="1"/>
  <c r="U44" i="65" s="1"/>
  <c r="U46" i="65" s="1"/>
  <c r="T35" i="65"/>
  <c r="T42" i="65" s="1"/>
  <c r="T44" i="65" s="1"/>
  <c r="T46" i="65" s="1"/>
  <c r="U27" i="62"/>
  <c r="U29" i="62" s="1"/>
  <c r="U45" i="62"/>
  <c r="U62" i="62" s="1"/>
  <c r="U93" i="62"/>
  <c r="T45" i="62"/>
  <c r="T62" i="62" s="1"/>
  <c r="T93" i="62"/>
  <c r="T27" i="62"/>
  <c r="T29" i="62" s="1"/>
  <c r="D48" i="81"/>
  <c r="U64" i="62" l="1"/>
  <c r="T64" i="62"/>
  <c r="C47" i="81"/>
  <c r="C23" i="9" s="1"/>
  <c r="C59" i="9" l="1"/>
  <c r="N22" i="8"/>
  <c r="D47" i="81"/>
  <c r="AA87" i="62" l="1"/>
  <c r="Z87" i="62"/>
  <c r="Z80" i="62"/>
  <c r="AA76" i="62"/>
  <c r="AA54" i="62"/>
  <c r="Z54" i="62"/>
  <c r="AA53" i="62"/>
  <c r="AA50" i="62" s="1"/>
  <c r="Z53" i="62"/>
  <c r="AA39" i="62"/>
  <c r="Z39" i="62"/>
  <c r="AA38" i="62"/>
  <c r="AA35" i="62" s="1"/>
  <c r="Z38" i="62"/>
  <c r="Z35" i="62" s="1"/>
  <c r="AA28" i="62"/>
  <c r="Z28" i="62"/>
  <c r="AA20" i="62"/>
  <c r="Z20" i="62"/>
  <c r="AA19" i="62"/>
  <c r="AA16" i="62" s="1"/>
  <c r="Z19" i="62"/>
  <c r="Z16" i="62" s="1"/>
  <c r="Z50" i="62" l="1"/>
  <c r="AB53" i="62"/>
  <c r="AA80" i="62"/>
  <c r="AG76" i="62"/>
  <c r="AA60" i="62"/>
  <c r="Z45" i="62"/>
  <c r="AA45" i="62"/>
  <c r="Z93" i="62"/>
  <c r="Z27" i="62"/>
  <c r="Z29" i="62" s="1"/>
  <c r="AA27" i="62"/>
  <c r="AA29" i="62" s="1"/>
  <c r="AA93" i="62"/>
  <c r="Z60" i="62" l="1"/>
  <c r="Z62" i="62" s="1"/>
  <c r="Z64" i="62" s="1"/>
  <c r="AB50" i="62"/>
  <c r="AA62" i="62"/>
  <c r="AA64" i="62" s="1"/>
  <c r="X87" i="62"/>
  <c r="W87" i="62"/>
  <c r="X80" i="62"/>
  <c r="W80" i="62"/>
  <c r="X54" i="62"/>
  <c r="W54" i="62"/>
  <c r="X50" i="62"/>
  <c r="W50" i="62"/>
  <c r="Y50" i="62" s="1"/>
  <c r="X39" i="62"/>
  <c r="W39" i="62"/>
  <c r="X35" i="62"/>
  <c r="W35" i="62"/>
  <c r="X20" i="62"/>
  <c r="W20" i="62"/>
  <c r="X16" i="62"/>
  <c r="W16" i="62"/>
  <c r="X27" i="62" l="1"/>
  <c r="X29" i="62" s="1"/>
  <c r="X60" i="62"/>
  <c r="W93" i="62"/>
  <c r="W45" i="62"/>
  <c r="W27" i="62"/>
  <c r="W29" i="62" s="1"/>
  <c r="W60" i="62"/>
  <c r="W62" i="62" s="1"/>
  <c r="X45" i="62"/>
  <c r="X62" i="62" s="1"/>
  <c r="X64" i="62" s="1"/>
  <c r="X93" i="62"/>
  <c r="W64" i="62" l="1"/>
  <c r="R87" i="62"/>
  <c r="Q87" i="62"/>
  <c r="R80" i="62"/>
  <c r="Q80" i="62"/>
  <c r="R54" i="62"/>
  <c r="Q54" i="62"/>
  <c r="R39" i="62"/>
  <c r="Q39" i="62"/>
  <c r="R35" i="62"/>
  <c r="Q35" i="62"/>
  <c r="R20" i="62"/>
  <c r="Q20" i="62"/>
  <c r="R16" i="62"/>
  <c r="Q16" i="62"/>
  <c r="S16" i="62" s="1"/>
  <c r="Q45" i="62" l="1"/>
  <c r="Q93" i="62"/>
  <c r="Q27" i="62"/>
  <c r="Q29" i="62" s="1"/>
  <c r="Q60" i="62"/>
  <c r="R27" i="62"/>
  <c r="R29" i="62" s="1"/>
  <c r="R60" i="62"/>
  <c r="R45" i="62"/>
  <c r="R93" i="62"/>
  <c r="R62" i="62" l="1"/>
  <c r="R64" i="62" s="1"/>
  <c r="Q62" i="62"/>
  <c r="Q64" i="62" s="1"/>
  <c r="I80" i="62"/>
  <c r="H80" i="62"/>
  <c r="H93" i="62" s="1"/>
  <c r="I39" i="62"/>
  <c r="H39" i="62"/>
  <c r="I35" i="62"/>
  <c r="H35" i="62"/>
  <c r="I20" i="62"/>
  <c r="H20" i="62"/>
  <c r="I16" i="62"/>
  <c r="H16" i="62"/>
  <c r="J16" i="62" s="1"/>
  <c r="H45" i="62" l="1"/>
  <c r="J35" i="62"/>
  <c r="I27" i="62"/>
  <c r="I29" i="62" s="1"/>
  <c r="H62" i="62"/>
  <c r="I93" i="62"/>
  <c r="I45" i="62"/>
  <c r="H27" i="62"/>
  <c r="H29" i="62" s="1"/>
  <c r="I62" i="62" l="1"/>
  <c r="I64" i="62" s="1"/>
  <c r="H64" i="62"/>
  <c r="L87" i="62"/>
  <c r="K87" i="62"/>
  <c r="L80" i="62"/>
  <c r="L93" i="62" s="1"/>
  <c r="K80" i="62"/>
  <c r="K93" i="62" s="1"/>
  <c r="L54" i="62"/>
  <c r="K54" i="62"/>
  <c r="L39" i="62"/>
  <c r="K39" i="62"/>
  <c r="L35" i="62"/>
  <c r="L45" i="62" s="1"/>
  <c r="K35" i="62"/>
  <c r="K45" i="62" s="1"/>
  <c r="L20" i="62"/>
  <c r="K20" i="62"/>
  <c r="L16" i="62"/>
  <c r="K16" i="62"/>
  <c r="M16" i="62" s="1"/>
  <c r="L27" i="62" l="1"/>
  <c r="L29" i="62" s="1"/>
  <c r="L60" i="62"/>
  <c r="L62" i="62" s="1"/>
  <c r="L64" i="62" s="1"/>
  <c r="K27" i="62"/>
  <c r="K29" i="62" s="1"/>
  <c r="K60" i="62"/>
  <c r="K62" i="62" s="1"/>
  <c r="K64" i="62" l="1"/>
  <c r="N14" i="75"/>
  <c r="O87" i="62"/>
  <c r="N87" i="62"/>
  <c r="O80" i="62"/>
  <c r="O93" i="62" s="1"/>
  <c r="N80" i="62"/>
  <c r="N93" i="62" s="1"/>
  <c r="O54" i="62"/>
  <c r="N54" i="62"/>
  <c r="O50" i="62"/>
  <c r="N50" i="62"/>
  <c r="O39" i="62"/>
  <c r="N39" i="62"/>
  <c r="O35" i="62"/>
  <c r="O45" i="62" s="1"/>
  <c r="N35" i="62"/>
  <c r="N45" i="62" s="1"/>
  <c r="O20" i="62"/>
  <c r="N20" i="62"/>
  <c r="O16" i="62"/>
  <c r="N16" i="62"/>
  <c r="N46" i="65"/>
  <c r="O41" i="65"/>
  <c r="N35" i="65"/>
  <c r="O30" i="65"/>
  <c r="O21" i="65"/>
  <c r="O14" i="65"/>
  <c r="O27" i="62" l="1"/>
  <c r="O29" i="62" s="1"/>
  <c r="N27" i="62"/>
  <c r="N29" i="62" s="1"/>
  <c r="O35" i="65"/>
  <c r="O42" i="65" s="1"/>
  <c r="O44" i="65" s="1"/>
  <c r="O46" i="65" s="1"/>
  <c r="N60" i="62"/>
  <c r="N62" i="62" s="1"/>
  <c r="O60" i="62"/>
  <c r="O62" i="62" s="1"/>
  <c r="N64" i="62" l="1"/>
  <c r="O64" i="62"/>
  <c r="F80" i="62"/>
  <c r="E80" i="62"/>
  <c r="F39" i="62"/>
  <c r="E39" i="62"/>
  <c r="F35" i="62"/>
  <c r="E35" i="62"/>
  <c r="G35" i="62" s="1"/>
  <c r="E20" i="62"/>
  <c r="F16" i="62"/>
  <c r="F27" i="62" s="1"/>
  <c r="F29" i="62" s="1"/>
  <c r="E16" i="62"/>
  <c r="G16" i="62" s="1"/>
  <c r="F41" i="65"/>
  <c r="E41" i="65"/>
  <c r="F30" i="65"/>
  <c r="E30" i="65"/>
  <c r="F21" i="65"/>
  <c r="E21" i="65"/>
  <c r="F14" i="65"/>
  <c r="E14" i="65"/>
  <c r="D10" i="16"/>
  <c r="D9" i="16"/>
  <c r="D8" i="16"/>
  <c r="D7" i="16"/>
  <c r="E35" i="65" l="1"/>
  <c r="E42" i="65" s="1"/>
  <c r="E44" i="65" s="1"/>
  <c r="E46" i="65" s="1"/>
  <c r="E93" i="62"/>
  <c r="E45" i="62"/>
  <c r="F45" i="62"/>
  <c r="F93" i="62"/>
  <c r="E27" i="62"/>
  <c r="E29" i="62" s="1"/>
  <c r="F35" i="65"/>
  <c r="F42" i="65" s="1"/>
  <c r="F44" i="65" s="1"/>
  <c r="F46" i="65" s="1"/>
  <c r="E62" i="62" l="1"/>
  <c r="E64" i="62" s="1"/>
  <c r="F62" i="62"/>
  <c r="F64" i="62" s="1"/>
  <c r="C87" i="62"/>
  <c r="B87" i="62"/>
  <c r="C80" i="62"/>
  <c r="B80" i="62"/>
  <c r="B93" i="62" s="1"/>
  <c r="C54" i="62"/>
  <c r="B54" i="62"/>
  <c r="B60" i="62" s="1"/>
  <c r="C39" i="62"/>
  <c r="B39" i="62"/>
  <c r="C35" i="62"/>
  <c r="B35" i="62"/>
  <c r="C20" i="62"/>
  <c r="AJ20" i="62" s="1"/>
  <c r="B20" i="62"/>
  <c r="C16" i="62"/>
  <c r="C27" i="62" s="1"/>
  <c r="C29" i="62" s="1"/>
  <c r="B16" i="62"/>
  <c r="D16" i="62" s="1"/>
  <c r="C41" i="65"/>
  <c r="B41" i="65"/>
  <c r="C30" i="65"/>
  <c r="B30" i="65"/>
  <c r="C21" i="65"/>
  <c r="B21" i="65"/>
  <c r="C14" i="65"/>
  <c r="B14" i="65"/>
  <c r="C35" i="65" l="1"/>
  <c r="C42" i="65" s="1"/>
  <c r="C44" i="65" s="1"/>
  <c r="C46" i="65" s="1"/>
  <c r="AJ29" i="62"/>
  <c r="AG29" i="62"/>
  <c r="B45" i="62"/>
  <c r="B62" i="62" s="1"/>
  <c r="C45" i="62"/>
  <c r="C93" i="62"/>
  <c r="C60" i="62"/>
  <c r="C62" i="62" s="1"/>
  <c r="C64" i="62" s="1"/>
  <c r="B35" i="65"/>
  <c r="B42" i="65" s="1"/>
  <c r="B44" i="65" s="1"/>
  <c r="B46" i="65" s="1"/>
  <c r="B27" i="62"/>
  <c r="B29" i="62" s="1"/>
  <c r="B64" i="62" l="1"/>
  <c r="I41" i="65"/>
  <c r="H41" i="65"/>
  <c r="I30" i="65"/>
  <c r="H30" i="65"/>
  <c r="I21" i="65"/>
  <c r="H21" i="65"/>
  <c r="I14" i="65"/>
  <c r="H14" i="65"/>
  <c r="I35" i="65" l="1"/>
  <c r="I42" i="65" s="1"/>
  <c r="I44" i="65" s="1"/>
  <c r="I46" i="65" s="1"/>
  <c r="H35" i="65"/>
  <c r="H42" i="65" s="1"/>
  <c r="H44" i="65" s="1"/>
  <c r="H46" i="65" s="1"/>
  <c r="L41" i="65" l="1"/>
  <c r="K41" i="65"/>
  <c r="L30" i="65"/>
  <c r="K30" i="65"/>
  <c r="L21" i="65"/>
  <c r="K21" i="65"/>
  <c r="L14" i="65"/>
  <c r="K14" i="65"/>
  <c r="X41" i="65"/>
  <c r="W41" i="65"/>
  <c r="X30" i="65"/>
  <c r="W30" i="65"/>
  <c r="X21" i="65"/>
  <c r="W21" i="65"/>
  <c r="X14" i="65"/>
  <c r="W14" i="65"/>
  <c r="K35" i="65" l="1"/>
  <c r="K42" i="65" s="1"/>
  <c r="K44" i="65" s="1"/>
  <c r="K46" i="65" s="1"/>
  <c r="L35" i="65"/>
  <c r="L42" i="65" s="1"/>
  <c r="L44" i="65" s="1"/>
  <c r="L46" i="65" s="1"/>
  <c r="X35" i="65"/>
  <c r="X42" i="65" s="1"/>
  <c r="X44" i="65" s="1"/>
  <c r="X46" i="65" s="1"/>
  <c r="W35" i="65"/>
  <c r="W42" i="65" s="1"/>
  <c r="W44" i="65" s="1"/>
  <c r="W46" i="65" s="1"/>
  <c r="AA18" i="75" l="1"/>
  <c r="AA41" i="65"/>
  <c r="Z41" i="65"/>
  <c r="AA30" i="65"/>
  <c r="Z30" i="65"/>
  <c r="AA19" i="65"/>
  <c r="Z19" i="65"/>
  <c r="AA14" i="65"/>
  <c r="Z14" i="65"/>
  <c r="Z21" i="65" l="1"/>
  <c r="AI19" i="65"/>
  <c r="AA21" i="65"/>
  <c r="AJ19" i="65"/>
  <c r="AA35" i="65"/>
  <c r="AA42" i="65" s="1"/>
  <c r="AA44" i="65" s="1"/>
  <c r="AA46" i="65" s="1"/>
  <c r="Z35" i="65"/>
  <c r="Z42" i="65" s="1"/>
  <c r="Z44" i="65" s="1"/>
  <c r="Z46" i="65" s="1"/>
  <c r="R41" i="65" l="1"/>
  <c r="Q41" i="65"/>
  <c r="R30" i="65"/>
  <c r="Q30" i="65"/>
  <c r="R21" i="65"/>
  <c r="AJ21" i="65" s="1"/>
  <c r="Q21" i="65"/>
  <c r="AI21" i="65" s="1"/>
  <c r="R14" i="65"/>
  <c r="AJ14" i="65" s="1"/>
  <c r="Q14" i="65"/>
  <c r="AI14" i="65" s="1"/>
  <c r="Q35" i="65" l="1"/>
  <c r="Q42" i="65" s="1"/>
  <c r="Q44" i="65" s="1"/>
  <c r="Q46" i="65" s="1"/>
  <c r="R35" i="65"/>
  <c r="R42" i="65" s="1"/>
  <c r="R44" i="65" s="1"/>
  <c r="R46" i="65" s="1"/>
  <c r="G26" i="10" l="1"/>
  <c r="G16" i="10"/>
  <c r="AD20" i="75" l="1"/>
  <c r="AC20" i="75"/>
  <c r="AE20" i="75" s="1"/>
  <c r="D20" i="75"/>
  <c r="AD18" i="75"/>
  <c r="AC18" i="75"/>
  <c r="AB18" i="75"/>
  <c r="Y18" i="75"/>
  <c r="V18" i="75"/>
  <c r="S18" i="75"/>
  <c r="P18" i="75"/>
  <c r="M18" i="75"/>
  <c r="J18" i="75"/>
  <c r="G18" i="75"/>
  <c r="D18" i="75"/>
  <c r="AC16" i="75"/>
  <c r="D16" i="75"/>
  <c r="AE14" i="75"/>
  <c r="AB14" i="75"/>
  <c r="Y14" i="75"/>
  <c r="S14" i="75"/>
  <c r="P14" i="75"/>
  <c r="M14" i="75"/>
  <c r="J14" i="75"/>
  <c r="G14" i="75"/>
  <c r="D14" i="75"/>
  <c r="D12" i="75"/>
  <c r="AE11" i="75"/>
  <c r="D11" i="75"/>
  <c r="AD8" i="75"/>
  <c r="AC8" i="75"/>
  <c r="AA8" i="75"/>
  <c r="Z8" i="75"/>
  <c r="X8" i="75"/>
  <c r="W8" i="75"/>
  <c r="U8" i="75"/>
  <c r="T8" i="75"/>
  <c r="R8" i="75"/>
  <c r="Q8" i="75"/>
  <c r="O8" i="75"/>
  <c r="N8" i="75"/>
  <c r="L8" i="75"/>
  <c r="K8" i="75"/>
  <c r="I8" i="75"/>
  <c r="H8" i="75"/>
  <c r="F8" i="75"/>
  <c r="E8" i="75"/>
  <c r="AI93" i="62"/>
  <c r="AF93" i="62"/>
  <c r="AJ91" i="62"/>
  <c r="AI91" i="62"/>
  <c r="AG91" i="62"/>
  <c r="AF91" i="62"/>
  <c r="AE91" i="62"/>
  <c r="AB91" i="62"/>
  <c r="Y91" i="62"/>
  <c r="V91" i="62"/>
  <c r="S91" i="62"/>
  <c r="P91" i="62"/>
  <c r="M91" i="62"/>
  <c r="J91" i="62"/>
  <c r="D91" i="62"/>
  <c r="AJ90" i="62"/>
  <c r="AI90" i="62"/>
  <c r="AG90" i="62"/>
  <c r="AF90" i="62"/>
  <c r="AE90" i="62"/>
  <c r="AB90" i="62"/>
  <c r="Y90" i="62"/>
  <c r="V90" i="62"/>
  <c r="S90" i="62"/>
  <c r="P90" i="62"/>
  <c r="M90" i="62"/>
  <c r="D90" i="62"/>
  <c r="AJ89" i="62"/>
  <c r="AI89" i="62"/>
  <c r="AG89" i="62"/>
  <c r="AF89" i="62"/>
  <c r="Y89" i="62"/>
  <c r="AJ88" i="62"/>
  <c r="AI88" i="62"/>
  <c r="AG88" i="62"/>
  <c r="AF88" i="62"/>
  <c r="AB88" i="62"/>
  <c r="Y88" i="62"/>
  <c r="V88" i="62"/>
  <c r="S88" i="62"/>
  <c r="P88" i="62"/>
  <c r="M88" i="62"/>
  <c r="J88" i="62"/>
  <c r="G88" i="62"/>
  <c r="D88" i="62"/>
  <c r="S87" i="62"/>
  <c r="P87" i="62"/>
  <c r="AJ86" i="62"/>
  <c r="AI86" i="62"/>
  <c r="AG86" i="62"/>
  <c r="AF86" i="62"/>
  <c r="AJ85" i="62"/>
  <c r="AI85" i="62"/>
  <c r="AG85" i="62"/>
  <c r="AF85" i="62"/>
  <c r="AB85" i="62"/>
  <c r="Y85" i="62"/>
  <c r="P85" i="62"/>
  <c r="M85" i="62"/>
  <c r="D85" i="62"/>
  <c r="AJ84" i="62"/>
  <c r="AI84" i="62"/>
  <c r="AI83" i="62"/>
  <c r="AK83" i="62" s="1"/>
  <c r="AF83" i="62"/>
  <c r="AH83" i="62" s="1"/>
  <c r="AJ82" i="62"/>
  <c r="AI82" i="62"/>
  <c r="AG82" i="62"/>
  <c r="AF82" i="62"/>
  <c r="AB82" i="62"/>
  <c r="Y82" i="62"/>
  <c r="S82" i="62"/>
  <c r="P82" i="62"/>
  <c r="M82" i="62"/>
  <c r="D82" i="62"/>
  <c r="AI80" i="62"/>
  <c r="AF80" i="62"/>
  <c r="AB80" i="62"/>
  <c r="S80" i="62"/>
  <c r="AJ79" i="62"/>
  <c r="AI79" i="62"/>
  <c r="AG79" i="62"/>
  <c r="AF79" i="62"/>
  <c r="AJ78" i="62"/>
  <c r="AI78" i="62"/>
  <c r="AG78" i="62"/>
  <c r="AF78" i="62"/>
  <c r="AB78" i="62"/>
  <c r="D78" i="62"/>
  <c r="AJ77" i="62"/>
  <c r="AI77" i="62"/>
  <c r="AG77" i="62"/>
  <c r="AF77" i="62"/>
  <c r="AB77" i="62"/>
  <c r="Y77" i="62"/>
  <c r="S77" i="62"/>
  <c r="P77" i="62"/>
  <c r="D77" i="62"/>
  <c r="AJ76" i="62"/>
  <c r="AI76" i="62"/>
  <c r="AH76" i="62"/>
  <c r="AB76" i="62"/>
  <c r="Y76" i="62"/>
  <c r="V76" i="62"/>
  <c r="S76" i="62"/>
  <c r="P76" i="62"/>
  <c r="M76" i="62"/>
  <c r="G76" i="62"/>
  <c r="D76" i="62"/>
  <c r="AI75" i="62"/>
  <c r="AK75" i="62" s="1"/>
  <c r="AF75" i="62"/>
  <c r="AH75" i="62" s="1"/>
  <c r="AB75" i="62"/>
  <c r="Y75" i="62"/>
  <c r="S75" i="62"/>
  <c r="P75" i="62"/>
  <c r="D75" i="62"/>
  <c r="AI74" i="62"/>
  <c r="AK74" i="62" s="1"/>
  <c r="AF74" i="62"/>
  <c r="AH74" i="62" s="1"/>
  <c r="AB74" i="62"/>
  <c r="Y74" i="62"/>
  <c r="S74" i="62"/>
  <c r="M74" i="62"/>
  <c r="J74" i="62"/>
  <c r="D74" i="62"/>
  <c r="AJ73" i="62"/>
  <c r="AI73" i="62"/>
  <c r="AG73" i="62"/>
  <c r="AF73" i="62"/>
  <c r="AE73" i="62"/>
  <c r="AB73" i="62"/>
  <c r="Y73" i="62"/>
  <c r="V73" i="62"/>
  <c r="S73" i="62"/>
  <c r="P73" i="62"/>
  <c r="M73" i="62"/>
  <c r="J73" i="62"/>
  <c r="G73" i="62"/>
  <c r="D73" i="62"/>
  <c r="AJ71" i="62"/>
  <c r="AI71" i="62"/>
  <c r="AG71" i="62"/>
  <c r="AF71" i="62"/>
  <c r="AB71" i="62"/>
  <c r="V71" i="62"/>
  <c r="S71" i="62"/>
  <c r="P71" i="62"/>
  <c r="D71" i="62"/>
  <c r="AJ70" i="62"/>
  <c r="AI70" i="62"/>
  <c r="AG70" i="62"/>
  <c r="AF70" i="62"/>
  <c r="AB70" i="62"/>
  <c r="Y70" i="62"/>
  <c r="S70" i="62"/>
  <c r="P70" i="62"/>
  <c r="M70" i="62"/>
  <c r="D70" i="62"/>
  <c r="AJ69" i="62"/>
  <c r="AI69" i="62"/>
  <c r="AG69" i="62"/>
  <c r="AF69" i="62"/>
  <c r="AE69" i="62"/>
  <c r="AB69" i="62"/>
  <c r="Y69" i="62"/>
  <c r="V69" i="62"/>
  <c r="S69" i="62"/>
  <c r="P69" i="62"/>
  <c r="M69" i="62"/>
  <c r="J69" i="62"/>
  <c r="G69" i="62"/>
  <c r="D69" i="62"/>
  <c r="AJ68" i="62"/>
  <c r="AI68" i="62"/>
  <c r="AG68" i="62"/>
  <c r="AF68" i="62"/>
  <c r="AE68" i="62"/>
  <c r="AB68" i="62"/>
  <c r="Y68" i="62"/>
  <c r="V68" i="62"/>
  <c r="S68" i="62"/>
  <c r="P68" i="62"/>
  <c r="M68" i="62"/>
  <c r="J68" i="62"/>
  <c r="G68" i="62"/>
  <c r="D68" i="62"/>
  <c r="AI64" i="62"/>
  <c r="AF64" i="62"/>
  <c r="AJ61" i="62"/>
  <c r="AI61" i="62"/>
  <c r="AG61" i="62"/>
  <c r="AF61" i="62"/>
  <c r="AJ59" i="62"/>
  <c r="AG59" i="62"/>
  <c r="AB59" i="62"/>
  <c r="Y59" i="62"/>
  <c r="S59" i="62"/>
  <c r="P59" i="62"/>
  <c r="AJ58" i="62"/>
  <c r="AI58" i="62"/>
  <c r="AG58" i="62"/>
  <c r="AF58" i="62"/>
  <c r="AB58" i="62"/>
  <c r="P58" i="62"/>
  <c r="AJ57" i="62"/>
  <c r="AI57" i="62"/>
  <c r="AG57" i="62"/>
  <c r="AF57" i="62"/>
  <c r="AB57" i="62"/>
  <c r="P57" i="62"/>
  <c r="M57" i="62"/>
  <c r="D57" i="62"/>
  <c r="AJ56" i="62"/>
  <c r="AI56" i="62"/>
  <c r="AG56" i="62"/>
  <c r="AF56" i="62"/>
  <c r="Y56" i="62"/>
  <c r="P56" i="62"/>
  <c r="M56" i="62"/>
  <c r="D56" i="62"/>
  <c r="AJ55" i="62"/>
  <c r="AG55" i="62"/>
  <c r="AB55" i="62"/>
  <c r="Y55" i="62"/>
  <c r="S55" i="62"/>
  <c r="P55" i="62"/>
  <c r="M55" i="62"/>
  <c r="AF55" i="62"/>
  <c r="D55" i="62"/>
  <c r="AJ53" i="62"/>
  <c r="AI53" i="62"/>
  <c r="AG53" i="62"/>
  <c r="AF53" i="62"/>
  <c r="AJ52" i="62"/>
  <c r="AI52" i="62"/>
  <c r="AG52" i="62"/>
  <c r="AF52" i="62"/>
  <c r="AJ51" i="62"/>
  <c r="AI51" i="62"/>
  <c r="AG51" i="62"/>
  <c r="AF51" i="62"/>
  <c r="P51" i="62"/>
  <c r="AJ49" i="62"/>
  <c r="AI49" i="62"/>
  <c r="AG49" i="62"/>
  <c r="AF49" i="62"/>
  <c r="AB49" i="62"/>
  <c r="P49" i="62"/>
  <c r="AJ48" i="62"/>
  <c r="AI48" i="62"/>
  <c r="AG48" i="62"/>
  <c r="AF48" i="62"/>
  <c r="AH48" i="62" s="1"/>
  <c r="AJ46" i="62"/>
  <c r="AI46" i="62"/>
  <c r="AG46" i="62"/>
  <c r="AF46" i="62"/>
  <c r="Y46" i="62"/>
  <c r="S46" i="62"/>
  <c r="J46" i="62"/>
  <c r="G46" i="62"/>
  <c r="AJ44" i="62"/>
  <c r="AI44" i="62"/>
  <c r="AG44" i="62"/>
  <c r="AF44" i="62"/>
  <c r="AB44" i="62"/>
  <c r="Y44" i="62"/>
  <c r="V44" i="62"/>
  <c r="S44" i="62"/>
  <c r="P44" i="62"/>
  <c r="M44" i="62"/>
  <c r="J44" i="62"/>
  <c r="G44" i="62"/>
  <c r="D44" i="62"/>
  <c r="AJ43" i="62"/>
  <c r="AI43" i="62"/>
  <c r="AG43" i="62"/>
  <c r="AF43" i="62"/>
  <c r="AB43" i="62"/>
  <c r="Y43" i="62"/>
  <c r="V43" i="62"/>
  <c r="S43" i="62"/>
  <c r="P43" i="62"/>
  <c r="D43" i="62"/>
  <c r="AJ42" i="62"/>
  <c r="AI42" i="62"/>
  <c r="AG42" i="62"/>
  <c r="AF42" i="62"/>
  <c r="P42" i="62"/>
  <c r="D42" i="62"/>
  <c r="AJ41" i="62"/>
  <c r="AI41" i="62"/>
  <c r="AG41" i="62"/>
  <c r="AF41" i="62"/>
  <c r="AE41" i="62"/>
  <c r="AB41" i="62"/>
  <c r="Y41" i="62"/>
  <c r="V41" i="62"/>
  <c r="S41" i="62"/>
  <c r="P41" i="62"/>
  <c r="M41" i="62"/>
  <c r="J41" i="62"/>
  <c r="G41" i="62"/>
  <c r="D41" i="62"/>
  <c r="AJ40" i="62"/>
  <c r="AI40" i="62"/>
  <c r="AG40" i="62"/>
  <c r="AF40" i="62"/>
  <c r="AB40" i="62"/>
  <c r="Y40" i="62"/>
  <c r="V40" i="62"/>
  <c r="S40" i="62"/>
  <c r="P40" i="62"/>
  <c r="J40" i="62"/>
  <c r="G40" i="62"/>
  <c r="D40" i="62"/>
  <c r="AJ38" i="62"/>
  <c r="AG38" i="62"/>
  <c r="AF38" i="62"/>
  <c r="Y38" i="62"/>
  <c r="V38" i="62"/>
  <c r="S38" i="62"/>
  <c r="P38" i="62"/>
  <c r="M38" i="62"/>
  <c r="AJ37" i="62"/>
  <c r="AI37" i="62"/>
  <c r="AG37" i="62"/>
  <c r="AF37" i="62"/>
  <c r="Y37" i="62"/>
  <c r="S37" i="62"/>
  <c r="D37" i="62"/>
  <c r="AJ36" i="62"/>
  <c r="AI36" i="62"/>
  <c r="AG36" i="62"/>
  <c r="AF36" i="62"/>
  <c r="Y36" i="62"/>
  <c r="S36" i="62"/>
  <c r="D36" i="62"/>
  <c r="AJ34" i="62"/>
  <c r="AI34" i="62"/>
  <c r="AG34" i="62"/>
  <c r="AF34" i="62"/>
  <c r="AB34" i="62"/>
  <c r="Y34" i="62"/>
  <c r="V34" i="62"/>
  <c r="S34" i="62"/>
  <c r="P34" i="62"/>
  <c r="D34" i="62"/>
  <c r="AJ33" i="62"/>
  <c r="AI33" i="62"/>
  <c r="AG33" i="62"/>
  <c r="AF33" i="62"/>
  <c r="D33" i="62"/>
  <c r="AJ28" i="62"/>
  <c r="AG28" i="62"/>
  <c r="AF28" i="62"/>
  <c r="AE28" i="62"/>
  <c r="AB28" i="62"/>
  <c r="Y28" i="62"/>
  <c r="V28" i="62"/>
  <c r="S28" i="62"/>
  <c r="P28" i="62"/>
  <c r="M28" i="62"/>
  <c r="J28" i="62"/>
  <c r="G28" i="62"/>
  <c r="AI28" i="62"/>
  <c r="AJ26" i="62"/>
  <c r="AI26" i="62"/>
  <c r="AK26" i="62" s="1"/>
  <c r="AG26" i="62"/>
  <c r="AF26" i="62"/>
  <c r="AH26" i="62" s="1"/>
  <c r="AJ25" i="62"/>
  <c r="AI25" i="62"/>
  <c r="AG25" i="62"/>
  <c r="AF25" i="62"/>
  <c r="AE25" i="62"/>
  <c r="Y25" i="62"/>
  <c r="P25" i="62"/>
  <c r="J25" i="62"/>
  <c r="G25" i="62"/>
  <c r="D25" i="62"/>
  <c r="AJ24" i="62"/>
  <c r="AI24" i="62"/>
  <c r="AG24" i="62"/>
  <c r="AF24" i="62"/>
  <c r="AB24" i="62"/>
  <c r="V24" i="62"/>
  <c r="P24" i="62"/>
  <c r="D24" i="62"/>
  <c r="AJ23" i="62"/>
  <c r="AI23" i="62"/>
  <c r="AG23" i="62"/>
  <c r="AF23" i="62"/>
  <c r="Y23" i="62"/>
  <c r="S23" i="62"/>
  <c r="P23" i="62"/>
  <c r="D23" i="62"/>
  <c r="AI22" i="62"/>
  <c r="AG22" i="62"/>
  <c r="AF22" i="62"/>
  <c r="AB22" i="62"/>
  <c r="Y22" i="62"/>
  <c r="V22" i="62"/>
  <c r="S22" i="62"/>
  <c r="P22" i="62"/>
  <c r="M22" i="62"/>
  <c r="J22" i="62"/>
  <c r="G22" i="62"/>
  <c r="D22" i="62"/>
  <c r="AI21" i="62"/>
  <c r="AG21" i="62"/>
  <c r="AF21" i="62"/>
  <c r="AB21" i="62"/>
  <c r="Y21" i="62"/>
  <c r="S21" i="62"/>
  <c r="P21" i="62"/>
  <c r="M21" i="62"/>
  <c r="J21" i="62"/>
  <c r="D21" i="62"/>
  <c r="AE20" i="62"/>
  <c r="AB20" i="62"/>
  <c r="Y20" i="62"/>
  <c r="S20" i="62"/>
  <c r="P20" i="62"/>
  <c r="M20" i="62"/>
  <c r="J20" i="62"/>
  <c r="G20" i="62"/>
  <c r="AF20" i="62"/>
  <c r="AJ19" i="62"/>
  <c r="AG19" i="62"/>
  <c r="AF19" i="62"/>
  <c r="AB19" i="62"/>
  <c r="Y19" i="62"/>
  <c r="V19" i="62"/>
  <c r="P19" i="62"/>
  <c r="AJ18" i="62"/>
  <c r="AI18" i="62"/>
  <c r="AG18" i="62"/>
  <c r="AF18" i="62"/>
  <c r="Y18" i="62"/>
  <c r="P18" i="62"/>
  <c r="AJ17" i="62"/>
  <c r="AI17" i="62"/>
  <c r="AG17" i="62"/>
  <c r="AF17" i="62"/>
  <c r="Y17" i="62"/>
  <c r="P17" i="62"/>
  <c r="V16" i="62"/>
  <c r="P16" i="62"/>
  <c r="AJ15" i="62"/>
  <c r="AG15" i="62"/>
  <c r="AF15" i="62"/>
  <c r="AB15" i="62"/>
  <c r="Y15" i="62"/>
  <c r="V15" i="62"/>
  <c r="P15" i="62"/>
  <c r="AJ14" i="62"/>
  <c r="AI14" i="62"/>
  <c r="AG14" i="62"/>
  <c r="AF14" i="62"/>
  <c r="P14" i="62"/>
  <c r="F8" i="62"/>
  <c r="I8" i="62" s="1"/>
  <c r="L8" i="62" s="1"/>
  <c r="O8" i="62" s="1"/>
  <c r="R8" i="62" s="1"/>
  <c r="U8" i="62" s="1"/>
  <c r="X8" i="62" s="1"/>
  <c r="AA8" i="62" s="1"/>
  <c r="AD8" i="62" s="1"/>
  <c r="AG8" i="62" s="1"/>
  <c r="AJ8" i="62" s="1"/>
  <c r="E8" i="62"/>
  <c r="H8" i="62" s="1"/>
  <c r="K8" i="62" s="1"/>
  <c r="N8" i="62" s="1"/>
  <c r="Q8" i="62" s="1"/>
  <c r="T8" i="62" s="1"/>
  <c r="W8" i="62" s="1"/>
  <c r="Z8" i="62" s="1"/>
  <c r="AC8" i="62" s="1"/>
  <c r="AF8" i="62" s="1"/>
  <c r="AI8" i="62" s="1"/>
  <c r="AG45" i="65"/>
  <c r="AF45" i="65"/>
  <c r="AB45" i="65"/>
  <c r="S45" i="65"/>
  <c r="P45" i="65"/>
  <c r="AG43" i="65"/>
  <c r="AF43" i="65"/>
  <c r="AB43" i="65"/>
  <c r="Y43" i="65"/>
  <c r="V43" i="65"/>
  <c r="S43" i="65"/>
  <c r="M43" i="65"/>
  <c r="J43" i="65"/>
  <c r="G43" i="65"/>
  <c r="D43" i="65"/>
  <c r="P41" i="65"/>
  <c r="AG40" i="65"/>
  <c r="AF40" i="65"/>
  <c r="AB40" i="65"/>
  <c r="Y40" i="65"/>
  <c r="V40" i="65"/>
  <c r="S40" i="65"/>
  <c r="P40" i="65"/>
  <c r="M40" i="65"/>
  <c r="G40" i="65"/>
  <c r="D40" i="65"/>
  <c r="AG39" i="65"/>
  <c r="AF39" i="65"/>
  <c r="AB39" i="65"/>
  <c r="Y39" i="65"/>
  <c r="V39" i="65"/>
  <c r="S39" i="65"/>
  <c r="P39" i="65"/>
  <c r="D39" i="65"/>
  <c r="AG38" i="65"/>
  <c r="AF38" i="65"/>
  <c r="AB38" i="65"/>
  <c r="Y38" i="65"/>
  <c r="V38" i="65"/>
  <c r="S38" i="65"/>
  <c r="P38" i="65"/>
  <c r="M38" i="65"/>
  <c r="J38" i="65"/>
  <c r="G38" i="65"/>
  <c r="D38" i="65"/>
  <c r="AG34" i="65"/>
  <c r="AF34" i="65"/>
  <c r="AB34" i="65"/>
  <c r="Y34" i="65"/>
  <c r="S34" i="65"/>
  <c r="P34" i="65"/>
  <c r="D34" i="65"/>
  <c r="AG33" i="65"/>
  <c r="AF33" i="65"/>
  <c r="AE33" i="65"/>
  <c r="AB33" i="65"/>
  <c r="Y33" i="65"/>
  <c r="S33" i="65"/>
  <c r="P33" i="65"/>
  <c r="M33" i="65"/>
  <c r="J33" i="65"/>
  <c r="G33" i="65"/>
  <c r="D33" i="65"/>
  <c r="AG32" i="65"/>
  <c r="AF32" i="65"/>
  <c r="AB32" i="65"/>
  <c r="Y32" i="65"/>
  <c r="V32" i="65"/>
  <c r="S32" i="65"/>
  <c r="P32" i="65"/>
  <c r="M32" i="65"/>
  <c r="D32" i="65"/>
  <c r="AG31" i="65"/>
  <c r="AF31" i="65"/>
  <c r="AB31" i="65"/>
  <c r="Y31" i="65"/>
  <c r="S31" i="65"/>
  <c r="P31" i="65"/>
  <c r="M31" i="65"/>
  <c r="D31" i="65"/>
  <c r="AG29" i="65"/>
  <c r="AF29" i="65"/>
  <c r="AB29" i="65"/>
  <c r="S29" i="65"/>
  <c r="D29" i="65"/>
  <c r="AG28" i="65"/>
  <c r="AF28" i="65"/>
  <c r="AB28" i="65"/>
  <c r="J28" i="65"/>
  <c r="D28" i="65"/>
  <c r="AF27" i="65"/>
  <c r="AB27" i="65"/>
  <c r="Y27" i="65"/>
  <c r="S27" i="65"/>
  <c r="D27" i="65"/>
  <c r="AG26" i="65"/>
  <c r="AF26" i="65"/>
  <c r="AB26" i="65"/>
  <c r="Y26" i="65"/>
  <c r="V26" i="65"/>
  <c r="S26" i="65"/>
  <c r="D26" i="65"/>
  <c r="AF25" i="65"/>
  <c r="AB25" i="65"/>
  <c r="Y25" i="65"/>
  <c r="S25" i="65"/>
  <c r="M25" i="65"/>
  <c r="D25" i="65"/>
  <c r="AG24" i="65"/>
  <c r="AF24" i="65"/>
  <c r="AB24" i="65"/>
  <c r="Y24" i="65"/>
  <c r="S24" i="65"/>
  <c r="P24" i="65"/>
  <c r="M24" i="65"/>
  <c r="D24" i="65"/>
  <c r="AG23" i="65"/>
  <c r="AE23" i="65"/>
  <c r="AB23" i="65"/>
  <c r="Y23" i="65"/>
  <c r="V23" i="65"/>
  <c r="S23" i="65"/>
  <c r="P23" i="65"/>
  <c r="M23" i="65"/>
  <c r="J23" i="65"/>
  <c r="G23" i="65"/>
  <c r="D23" i="65"/>
  <c r="AG22" i="65"/>
  <c r="AF22" i="65"/>
  <c r="P21" i="65"/>
  <c r="AG20" i="65"/>
  <c r="AF20" i="65"/>
  <c r="AE20" i="65"/>
  <c r="AB20" i="65"/>
  <c r="Y20" i="65"/>
  <c r="S20" i="65"/>
  <c r="P20" i="65"/>
  <c r="M20" i="65"/>
  <c r="G20" i="65"/>
  <c r="D20" i="65"/>
  <c r="AG19" i="65"/>
  <c r="Y19" i="65"/>
  <c r="V19" i="65"/>
  <c r="S19" i="65"/>
  <c r="P19" i="65"/>
  <c r="J19" i="65"/>
  <c r="G19" i="65"/>
  <c r="D19" i="65"/>
  <c r="AG18" i="65"/>
  <c r="AF18" i="65"/>
  <c r="AG17" i="65"/>
  <c r="AF17" i="65"/>
  <c r="AB17" i="65"/>
  <c r="Y17" i="65"/>
  <c r="V17" i="65"/>
  <c r="S17" i="65"/>
  <c r="P17" i="65"/>
  <c r="G17" i="65"/>
  <c r="D17" i="65"/>
  <c r="AG16" i="65"/>
  <c r="AF16" i="65"/>
  <c r="AB16" i="65"/>
  <c r="Y16" i="65"/>
  <c r="S16" i="65"/>
  <c r="P16" i="65"/>
  <c r="M16" i="65"/>
  <c r="D16" i="65"/>
  <c r="AG15" i="65"/>
  <c r="AF15" i="65"/>
  <c r="AB15" i="65"/>
  <c r="Y15" i="65"/>
  <c r="V15" i="65"/>
  <c r="S15" i="65"/>
  <c r="P15" i="65"/>
  <c r="M15" i="65"/>
  <c r="J15" i="65"/>
  <c r="G15" i="65"/>
  <c r="D15" i="65"/>
  <c r="AG13" i="65"/>
  <c r="AF13" i="65"/>
  <c r="AE13" i="65"/>
  <c r="AB13" i="65"/>
  <c r="Y13" i="65"/>
  <c r="S13" i="65"/>
  <c r="P13" i="65"/>
  <c r="M13" i="65"/>
  <c r="D13" i="65"/>
  <c r="AG12" i="65"/>
  <c r="AF12" i="65"/>
  <c r="AE12" i="65"/>
  <c r="AB12" i="65"/>
  <c r="Y12" i="65"/>
  <c r="S12" i="65"/>
  <c r="M12" i="65"/>
  <c r="J12" i="65"/>
  <c r="G12" i="65"/>
  <c r="D12" i="65"/>
  <c r="AG11" i="65"/>
  <c r="AF11" i="65"/>
  <c r="AE11" i="65"/>
  <c r="AB11" i="65"/>
  <c r="Y11" i="65"/>
  <c r="V11" i="65"/>
  <c r="S11" i="65"/>
  <c r="P11" i="65"/>
  <c r="M11" i="65"/>
  <c r="J11" i="65"/>
  <c r="G11" i="65"/>
  <c r="D11" i="65"/>
  <c r="AJ8" i="65"/>
  <c r="AI8" i="65"/>
  <c r="AG8" i="65"/>
  <c r="AF8" i="65"/>
  <c r="AD8" i="65"/>
  <c r="AC8" i="65"/>
  <c r="AA8" i="65"/>
  <c r="Z8" i="65"/>
  <c r="X8" i="65"/>
  <c r="W8" i="65"/>
  <c r="U8" i="65"/>
  <c r="T8" i="65"/>
  <c r="R8" i="65"/>
  <c r="Q8" i="65"/>
  <c r="O8" i="65"/>
  <c r="N8" i="65"/>
  <c r="L8" i="65"/>
  <c r="K8" i="65"/>
  <c r="I8" i="65"/>
  <c r="H8" i="65"/>
  <c r="F8" i="65"/>
  <c r="E8" i="65"/>
  <c r="G14" i="58" l="1"/>
  <c r="G13" i="58"/>
  <c r="B20" i="58"/>
  <c r="B22" i="58"/>
  <c r="B14" i="58"/>
  <c r="B26" i="58"/>
  <c r="B27" i="58"/>
  <c r="B18" i="58"/>
  <c r="B11" i="58"/>
  <c r="B10" i="58"/>
  <c r="B29" i="58"/>
  <c r="G10" i="58"/>
  <c r="C10" i="58"/>
  <c r="B19" i="58"/>
  <c r="C29" i="58"/>
  <c r="B17" i="58"/>
  <c r="B9" i="58"/>
  <c r="B28" i="58"/>
  <c r="C13" i="58"/>
  <c r="C18" i="58"/>
  <c r="C22" i="58"/>
  <c r="C30" i="58"/>
  <c r="C14" i="58"/>
  <c r="C21" i="58"/>
  <c r="C26" i="58"/>
  <c r="AK56" i="62"/>
  <c r="AE18" i="75"/>
  <c r="AF23" i="65"/>
  <c r="AH23" i="65" s="1"/>
  <c r="AK44" i="62"/>
  <c r="AK57" i="62"/>
  <c r="AH24" i="65"/>
  <c r="AK77" i="62"/>
  <c r="AH12" i="65"/>
  <c r="AH11" i="65"/>
  <c r="AE14" i="65"/>
  <c r="P30" i="65"/>
  <c r="AH13" i="65"/>
  <c r="AH31" i="65"/>
  <c r="AH43" i="65"/>
  <c r="AH28" i="65"/>
  <c r="AB41" i="65"/>
  <c r="V14" i="65"/>
  <c r="AK13" i="65"/>
  <c r="S21" i="65"/>
  <c r="S41" i="65"/>
  <c r="AH22" i="62"/>
  <c r="AH25" i="62"/>
  <c r="AK28" i="62"/>
  <c r="AH38" i="62"/>
  <c r="V21" i="65"/>
  <c r="AH33" i="65"/>
  <c r="AH34" i="65"/>
  <c r="AH42" i="62"/>
  <c r="AH71" i="62"/>
  <c r="AK73" i="62"/>
  <c r="AK78" i="62"/>
  <c r="V14" i="75"/>
  <c r="V41" i="65"/>
  <c r="P39" i="62"/>
  <c r="AB39" i="62"/>
  <c r="AK42" i="62"/>
  <c r="AK85" i="62"/>
  <c r="AH88" i="62"/>
  <c r="G14" i="65"/>
  <c r="AH38" i="65"/>
  <c r="AH40" i="65"/>
  <c r="AK79" i="62"/>
  <c r="AH86" i="62"/>
  <c r="Y87" i="62"/>
  <c r="AK88" i="62"/>
  <c r="AK16" i="65"/>
  <c r="AH26" i="65"/>
  <c r="AE30" i="65"/>
  <c r="AH52" i="62"/>
  <c r="AH57" i="62"/>
  <c r="AH61" i="62"/>
  <c r="J80" i="62"/>
  <c r="AH28" i="62"/>
  <c r="M45" i="62"/>
  <c r="M14" i="65"/>
  <c r="Y14" i="65"/>
  <c r="AK12" i="65"/>
  <c r="AH17" i="65"/>
  <c r="V30" i="65"/>
  <c r="J41" i="65"/>
  <c r="AH14" i="62"/>
  <c r="AH23" i="62"/>
  <c r="M39" i="62"/>
  <c r="P54" i="62"/>
  <c r="AK58" i="62"/>
  <c r="AH73" i="62"/>
  <c r="P80" i="62"/>
  <c r="AH90" i="62"/>
  <c r="AK91" i="62"/>
  <c r="M41" i="65"/>
  <c r="D39" i="62"/>
  <c r="D80" i="62"/>
  <c r="AH16" i="65"/>
  <c r="G21" i="65"/>
  <c r="AB30" i="65"/>
  <c r="D41" i="65"/>
  <c r="AH45" i="65"/>
  <c r="AH17" i="62"/>
  <c r="AK24" i="62"/>
  <c r="AH37" i="62"/>
  <c r="AH55" i="62"/>
  <c r="AH69" i="62"/>
  <c r="C11" i="58"/>
  <c r="C12" i="58"/>
  <c r="M80" i="62"/>
  <c r="AH15" i="65"/>
  <c r="AK11" i="65"/>
  <c r="G30" i="65"/>
  <c r="V29" i="62"/>
  <c r="AG41" i="65"/>
  <c r="Y41" i="65"/>
  <c r="G45" i="62"/>
  <c r="G39" i="62"/>
  <c r="C17" i="58"/>
  <c r="AK17" i="65"/>
  <c r="AH29" i="65"/>
  <c r="AH32" i="65"/>
  <c r="AH39" i="65"/>
  <c r="AH33" i="62"/>
  <c r="Y35" i="62"/>
  <c r="C25" i="58"/>
  <c r="AG14" i="65"/>
  <c r="AK20" i="65"/>
  <c r="AH20" i="65"/>
  <c r="D30" i="65"/>
  <c r="AK86" i="62"/>
  <c r="AB87" i="62"/>
  <c r="C9" i="58"/>
  <c r="AH85" i="62"/>
  <c r="AH19" i="62"/>
  <c r="C19" i="58"/>
  <c r="AH34" i="62"/>
  <c r="AK37" i="62"/>
  <c r="AH44" i="62"/>
  <c r="AH49" i="62"/>
  <c r="Y54" i="62"/>
  <c r="AH58" i="62"/>
  <c r="AK70" i="62"/>
  <c r="AG80" i="62"/>
  <c r="AB93" i="62"/>
  <c r="J39" i="62"/>
  <c r="S39" i="62"/>
  <c r="C20" i="58"/>
  <c r="S35" i="62"/>
  <c r="C28" i="58"/>
  <c r="AH53" i="62"/>
  <c r="AK71" i="62"/>
  <c r="AH79" i="62"/>
  <c r="G80" i="62"/>
  <c r="AH15" i="62"/>
  <c r="AH21" i="62"/>
  <c r="AK43" i="62"/>
  <c r="C27" i="58"/>
  <c r="AH56" i="62"/>
  <c r="AH68" i="62"/>
  <c r="AK76" i="62"/>
  <c r="AH77" i="62"/>
  <c r="AK90" i="62"/>
  <c r="AK34" i="62"/>
  <c r="AK51" i="62"/>
  <c r="AK68" i="62"/>
  <c r="AK89" i="62"/>
  <c r="AH51" i="62"/>
  <c r="AK33" i="62"/>
  <c r="AK23" i="62"/>
  <c r="AK22" i="62"/>
  <c r="AH78" i="62"/>
  <c r="AK46" i="62"/>
  <c r="AH43" i="62"/>
  <c r="AH46" i="62"/>
  <c r="AK14" i="62"/>
  <c r="AK61" i="62"/>
  <c r="AH82" i="62"/>
  <c r="AK21" i="62"/>
  <c r="AK25" i="62"/>
  <c r="AK36" i="62"/>
  <c r="AK48" i="62"/>
  <c r="D27" i="58"/>
  <c r="AK49" i="62"/>
  <c r="AH18" i="62"/>
  <c r="AH24" i="62"/>
  <c r="AK53" i="62"/>
  <c r="AK69" i="62"/>
  <c r="AK18" i="62"/>
  <c r="AK17" i="62"/>
  <c r="AH70" i="62"/>
  <c r="Y29" i="62"/>
  <c r="AJ16" i="62"/>
  <c r="S54" i="62"/>
  <c r="S27" i="62"/>
  <c r="AB16" i="62"/>
  <c r="P29" i="62"/>
  <c r="AJ50" i="62"/>
  <c r="AG50" i="62"/>
  <c r="V20" i="62"/>
  <c r="D28" i="62"/>
  <c r="AE39" i="62"/>
  <c r="AK52" i="62"/>
  <c r="AI16" i="62"/>
  <c r="Y16" i="62"/>
  <c r="AI50" i="62"/>
  <c r="AF50" i="62"/>
  <c r="AI59" i="62"/>
  <c r="AK59" i="62" s="1"/>
  <c r="AF59" i="62"/>
  <c r="AH59" i="62" s="1"/>
  <c r="AK40" i="62"/>
  <c r="M59" i="62"/>
  <c r="AI55" i="62"/>
  <c r="AF16" i="62"/>
  <c r="AG20" i="62"/>
  <c r="AH20" i="62" s="1"/>
  <c r="AI20" i="62"/>
  <c r="Y27" i="62"/>
  <c r="AI39" i="62"/>
  <c r="AF39" i="62"/>
  <c r="AI15" i="62"/>
  <c r="D15" i="62"/>
  <c r="AG16" i="62"/>
  <c r="D20" i="62"/>
  <c r="V35" i="62"/>
  <c r="AI38" i="62"/>
  <c r="AJ39" i="62"/>
  <c r="V39" i="62"/>
  <c r="AJ54" i="62"/>
  <c r="AI87" i="62"/>
  <c r="AF87" i="62"/>
  <c r="AG35" i="62"/>
  <c r="AB56" i="62"/>
  <c r="AJ87" i="62"/>
  <c r="AG87" i="62"/>
  <c r="M35" i="62"/>
  <c r="Y80" i="62"/>
  <c r="AI19" i="62"/>
  <c r="P35" i="62"/>
  <c r="AH41" i="62"/>
  <c r="D54" i="62"/>
  <c r="AG54" i="62"/>
  <c r="D87" i="62"/>
  <c r="M87" i="62"/>
  <c r="AH89" i="62"/>
  <c r="AJ35" i="62"/>
  <c r="AE80" i="62"/>
  <c r="D35" i="62"/>
  <c r="AH36" i="62"/>
  <c r="AB38" i="62"/>
  <c r="AH40" i="62"/>
  <c r="AK41" i="62"/>
  <c r="P50" i="62"/>
  <c r="AK82" i="62"/>
  <c r="AH91" i="62"/>
  <c r="AJ80" i="62"/>
  <c r="Y39" i="62"/>
  <c r="AG39" i="62"/>
  <c r="V80" i="62"/>
  <c r="AF21" i="65"/>
  <c r="AE21" i="65"/>
  <c r="AB21" i="65"/>
  <c r="M21" i="65"/>
  <c r="AK15" i="65"/>
  <c r="P14" i="65"/>
  <c r="AF14" i="65"/>
  <c r="Y21" i="65"/>
  <c r="AG21" i="65"/>
  <c r="D35" i="65"/>
  <c r="G41" i="65"/>
  <c r="AF41" i="65"/>
  <c r="J21" i="65"/>
  <c r="AG30" i="65"/>
  <c r="S14" i="65"/>
  <c r="AB14" i="65"/>
  <c r="M19" i="65"/>
  <c r="AE19" i="65"/>
  <c r="D21" i="65"/>
  <c r="J30" i="65"/>
  <c r="S30" i="65"/>
  <c r="AB19" i="65"/>
  <c r="Y30" i="65"/>
  <c r="J14" i="65"/>
  <c r="D14" i="65"/>
  <c r="AF19" i="65"/>
  <c r="AH19" i="65" s="1"/>
  <c r="B34" i="58" l="1"/>
  <c r="B21" i="58"/>
  <c r="B13" i="58"/>
  <c r="B12" i="58"/>
  <c r="B25" i="58"/>
  <c r="B33" i="58" s="1"/>
  <c r="B30" i="58"/>
  <c r="D30" i="58" s="1"/>
  <c r="P35" i="65"/>
  <c r="D11" i="58"/>
  <c r="AB35" i="65"/>
  <c r="Y60" i="62"/>
  <c r="AH80" i="62"/>
  <c r="D18" i="58"/>
  <c r="D17" i="58"/>
  <c r="V27" i="62"/>
  <c r="D19" i="58"/>
  <c r="G93" i="62"/>
  <c r="AH41" i="65"/>
  <c r="J35" i="65"/>
  <c r="AF35" i="65"/>
  <c r="J27" i="62"/>
  <c r="C37" i="58"/>
  <c r="AE93" i="62"/>
  <c r="P27" i="62"/>
  <c r="J42" i="65"/>
  <c r="D22" i="58"/>
  <c r="C34" i="58"/>
  <c r="D29" i="58"/>
  <c r="AK80" i="62"/>
  <c r="D28" i="58"/>
  <c r="G35" i="65"/>
  <c r="C24" i="58"/>
  <c r="C38" i="58"/>
  <c r="C36" i="58"/>
  <c r="AK16" i="62"/>
  <c r="C33" i="58"/>
  <c r="C8" i="58"/>
  <c r="D26" i="58"/>
  <c r="G29" i="62"/>
  <c r="G27" i="62"/>
  <c r="C16" i="58"/>
  <c r="C35" i="58"/>
  <c r="D20" i="58"/>
  <c r="P93" i="62"/>
  <c r="AK15" i="62"/>
  <c r="AK55" i="62"/>
  <c r="AK19" i="62"/>
  <c r="AK38" i="62"/>
  <c r="D9" i="58"/>
  <c r="D14" i="58"/>
  <c r="B35" i="58"/>
  <c r="D10" i="58"/>
  <c r="AB35" i="62"/>
  <c r="AH39" i="62"/>
  <c r="AF35" i="62"/>
  <c r="D45" i="62"/>
  <c r="AF45" i="62"/>
  <c r="Y62" i="62"/>
  <c r="AB54" i="62"/>
  <c r="M27" i="62"/>
  <c r="AK39" i="62"/>
  <c r="S60" i="62"/>
  <c r="M54" i="62"/>
  <c r="AJ27" i="62"/>
  <c r="AG27" i="62"/>
  <c r="AK20" i="62"/>
  <c r="M93" i="62"/>
  <c r="S93" i="62"/>
  <c r="Y93" i="62"/>
  <c r="AF54" i="62"/>
  <c r="AJ60" i="62"/>
  <c r="AH16" i="62"/>
  <c r="V93" i="62"/>
  <c r="AH50" i="62"/>
  <c r="AK87" i="62"/>
  <c r="AG60" i="62"/>
  <c r="P45" i="62"/>
  <c r="V45" i="62"/>
  <c r="J29" i="62"/>
  <c r="AG45" i="62"/>
  <c r="AJ45" i="62"/>
  <c r="AB27" i="62"/>
  <c r="AI54" i="62"/>
  <c r="D93" i="62"/>
  <c r="AJ93" i="62"/>
  <c r="AG93" i="62"/>
  <c r="AI27" i="62"/>
  <c r="AF27" i="62"/>
  <c r="D27" i="62"/>
  <c r="AI35" i="62"/>
  <c r="AK50" i="62"/>
  <c r="P60" i="62"/>
  <c r="J93" i="62"/>
  <c r="S29" i="62"/>
  <c r="S45" i="62"/>
  <c r="AH87" i="62"/>
  <c r="AE27" i="62"/>
  <c r="J45" i="62"/>
  <c r="D60" i="62"/>
  <c r="AF60" i="62"/>
  <c r="Y45" i="62"/>
  <c r="AK21" i="65"/>
  <c r="AB42" i="65"/>
  <c r="P42" i="65"/>
  <c r="S35" i="65"/>
  <c r="M30" i="65"/>
  <c r="AF30" i="65"/>
  <c r="AK19" i="65"/>
  <c r="AK14" i="65"/>
  <c r="AH14" i="65"/>
  <c r="AE35" i="65"/>
  <c r="AH21" i="65"/>
  <c r="D42" i="65"/>
  <c r="AG35" i="65"/>
  <c r="Y35" i="65"/>
  <c r="M35" i="65"/>
  <c r="V35" i="65"/>
  <c r="G21" i="58" l="1"/>
  <c r="G18" i="58"/>
  <c r="G22" i="58"/>
  <c r="G29" i="58"/>
  <c r="G30" i="58"/>
  <c r="G26" i="58"/>
  <c r="D34" i="58"/>
  <c r="G64" i="62"/>
  <c r="AH27" i="62"/>
  <c r="AK27" i="62"/>
  <c r="P62" i="62"/>
  <c r="G27" i="58"/>
  <c r="G25" i="58"/>
  <c r="G28" i="58"/>
  <c r="G62" i="62"/>
  <c r="C32" i="58"/>
  <c r="G36" i="58" s="1"/>
  <c r="G20" i="58"/>
  <c r="G17" i="58"/>
  <c r="G19" i="58"/>
  <c r="B38" i="58"/>
  <c r="D38" i="58" s="1"/>
  <c r="D35" i="58"/>
  <c r="D13" i="58"/>
  <c r="B37" i="58"/>
  <c r="D33" i="58"/>
  <c r="D25" i="58"/>
  <c r="B24" i="58"/>
  <c r="D24" i="58" s="1"/>
  <c r="B8" i="58"/>
  <c r="D8" i="58" s="1"/>
  <c r="D12" i="58"/>
  <c r="B36" i="58"/>
  <c r="D21" i="58"/>
  <c r="B16" i="58"/>
  <c r="D16" i="58" s="1"/>
  <c r="AH45" i="62"/>
  <c r="S62" i="62"/>
  <c r="M60" i="62"/>
  <c r="AG62" i="62"/>
  <c r="AJ62" i="62"/>
  <c r="D62" i="62"/>
  <c r="AI62" i="62"/>
  <c r="J62" i="62"/>
  <c r="AB29" i="62"/>
  <c r="AH35" i="62"/>
  <c r="V62" i="62"/>
  <c r="AE45" i="62"/>
  <c r="AI60" i="62"/>
  <c r="AK35" i="62"/>
  <c r="AH60" i="62"/>
  <c r="AE29" i="62"/>
  <c r="AH93" i="62"/>
  <c r="AH54" i="62"/>
  <c r="AK93" i="62"/>
  <c r="AB60" i="62"/>
  <c r="AI45" i="62"/>
  <c r="M29" i="62"/>
  <c r="AI29" i="62"/>
  <c r="AF29" i="62"/>
  <c r="D29" i="62"/>
  <c r="AK54" i="62"/>
  <c r="AB45" i="62"/>
  <c r="AF62" i="62"/>
  <c r="V42" i="65"/>
  <c r="AG42" i="65"/>
  <c r="D44" i="65"/>
  <c r="P44" i="65"/>
  <c r="AB44" i="65"/>
  <c r="Y42" i="65"/>
  <c r="AE42" i="65"/>
  <c r="M42" i="65"/>
  <c r="S42" i="65"/>
  <c r="AF42" i="65"/>
  <c r="AH30" i="65"/>
  <c r="G42" i="65"/>
  <c r="J44" i="65"/>
  <c r="AH35" i="65"/>
  <c r="F9" i="58" l="1"/>
  <c r="F11" i="58"/>
  <c r="F10" i="58"/>
  <c r="F14" i="58"/>
  <c r="F13" i="58"/>
  <c r="F12" i="58"/>
  <c r="F20" i="58"/>
  <c r="H20" i="58" s="1"/>
  <c r="F18" i="58"/>
  <c r="H18" i="58" s="1"/>
  <c r="F17" i="58"/>
  <c r="F22" i="58"/>
  <c r="F19" i="58"/>
  <c r="H19" i="58" s="1"/>
  <c r="F21" i="58"/>
  <c r="H21" i="58" s="1"/>
  <c r="F26" i="58"/>
  <c r="H26" i="58" s="1"/>
  <c r="F27" i="58"/>
  <c r="H27" i="58" s="1"/>
  <c r="F28" i="58"/>
  <c r="H28" i="58" s="1"/>
  <c r="F30" i="58"/>
  <c r="H30" i="58" s="1"/>
  <c r="F29" i="58"/>
  <c r="H29" i="58" s="1"/>
  <c r="P64" i="62"/>
  <c r="G38" i="58"/>
  <c r="G24" i="58"/>
  <c r="G16" i="58"/>
  <c r="S64" i="62"/>
  <c r="G33" i="58"/>
  <c r="G37" i="58"/>
  <c r="G34" i="58"/>
  <c r="B32" i="58"/>
  <c r="F34" i="58" s="1"/>
  <c r="J64" i="62"/>
  <c r="AH42" i="65"/>
  <c r="G11" i="58"/>
  <c r="G12" i="58"/>
  <c r="G9" i="58"/>
  <c r="H22" i="58"/>
  <c r="G35" i="58"/>
  <c r="D36" i="58"/>
  <c r="D37" i="58"/>
  <c r="AH62" i="62"/>
  <c r="Y64" i="62"/>
  <c r="AG64" i="62"/>
  <c r="D64" i="62"/>
  <c r="AJ64" i="62"/>
  <c r="AK62" i="62"/>
  <c r="V64" i="62"/>
  <c r="AE62" i="62"/>
  <c r="AB64" i="62"/>
  <c r="AK29" i="62"/>
  <c r="AK60" i="62"/>
  <c r="AB62" i="62"/>
  <c r="M64" i="62"/>
  <c r="AH29" i="62"/>
  <c r="AK45" i="62"/>
  <c r="AE64" i="62"/>
  <c r="M62" i="62"/>
  <c r="S44" i="65"/>
  <c r="D46" i="65"/>
  <c r="AG44" i="65"/>
  <c r="M44" i="65"/>
  <c r="AE44" i="65"/>
  <c r="V44" i="65"/>
  <c r="AB46" i="65"/>
  <c r="AF44" i="65"/>
  <c r="P46" i="65"/>
  <c r="G44" i="65"/>
  <c r="J46" i="65"/>
  <c r="Y44" i="65"/>
  <c r="F37" i="58" l="1"/>
  <c r="H37" i="58" s="1"/>
  <c r="G32" i="58"/>
  <c r="G8" i="58"/>
  <c r="H10" i="58"/>
  <c r="H13" i="58"/>
  <c r="H34" i="58"/>
  <c r="H12" i="58"/>
  <c r="H11" i="58"/>
  <c r="AH44" i="65"/>
  <c r="H17" i="58"/>
  <c r="F16" i="58"/>
  <c r="H16" i="58" s="1"/>
  <c r="H14" i="58"/>
  <c r="F36" i="58"/>
  <c r="H36" i="58" s="1"/>
  <c r="F38" i="58"/>
  <c r="H38" i="58" s="1"/>
  <c r="H25" i="58"/>
  <c r="F24" i="58"/>
  <c r="H24" i="58" s="1"/>
  <c r="F33" i="58"/>
  <c r="H33" i="58" s="1"/>
  <c r="F35" i="58"/>
  <c r="H35" i="58" s="1"/>
  <c r="D32" i="58"/>
  <c r="H9" i="58"/>
  <c r="F8" i="58"/>
  <c r="AH64" i="62"/>
  <c r="AK64" i="62"/>
  <c r="G46" i="65"/>
  <c r="Y46" i="65"/>
  <c r="AE46" i="65"/>
  <c r="M46" i="65"/>
  <c r="AF46" i="65"/>
  <c r="AG46" i="65"/>
  <c r="V46" i="65"/>
  <c r="S46" i="65"/>
  <c r="H8" i="58" l="1"/>
  <c r="F32" i="58"/>
  <c r="H32" i="58" s="1"/>
  <c r="AH46" i="65"/>
  <c r="J9" i="79" l="1"/>
  <c r="K8" i="79"/>
  <c r="D7" i="79" l="1"/>
  <c r="K122" i="79"/>
  <c r="D48" i="79"/>
  <c r="D10" i="79"/>
  <c r="J29" i="79"/>
  <c r="L97" i="79"/>
  <c r="J28" i="79"/>
  <c r="K76" i="79"/>
  <c r="L122" i="79"/>
  <c r="D122" i="79"/>
  <c r="D9" i="79"/>
  <c r="K7" i="79"/>
  <c r="J22" i="79"/>
  <c r="J30" i="79"/>
  <c r="K10" i="79"/>
  <c r="D8" i="79"/>
  <c r="J8" i="79"/>
  <c r="L8" i="79" s="1"/>
  <c r="K22" i="79"/>
  <c r="K28" i="79"/>
  <c r="K29" i="79"/>
  <c r="K30" i="79"/>
  <c r="J10" i="79"/>
  <c r="K9" i="79"/>
  <c r="L9" i="79" s="1"/>
  <c r="J7" i="79"/>
  <c r="D22" i="79"/>
  <c r="D28" i="79"/>
  <c r="D29" i="79"/>
  <c r="D30" i="79"/>
  <c r="D76" i="79"/>
  <c r="K97" i="79"/>
  <c r="L76" i="79"/>
  <c r="D97" i="79"/>
  <c r="L10" i="79" l="1"/>
  <c r="L22" i="79"/>
  <c r="L29" i="79"/>
  <c r="L28" i="79"/>
  <c r="L7" i="79"/>
  <c r="L30" i="79"/>
  <c r="H31" i="9"/>
  <c r="H67" i="9" s="1"/>
  <c r="K119" i="79"/>
  <c r="D87" i="79"/>
  <c r="G31" i="9"/>
  <c r="G67" i="9" s="1"/>
  <c r="D66" i="79"/>
  <c r="C31" i="9"/>
  <c r="C67" i="9" s="1"/>
  <c r="D119" i="79"/>
  <c r="L119" i="79"/>
  <c r="K87" i="79" l="1"/>
  <c r="D47" i="79"/>
  <c r="B31" i="9"/>
  <c r="B67" i="9" s="1"/>
  <c r="L87" i="79" l="1"/>
  <c r="L66" i="79"/>
  <c r="K66" i="79"/>
  <c r="H21" i="9" l="1"/>
  <c r="D48" i="78"/>
  <c r="G21" i="9" l="1"/>
  <c r="M64" i="8" s="1"/>
  <c r="C21" i="9"/>
  <c r="N20" i="8" s="1"/>
  <c r="D47" i="78"/>
  <c r="H57" i="9"/>
  <c r="N64" i="8"/>
  <c r="G57" i="9" l="1"/>
  <c r="C57" i="9"/>
  <c r="B21" i="9"/>
  <c r="M20" i="8" l="1"/>
  <c r="D21" i="9"/>
  <c r="B57" i="9"/>
  <c r="D57" i="9" s="1"/>
  <c r="D54" i="77" l="1"/>
  <c r="D55" i="77"/>
  <c r="H11" i="9"/>
  <c r="D48" i="77"/>
  <c r="G11" i="9"/>
  <c r="D53" i="77" l="1"/>
  <c r="M55" i="8"/>
  <c r="G47" i="9"/>
  <c r="H47" i="9"/>
  <c r="N55" i="8"/>
  <c r="D49" i="77"/>
  <c r="C11" i="9"/>
  <c r="C47" i="9" l="1"/>
  <c r="N10" i="8"/>
  <c r="B11" i="9"/>
  <c r="M10" i="8" s="1"/>
  <c r="D47" i="77"/>
  <c r="D11" i="9" l="1"/>
  <c r="B47" i="9"/>
  <c r="D47" i="9" s="1"/>
  <c r="N121" i="8" l="1"/>
  <c r="M121" i="8"/>
  <c r="N99" i="8"/>
  <c r="M99" i="8"/>
  <c r="N77" i="8"/>
  <c r="M77" i="8"/>
  <c r="N71" i="8"/>
  <c r="M71" i="8"/>
  <c r="N52" i="8"/>
  <c r="M52" i="8"/>
  <c r="N34" i="8"/>
  <c r="M34" i="8"/>
  <c r="G65" i="9" l="1"/>
  <c r="H65" i="9"/>
  <c r="L66" i="9"/>
  <c r="N66" i="9"/>
  <c r="O66" i="9"/>
  <c r="M66" i="9"/>
  <c r="K8" i="74" l="1"/>
  <c r="H30" i="9"/>
  <c r="G30" i="9"/>
  <c r="M72" i="8" s="1"/>
  <c r="D8" i="74"/>
  <c r="J8" i="74"/>
  <c r="K7" i="74"/>
  <c r="J7" i="74"/>
  <c r="D48" i="74"/>
  <c r="D7" i="74"/>
  <c r="L8" i="74" l="1"/>
  <c r="C30" i="9"/>
  <c r="L7" i="74"/>
  <c r="D47" i="74"/>
  <c r="H66" i="9"/>
  <c r="N72" i="8"/>
  <c r="B30" i="9"/>
  <c r="M29" i="8" s="1"/>
  <c r="G66" i="9"/>
  <c r="B66" i="9" l="1"/>
  <c r="F29" i="4" l="1"/>
  <c r="E29" i="4"/>
  <c r="F22" i="4"/>
  <c r="E22" i="4"/>
  <c r="C29" i="4"/>
  <c r="B29" i="4"/>
  <c r="C22" i="4"/>
  <c r="B22" i="4"/>
  <c r="G21" i="10" l="1"/>
  <c r="G10" i="10"/>
  <c r="C21" i="10"/>
  <c r="E29" i="16"/>
  <c r="C10" i="10"/>
  <c r="E22" i="16"/>
  <c r="E29" i="79"/>
  <c r="E22" i="79"/>
  <c r="F33" i="4" l="1"/>
  <c r="E33" i="4"/>
  <c r="F32" i="4"/>
  <c r="E32" i="4"/>
  <c r="F31" i="4"/>
  <c r="E31" i="4"/>
  <c r="F30" i="4"/>
  <c r="E30" i="4"/>
  <c r="C30" i="4"/>
  <c r="C32" i="4"/>
  <c r="B32" i="4"/>
  <c r="C31" i="4"/>
  <c r="B31" i="4"/>
  <c r="B30" i="4"/>
  <c r="F23" i="4"/>
  <c r="F26" i="4"/>
  <c r="E26" i="4"/>
  <c r="F25" i="4"/>
  <c r="E25" i="4"/>
  <c r="F24" i="4"/>
  <c r="E24" i="4"/>
  <c r="E23" i="4"/>
  <c r="C23" i="4"/>
  <c r="C25" i="4"/>
  <c r="B25" i="4"/>
  <c r="C24" i="4"/>
  <c r="B24" i="4"/>
  <c r="B23" i="4"/>
  <c r="I33" i="23" l="1"/>
  <c r="I33" i="33"/>
  <c r="I33" i="29"/>
  <c r="I33" i="37"/>
  <c r="K32" i="13"/>
  <c r="D23" i="23"/>
  <c r="H23" i="33"/>
  <c r="D23" i="29"/>
  <c r="D30" i="33"/>
  <c r="H24" i="23"/>
  <c r="D30" i="16"/>
  <c r="D25" i="13"/>
  <c r="D31" i="37"/>
  <c r="D32" i="29"/>
  <c r="H30" i="37"/>
  <c r="H30" i="33"/>
  <c r="H30" i="29"/>
  <c r="H30" i="23"/>
  <c r="H30" i="13"/>
  <c r="D23" i="37"/>
  <c r="D23" i="20"/>
  <c r="D30" i="37"/>
  <c r="D30" i="20"/>
  <c r="H23" i="37"/>
  <c r="H24" i="13"/>
  <c r="H31" i="37"/>
  <c r="H31" i="29"/>
  <c r="H31" i="23"/>
  <c r="H31" i="13"/>
  <c r="H25" i="13"/>
  <c r="D31" i="13"/>
  <c r="H32" i="37"/>
  <c r="H32" i="33"/>
  <c r="H32" i="29"/>
  <c r="H33" i="37"/>
  <c r="H33" i="33"/>
  <c r="H33" i="29"/>
  <c r="H33" i="23"/>
  <c r="H23" i="13"/>
  <c r="D30" i="13"/>
  <c r="D31" i="33"/>
  <c r="D31" i="29"/>
  <c r="D32" i="13"/>
  <c r="H24" i="37"/>
  <c r="H31" i="33"/>
  <c r="H25" i="37"/>
  <c r="H25" i="33"/>
  <c r="H25" i="29"/>
  <c r="H32" i="13"/>
  <c r="D24" i="37"/>
  <c r="D24" i="33"/>
  <c r="D24" i="29"/>
  <c r="D24" i="13"/>
  <c r="H26" i="37"/>
  <c r="H26" i="33"/>
  <c r="H26" i="29"/>
  <c r="H26" i="23"/>
  <c r="J30" i="29"/>
  <c r="D30" i="29"/>
  <c r="J30" i="23"/>
  <c r="D30" i="23"/>
  <c r="D23" i="33"/>
  <c r="H23" i="29"/>
  <c r="H23" i="23"/>
  <c r="D23" i="13"/>
  <c r="J33" i="23"/>
  <c r="J33" i="33"/>
  <c r="J33" i="29"/>
  <c r="J25" i="29"/>
  <c r="J25" i="13"/>
  <c r="J32" i="33"/>
  <c r="J32" i="29"/>
  <c r="J26" i="37"/>
  <c r="J26" i="33"/>
  <c r="J26" i="29"/>
  <c r="J26" i="23"/>
  <c r="K23" i="33"/>
  <c r="J33" i="37"/>
  <c r="K31" i="23"/>
  <c r="K30" i="16"/>
  <c r="K25" i="37"/>
  <c r="K25" i="33"/>
  <c r="K25" i="29"/>
  <c r="K25" i="13"/>
  <c r="K23" i="37"/>
  <c r="K23" i="20"/>
  <c r="K32" i="33"/>
  <c r="K32" i="29"/>
  <c r="J30" i="16"/>
  <c r="K33" i="23"/>
  <c r="K26" i="33"/>
  <c r="K26" i="29"/>
  <c r="K23" i="13"/>
  <c r="K33" i="33"/>
  <c r="K33" i="29"/>
  <c r="J23" i="20"/>
  <c r="J23" i="37"/>
  <c r="K26" i="37"/>
  <c r="K26" i="23"/>
  <c r="K31" i="13"/>
  <c r="J23" i="29"/>
  <c r="J23" i="23"/>
  <c r="J25" i="37"/>
  <c r="J25" i="33"/>
  <c r="K24" i="23"/>
  <c r="K24" i="13"/>
  <c r="K31" i="33"/>
  <c r="K31" i="29"/>
  <c r="J23" i="13"/>
  <c r="K30" i="20"/>
  <c r="K30" i="13"/>
  <c r="K24" i="33"/>
  <c r="K24" i="29"/>
  <c r="J31" i="37"/>
  <c r="J31" i="13"/>
  <c r="J24" i="37"/>
  <c r="J24" i="33"/>
  <c r="J24" i="29"/>
  <c r="J24" i="23"/>
  <c r="J24" i="13"/>
  <c r="K23" i="29"/>
  <c r="K23" i="23"/>
  <c r="J31" i="33"/>
  <c r="J31" i="29"/>
  <c r="J31" i="23"/>
  <c r="K24" i="37"/>
  <c r="K30" i="37"/>
  <c r="J30" i="13"/>
  <c r="J23" i="33"/>
  <c r="J30" i="33"/>
  <c r="J32" i="13"/>
  <c r="J30" i="37"/>
  <c r="J30" i="20"/>
  <c r="J32" i="37"/>
  <c r="K30" i="33"/>
  <c r="K30" i="29"/>
  <c r="K30" i="23"/>
  <c r="K32" i="37"/>
  <c r="K31" i="37"/>
  <c r="K33" i="37"/>
  <c r="L32" i="13" l="1"/>
  <c r="L31" i="23"/>
  <c r="E30" i="79"/>
  <c r="L23" i="33"/>
  <c r="L30" i="37"/>
  <c r="L24" i="23"/>
  <c r="L24" i="29"/>
  <c r="L23" i="20"/>
  <c r="L31" i="29"/>
  <c r="L25" i="29"/>
  <c r="L24" i="33"/>
  <c r="L26" i="33"/>
  <c r="L33" i="23"/>
  <c r="L30" i="20"/>
  <c r="L31" i="13"/>
  <c r="L24" i="13"/>
  <c r="L24" i="37"/>
  <c r="L31" i="37"/>
  <c r="L23" i="23"/>
  <c r="L26" i="37"/>
  <c r="L26" i="29"/>
  <c r="L30" i="29"/>
  <c r="L32" i="37"/>
  <c r="L31" i="33"/>
  <c r="L23" i="13"/>
  <c r="L23" i="29"/>
  <c r="L33" i="37"/>
  <c r="L25" i="13"/>
  <c r="L33" i="29"/>
  <c r="L25" i="33"/>
  <c r="L30" i="16"/>
  <c r="L26" i="23"/>
  <c r="L32" i="29"/>
  <c r="L33" i="33"/>
  <c r="L30" i="13"/>
  <c r="L30" i="33"/>
  <c r="L25" i="37"/>
  <c r="L23" i="37"/>
  <c r="L32" i="33"/>
  <c r="L30" i="23"/>
  <c r="C137" i="4"/>
  <c r="B137" i="4"/>
  <c r="F136" i="4"/>
  <c r="E136" i="4"/>
  <c r="C136" i="4"/>
  <c r="B136" i="4"/>
  <c r="F135" i="4"/>
  <c r="E135" i="4"/>
  <c r="C135" i="4"/>
  <c r="B135" i="4"/>
  <c r="F134" i="4"/>
  <c r="E134" i="4"/>
  <c r="C134" i="4"/>
  <c r="B134" i="4"/>
  <c r="F125" i="4"/>
  <c r="E125" i="4"/>
  <c r="C125" i="4"/>
  <c r="B125" i="4"/>
  <c r="F124" i="4"/>
  <c r="E124" i="4"/>
  <c r="C124" i="4"/>
  <c r="B124" i="4"/>
  <c r="C122" i="4"/>
  <c r="B122" i="4"/>
  <c r="F121" i="4"/>
  <c r="E121" i="4"/>
  <c r="C121" i="4"/>
  <c r="B121" i="4"/>
  <c r="C120" i="4"/>
  <c r="B120" i="4"/>
  <c r="F117" i="4"/>
  <c r="E117" i="4"/>
  <c r="C117" i="4"/>
  <c r="B117" i="4"/>
  <c r="F116" i="4"/>
  <c r="E116" i="4"/>
  <c r="C116" i="4"/>
  <c r="B116" i="4"/>
  <c r="C114" i="4"/>
  <c r="B114" i="4"/>
  <c r="F113" i="4"/>
  <c r="E113" i="4"/>
  <c r="C113" i="4"/>
  <c r="B113" i="4"/>
  <c r="F112" i="4"/>
  <c r="E112" i="4"/>
  <c r="C112" i="4"/>
  <c r="B112" i="4"/>
  <c r="C110" i="4"/>
  <c r="B110" i="4"/>
  <c r="F109" i="4"/>
  <c r="E109" i="4"/>
  <c r="C109" i="4"/>
  <c r="B109" i="4"/>
  <c r="F108" i="4"/>
  <c r="E108" i="4"/>
  <c r="C108" i="4"/>
  <c r="B108" i="4"/>
  <c r="F107" i="4"/>
  <c r="E107" i="4"/>
  <c r="C107" i="4"/>
  <c r="B107" i="4"/>
  <c r="C99" i="4"/>
  <c r="B99" i="4"/>
  <c r="C97" i="4"/>
  <c r="B97" i="4"/>
  <c r="F96" i="4"/>
  <c r="E96" i="4"/>
  <c r="C96" i="4"/>
  <c r="B96" i="4"/>
  <c r="C88" i="4"/>
  <c r="B88" i="4"/>
  <c r="F86" i="4"/>
  <c r="E86" i="4"/>
  <c r="C86" i="4"/>
  <c r="B86" i="4"/>
  <c r="C78" i="4"/>
  <c r="B78" i="4"/>
  <c r="C76" i="4"/>
  <c r="B76" i="4"/>
  <c r="F75" i="4"/>
  <c r="E75" i="4"/>
  <c r="C75" i="4"/>
  <c r="B75" i="4"/>
  <c r="C67" i="4"/>
  <c r="B67" i="4"/>
  <c r="C57" i="4"/>
  <c r="B57" i="4"/>
  <c r="C55" i="4"/>
  <c r="B55" i="4"/>
  <c r="C54" i="4"/>
  <c r="B54" i="4"/>
  <c r="C48" i="4"/>
  <c r="B48" i="4"/>
  <c r="C37" i="4"/>
  <c r="C36" i="4"/>
  <c r="F35" i="4"/>
  <c r="E35" i="4"/>
  <c r="C35" i="4"/>
  <c r="B35" i="4"/>
  <c r="F34" i="4"/>
  <c r="E34" i="4"/>
  <c r="C34" i="4"/>
  <c r="B34" i="4"/>
  <c r="C28" i="4"/>
  <c r="B28" i="4"/>
  <c r="F12" i="4"/>
  <c r="E12" i="4"/>
  <c r="F11" i="4"/>
  <c r="E11" i="4"/>
  <c r="C11" i="4"/>
  <c r="B11" i="4"/>
  <c r="F10" i="4"/>
  <c r="E10" i="4"/>
  <c r="C10" i="4"/>
  <c r="B10" i="4"/>
  <c r="C9" i="4"/>
  <c r="F7" i="4"/>
  <c r="E7" i="4"/>
  <c r="C7" i="4"/>
  <c r="B7" i="4"/>
  <c r="B8" i="4" l="1"/>
  <c r="C8" i="4"/>
  <c r="J9" i="72"/>
  <c r="B9" i="4"/>
  <c r="B39" i="4"/>
  <c r="C39" i="4"/>
  <c r="B36" i="4"/>
  <c r="B79" i="4"/>
  <c r="C89" i="4"/>
  <c r="B37" i="4"/>
  <c r="E31" i="13"/>
  <c r="E31" i="37"/>
  <c r="E31" i="33"/>
  <c r="E31" i="29"/>
  <c r="E23" i="23"/>
  <c r="E23" i="13"/>
  <c r="E23" i="20"/>
  <c r="E23" i="37"/>
  <c r="E23" i="33"/>
  <c r="E23" i="29"/>
  <c r="E25" i="13"/>
  <c r="E30" i="13"/>
  <c r="E30" i="20"/>
  <c r="E30" i="37"/>
  <c r="E30" i="23"/>
  <c r="E30" i="29"/>
  <c r="E30" i="16"/>
  <c r="E30" i="33"/>
  <c r="E32" i="13"/>
  <c r="E32" i="29"/>
  <c r="E24" i="13"/>
  <c r="E24" i="29"/>
  <c r="E24" i="33"/>
  <c r="E24" i="37"/>
  <c r="K7" i="72"/>
  <c r="K9" i="72"/>
  <c r="L9" i="72" s="1"/>
  <c r="J7" i="72"/>
  <c r="C53" i="4"/>
  <c r="C119" i="4"/>
  <c r="C68" i="4"/>
  <c r="C56" i="4"/>
  <c r="C100" i="4"/>
  <c r="C49" i="4"/>
  <c r="F119" i="4"/>
  <c r="D48" i="72"/>
  <c r="D7" i="72"/>
  <c r="B68" i="4"/>
  <c r="D9" i="72"/>
  <c r="B89" i="4"/>
  <c r="B111" i="4"/>
  <c r="C111" i="4"/>
  <c r="F111" i="4"/>
  <c r="B119" i="4" l="1"/>
  <c r="C87" i="4"/>
  <c r="E111" i="4"/>
  <c r="B98" i="4"/>
  <c r="B100" i="4"/>
  <c r="B53" i="4"/>
  <c r="B56" i="4"/>
  <c r="E119" i="4"/>
  <c r="B77" i="4"/>
  <c r="C79" i="4"/>
  <c r="B47" i="4"/>
  <c r="B49" i="4"/>
  <c r="L7" i="72"/>
  <c r="H25" i="9"/>
  <c r="C98" i="4"/>
  <c r="C66" i="4"/>
  <c r="E100" i="4"/>
  <c r="C77" i="4"/>
  <c r="E79" i="4"/>
  <c r="F89" i="4"/>
  <c r="F68" i="4"/>
  <c r="F79" i="4" l="1"/>
  <c r="E89" i="4"/>
  <c r="B25" i="9"/>
  <c r="M24" i="8" s="1"/>
  <c r="B66" i="4"/>
  <c r="G25" i="9"/>
  <c r="G61" i="9" s="1"/>
  <c r="B87" i="4"/>
  <c r="F100" i="4"/>
  <c r="D47" i="72"/>
  <c r="C47" i="4"/>
  <c r="E68" i="4"/>
  <c r="C25" i="9"/>
  <c r="E77" i="4"/>
  <c r="E98" i="4"/>
  <c r="B61" i="9" l="1"/>
  <c r="F77" i="4"/>
  <c r="E66" i="4"/>
  <c r="F87" i="4"/>
  <c r="E87" i="4"/>
  <c r="F66" i="4"/>
  <c r="F98" i="4"/>
  <c r="C61" i="9"/>
  <c r="N24" i="8"/>
  <c r="G33" i="4"/>
  <c r="D61" i="9" l="1"/>
  <c r="I33" i="4"/>
  <c r="H33" i="4"/>
  <c r="M33" i="23" l="1"/>
  <c r="M33" i="29"/>
  <c r="M33" i="33"/>
  <c r="M33" i="37"/>
  <c r="J33" i="4"/>
  <c r="K97" i="37" l="1"/>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L8" i="37" l="1"/>
  <c r="L9" i="37"/>
  <c r="L76" i="33"/>
  <c r="L97" i="33"/>
  <c r="L97" i="29"/>
  <c r="L76" i="29"/>
  <c r="L76" i="13"/>
  <c r="D97" i="4"/>
  <c r="D76" i="4"/>
  <c r="L97" i="37"/>
  <c r="L76" i="37"/>
  <c r="L97" i="13"/>
  <c r="I97" i="4"/>
  <c r="I76" i="4"/>
  <c r="H34" i="37"/>
  <c r="H116" i="37"/>
  <c r="D114" i="37"/>
  <c r="D116" i="37"/>
  <c r="J124" i="37"/>
  <c r="H76" i="4"/>
  <c r="H97" i="4"/>
  <c r="K12" i="37"/>
  <c r="K7" i="37"/>
  <c r="H113" i="37"/>
  <c r="H117" i="37"/>
  <c r="J88" i="37"/>
  <c r="K75" i="37"/>
  <c r="K108" i="37"/>
  <c r="K96" i="37"/>
  <c r="K67" i="37"/>
  <c r="J35" i="37"/>
  <c r="J10" i="37"/>
  <c r="D7" i="37"/>
  <c r="K135" i="37"/>
  <c r="K134" i="37"/>
  <c r="K122" i="37"/>
  <c r="D122" i="37"/>
  <c r="H112" i="37"/>
  <c r="J121" i="37"/>
  <c r="H121" i="37"/>
  <c r="K114" i="37"/>
  <c r="K107" i="37"/>
  <c r="K99" i="37"/>
  <c r="J125" i="37"/>
  <c r="K116" i="37"/>
  <c r="K78" i="37"/>
  <c r="D8" i="37"/>
  <c r="H108" i="37"/>
  <c r="D67" i="37"/>
  <c r="K110" i="37"/>
  <c r="J86" i="37"/>
  <c r="K28" i="37"/>
  <c r="H7" i="37"/>
  <c r="D135" i="37"/>
  <c r="H124" i="37"/>
  <c r="J110" i="37"/>
  <c r="D108" i="37"/>
  <c r="D28" i="37"/>
  <c r="K113" i="37"/>
  <c r="J108" i="37"/>
  <c r="D34" i="37"/>
  <c r="K10" i="37"/>
  <c r="K125" i="37"/>
  <c r="J117" i="37"/>
  <c r="J113" i="37"/>
  <c r="D110" i="37"/>
  <c r="K136" i="37"/>
  <c r="J134" i="37"/>
  <c r="H35" i="37"/>
  <c r="J28" i="37"/>
  <c r="K11" i="37"/>
  <c r="J122" i="37"/>
  <c r="J116" i="37"/>
  <c r="K109" i="37"/>
  <c r="D35" i="37"/>
  <c r="J12" i="37"/>
  <c r="J7" i="37"/>
  <c r="H75" i="37"/>
  <c r="D48" i="37"/>
  <c r="K121" i="37"/>
  <c r="J67" i="37"/>
  <c r="H125" i="37"/>
  <c r="D124" i="37"/>
  <c r="D109" i="37"/>
  <c r="H96" i="37"/>
  <c r="K88"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D57" i="37"/>
  <c r="D54" i="37"/>
  <c r="K34" i="37"/>
  <c r="H12" i="37"/>
  <c r="K37" i="37"/>
  <c r="D37" i="37"/>
  <c r="H10" i="37"/>
  <c r="K36" i="37"/>
  <c r="D36" i="37"/>
  <c r="J11" i="37"/>
  <c r="L122" i="37" l="1"/>
  <c r="J76" i="4"/>
  <c r="L114" i="37"/>
  <c r="D77" i="37"/>
  <c r="H29" i="37"/>
  <c r="J29" i="37"/>
  <c r="D100" i="37"/>
  <c r="K98" i="37"/>
  <c r="K77" i="37"/>
  <c r="J79" i="37"/>
  <c r="L110" i="37"/>
  <c r="J97" i="4"/>
  <c r="J100" i="37"/>
  <c r="J66" i="37"/>
  <c r="L116" i="37"/>
  <c r="D89" i="37"/>
  <c r="K22" i="37"/>
  <c r="D49"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G31" i="4" l="1"/>
  <c r="G23" i="4" l="1"/>
  <c r="G24" i="4"/>
  <c r="G30" i="4"/>
  <c r="G25" i="4"/>
  <c r="G32" i="4"/>
  <c r="D32" i="4"/>
  <c r="D24" i="4"/>
  <c r="I23" i="37"/>
  <c r="I25" i="37"/>
  <c r="I30" i="37"/>
  <c r="I31" i="37"/>
  <c r="G26" i="4"/>
  <c r="D25" i="4"/>
  <c r="I24" i="37"/>
  <c r="I32" i="37"/>
  <c r="D30" i="4"/>
  <c r="D31" i="4"/>
  <c r="E29" i="23" l="1"/>
  <c r="E29" i="29"/>
  <c r="E29" i="33"/>
  <c r="E29" i="20"/>
  <c r="E29" i="51"/>
  <c r="E29" i="37"/>
  <c r="E29" i="13"/>
  <c r="D23" i="4"/>
  <c r="I26" i="4"/>
  <c r="H26" i="4"/>
  <c r="F26" i="10"/>
  <c r="F16" i="10"/>
  <c r="F34" i="10"/>
  <c r="I26" i="29"/>
  <c r="I26" i="23"/>
  <c r="I26" i="33"/>
  <c r="I26" i="37"/>
  <c r="I36" i="37"/>
  <c r="I37" i="37"/>
  <c r="G34" i="10"/>
  <c r="M26" i="29" l="1"/>
  <c r="J26" i="4"/>
  <c r="M26" i="23"/>
  <c r="M26" i="37"/>
  <c r="M26" i="33"/>
  <c r="D51" i="16" l="1"/>
  <c r="D50" i="16"/>
  <c r="D52" i="16"/>
  <c r="E51" i="16" l="1"/>
  <c r="E50" i="16"/>
  <c r="E52" i="16"/>
  <c r="G56" i="10" l="1"/>
  <c r="G60" i="10"/>
  <c r="F60" i="10" l="1"/>
  <c r="F56" i="10"/>
  <c r="K28" i="10" l="1"/>
  <c r="J28" i="10"/>
  <c r="K9" i="33" l="1"/>
  <c r="K9" i="29"/>
  <c r="K8" i="51"/>
  <c r="K8" i="29"/>
  <c r="K8" i="33"/>
  <c r="K9" i="51"/>
  <c r="K8" i="25"/>
  <c r="K9" i="25"/>
  <c r="K8" i="22"/>
  <c r="K9" i="22"/>
  <c r="K9" i="20"/>
  <c r="K8" i="20"/>
  <c r="K8" i="19"/>
  <c r="J36" i="13"/>
  <c r="K9" i="19"/>
  <c r="K39" i="13"/>
  <c r="K37" i="13"/>
  <c r="J39" i="13"/>
  <c r="J37" i="13"/>
  <c r="K36" i="13"/>
  <c r="K8" i="13"/>
  <c r="K9" i="13"/>
  <c r="D22" i="16"/>
  <c r="F25" i="10" l="1"/>
  <c r="B41" i="10"/>
  <c r="B25" i="10"/>
  <c r="F9" i="10"/>
  <c r="B9" i="10"/>
  <c r="B16" i="10"/>
  <c r="B23" i="10"/>
  <c r="B14" i="10"/>
  <c r="B15" i="10"/>
  <c r="B20" i="10"/>
  <c r="F20" i="10"/>
  <c r="F31" i="10"/>
  <c r="F30" i="10"/>
  <c r="F41" i="10"/>
  <c r="F15" i="10"/>
  <c r="G117" i="4"/>
  <c r="F24" i="10"/>
  <c r="F14" i="10"/>
  <c r="B30" i="10"/>
  <c r="G109" i="4"/>
  <c r="B26" i="10"/>
  <c r="F42" i="10"/>
  <c r="B24" i="10"/>
  <c r="B44" i="10"/>
  <c r="G89" i="4"/>
  <c r="B13" i="10"/>
  <c r="B33" i="10"/>
  <c r="G15" i="9"/>
  <c r="G51" i="9" s="1"/>
  <c r="H38" i="9"/>
  <c r="C36" i="9"/>
  <c r="H37" i="9"/>
  <c r="G36" i="9"/>
  <c r="H17" i="9"/>
  <c r="N60" i="8" s="1"/>
  <c r="G16" i="9"/>
  <c r="M59" i="8" s="1"/>
  <c r="G13" i="9"/>
  <c r="G14" i="9"/>
  <c r="C35" i="9"/>
  <c r="B39" i="9"/>
  <c r="C39" i="9"/>
  <c r="G19" i="9"/>
  <c r="M62" i="8" s="1"/>
  <c r="C38" i="9"/>
  <c r="H13" i="9"/>
  <c r="G10" i="9"/>
  <c r="G18" i="9"/>
  <c r="M61" i="8" s="1"/>
  <c r="H18" i="9"/>
  <c r="G22" i="9"/>
  <c r="M65" i="8" s="1"/>
  <c r="H35" i="9"/>
  <c r="H9" i="9"/>
  <c r="H36" i="9"/>
  <c r="G9" i="9"/>
  <c r="H10" i="9"/>
  <c r="N54" i="8" s="1"/>
  <c r="C37" i="9"/>
  <c r="G20" i="9"/>
  <c r="G17" i="9"/>
  <c r="G24" i="9"/>
  <c r="H39" i="9"/>
  <c r="G26" i="9"/>
  <c r="M68" i="8" s="1"/>
  <c r="G28" i="9"/>
  <c r="M70" i="8" s="1"/>
  <c r="G35" i="9"/>
  <c r="H20" i="9"/>
  <c r="N63" i="8" s="1"/>
  <c r="B35" i="9"/>
  <c r="B38" i="9"/>
  <c r="K135" i="26"/>
  <c r="H29" i="29"/>
  <c r="K121" i="13"/>
  <c r="H121" i="33"/>
  <c r="H125" i="33"/>
  <c r="H68" i="29"/>
  <c r="K113" i="33"/>
  <c r="H29" i="13"/>
  <c r="K12" i="29"/>
  <c r="J86" i="29"/>
  <c r="K108" i="33"/>
  <c r="H22" i="33"/>
  <c r="K68" i="33"/>
  <c r="H35" i="29"/>
  <c r="H34" i="13"/>
  <c r="K22" i="51"/>
  <c r="K135" i="34"/>
  <c r="K134" i="26"/>
  <c r="K113" i="29"/>
  <c r="H100" i="29"/>
  <c r="K137" i="26"/>
  <c r="J79" i="29"/>
  <c r="K28" i="51"/>
  <c r="H89" i="29"/>
  <c r="K12" i="33"/>
  <c r="K29" i="51"/>
  <c r="H34" i="33"/>
  <c r="H12" i="33"/>
  <c r="H125" i="29"/>
  <c r="K108" i="23"/>
  <c r="K22" i="23"/>
  <c r="H107" i="23"/>
  <c r="K107" i="33"/>
  <c r="K100" i="33"/>
  <c r="K75" i="33"/>
  <c r="K122" i="33"/>
  <c r="K114" i="33"/>
  <c r="H29" i="33"/>
  <c r="H75" i="33"/>
  <c r="D49" i="19"/>
  <c r="D37" i="13"/>
  <c r="K89" i="23"/>
  <c r="K68" i="23"/>
  <c r="H135" i="26"/>
  <c r="H22" i="29"/>
  <c r="H96" i="33"/>
  <c r="H117" i="33"/>
  <c r="K28" i="25"/>
  <c r="K96" i="33"/>
  <c r="H35" i="33"/>
  <c r="K117" i="33"/>
  <c r="K28" i="23"/>
  <c r="K89" i="33"/>
  <c r="D49" i="38"/>
  <c r="D57" i="16"/>
  <c r="D28" i="16"/>
  <c r="D29" i="16"/>
  <c r="D58" i="16"/>
  <c r="D54" i="16"/>
  <c r="D49" i="16"/>
  <c r="D55" i="16"/>
  <c r="D48" i="16"/>
  <c r="H100" i="23"/>
  <c r="B21" i="10"/>
  <c r="K109" i="23"/>
  <c r="K34" i="13"/>
  <c r="K107" i="13"/>
  <c r="K121" i="23"/>
  <c r="H109" i="23"/>
  <c r="H22" i="23"/>
  <c r="H100" i="33"/>
  <c r="H68" i="33"/>
  <c r="K125" i="33"/>
  <c r="D49" i="39"/>
  <c r="K7" i="13"/>
  <c r="K7" i="19"/>
  <c r="K10" i="29"/>
  <c r="H7" i="23"/>
  <c r="H7" i="29"/>
  <c r="H7" i="33"/>
  <c r="K10" i="33"/>
  <c r="H10" i="13"/>
  <c r="K7" i="23"/>
  <c r="K11" i="33"/>
  <c r="K7" i="29"/>
  <c r="H11" i="13"/>
  <c r="K22" i="13"/>
  <c r="K29" i="13"/>
  <c r="H79" i="13"/>
  <c r="K100" i="13"/>
  <c r="K116" i="13"/>
  <c r="K10" i="13"/>
  <c r="H121" i="13"/>
  <c r="K7" i="20"/>
  <c r="K10" i="20"/>
  <c r="K11" i="29"/>
  <c r="H113" i="29"/>
  <c r="K7" i="33"/>
  <c r="H89" i="33"/>
  <c r="H107" i="33"/>
  <c r="K121" i="33"/>
  <c r="H89" i="13"/>
  <c r="K109" i="13"/>
  <c r="K67" i="13"/>
  <c r="K11" i="13"/>
  <c r="H113" i="33"/>
  <c r="H12" i="23"/>
  <c r="H86" i="23"/>
  <c r="H136" i="26"/>
  <c r="K28" i="29"/>
  <c r="K34" i="29"/>
  <c r="H134" i="26"/>
  <c r="K117" i="29"/>
  <c r="H79" i="23"/>
  <c r="H89" i="23"/>
  <c r="H117" i="23"/>
  <c r="K35" i="29"/>
  <c r="H117" i="29"/>
  <c r="K28" i="19"/>
  <c r="H40" i="9"/>
  <c r="D39" i="13"/>
  <c r="H22" i="13"/>
  <c r="H7" i="13"/>
  <c r="K35" i="13"/>
  <c r="K108" i="13"/>
  <c r="K12" i="13"/>
  <c r="H107" i="13"/>
  <c r="C40" i="9"/>
  <c r="D48" i="13"/>
  <c r="J10" i="13"/>
  <c r="D10" i="13"/>
  <c r="K28" i="13"/>
  <c r="K68" i="13"/>
  <c r="K112" i="13"/>
  <c r="K117" i="13"/>
  <c r="H35" i="13"/>
  <c r="H109" i="13"/>
  <c r="J89" i="13"/>
  <c r="D89" i="13"/>
  <c r="D11" i="13"/>
  <c r="J11" i="13"/>
  <c r="J9" i="19"/>
  <c r="L9" i="19" s="1"/>
  <c r="D9" i="19"/>
  <c r="K113" i="13"/>
  <c r="J9" i="13"/>
  <c r="L9" i="13" s="1"/>
  <c r="D9" i="13"/>
  <c r="H68" i="13"/>
  <c r="J88" i="13"/>
  <c r="D88" i="13"/>
  <c r="H100" i="13"/>
  <c r="K22" i="19"/>
  <c r="H12" i="13"/>
  <c r="D78" i="13"/>
  <c r="J78" i="13"/>
  <c r="J12" i="13"/>
  <c r="K120" i="13"/>
  <c r="K88" i="13"/>
  <c r="H117" i="13"/>
  <c r="D48" i="19"/>
  <c r="D35" i="13"/>
  <c r="J35" i="13"/>
  <c r="J68" i="13"/>
  <c r="K86" i="13"/>
  <c r="K89" i="13"/>
  <c r="J107" i="13"/>
  <c r="D107" i="13"/>
  <c r="D112" i="13"/>
  <c r="J112" i="13"/>
  <c r="J117" i="13"/>
  <c r="D86" i="13"/>
  <c r="J86" i="13"/>
  <c r="J125" i="13"/>
  <c r="D8" i="20"/>
  <c r="J8" i="20"/>
  <c r="L8" i="20" s="1"/>
  <c r="J79" i="13"/>
  <c r="D99" i="13"/>
  <c r="J99" i="13"/>
  <c r="J124" i="13"/>
  <c r="D124" i="13"/>
  <c r="H108" i="13"/>
  <c r="H113" i="13"/>
  <c r="D36" i="13"/>
  <c r="D54" i="13"/>
  <c r="D108" i="13"/>
  <c r="J108" i="13"/>
  <c r="J113" i="13"/>
  <c r="K124" i="13"/>
  <c r="L22" i="19"/>
  <c r="D22" i="19"/>
  <c r="J7" i="20"/>
  <c r="D7" i="20"/>
  <c r="J7" i="13"/>
  <c r="D7" i="13"/>
  <c r="D22" i="13"/>
  <c r="J22" i="13"/>
  <c r="J29" i="13"/>
  <c r="D29" i="13"/>
  <c r="D57" i="13"/>
  <c r="K78" i="13"/>
  <c r="K99" i="13"/>
  <c r="D109" i="13"/>
  <c r="J109" i="13"/>
  <c r="J120" i="13"/>
  <c r="D120" i="13"/>
  <c r="H125" i="13"/>
  <c r="J10" i="20"/>
  <c r="D10" i="20"/>
  <c r="J7" i="19"/>
  <c r="D7" i="19"/>
  <c r="J28" i="20"/>
  <c r="D28" i="20"/>
  <c r="D54" i="22"/>
  <c r="D22" i="23"/>
  <c r="J22" i="23"/>
  <c r="D28" i="25"/>
  <c r="J28" i="25"/>
  <c r="J112" i="23"/>
  <c r="D112" i="23"/>
  <c r="D8" i="22"/>
  <c r="J8" i="22"/>
  <c r="L8" i="22" s="1"/>
  <c r="D29" i="23"/>
  <c r="J29" i="23"/>
  <c r="K112" i="23"/>
  <c r="J22" i="51"/>
  <c r="D22" i="51"/>
  <c r="K11" i="23"/>
  <c r="K35" i="23"/>
  <c r="D107" i="23"/>
  <c r="J107" i="23"/>
  <c r="J117" i="23"/>
  <c r="D48" i="25"/>
  <c r="D9" i="22"/>
  <c r="J9" i="22"/>
  <c r="L9" i="22" s="1"/>
  <c r="K12" i="23"/>
  <c r="K67" i="23"/>
  <c r="D78" i="23"/>
  <c r="K78" i="23"/>
  <c r="J108" i="23"/>
  <c r="D108" i="23"/>
  <c r="H113" i="23"/>
  <c r="D67" i="29"/>
  <c r="K67" i="29"/>
  <c r="J75" i="33"/>
  <c r="D75" i="33"/>
  <c r="D48" i="51"/>
  <c r="D54" i="40"/>
  <c r="J28" i="29"/>
  <c r="D28" i="29"/>
  <c r="D136" i="26"/>
  <c r="J136" i="26"/>
  <c r="D7" i="29"/>
  <c r="J7" i="29"/>
  <c r="J12" i="29"/>
  <c r="H12" i="29"/>
  <c r="J109" i="29"/>
  <c r="D109" i="29"/>
  <c r="K120" i="29"/>
  <c r="D68" i="29"/>
  <c r="J68" i="29"/>
  <c r="D86" i="29"/>
  <c r="K86" i="29"/>
  <c r="K89" i="29"/>
  <c r="K107" i="29"/>
  <c r="H121" i="29"/>
  <c r="J10" i="33"/>
  <c r="D10" i="33"/>
  <c r="J68" i="33"/>
  <c r="D68" i="33"/>
  <c r="K78" i="33"/>
  <c r="K77" i="33"/>
  <c r="K112" i="33"/>
  <c r="J8" i="33"/>
  <c r="L8" i="33" s="1"/>
  <c r="D8" i="33"/>
  <c r="H11" i="33"/>
  <c r="K35" i="33"/>
  <c r="D96" i="33"/>
  <c r="J96" i="33"/>
  <c r="J108" i="33"/>
  <c r="D108" i="33"/>
  <c r="K110" i="33"/>
  <c r="D54" i="39"/>
  <c r="J8" i="13"/>
  <c r="L8" i="13" s="1"/>
  <c r="D8" i="13"/>
  <c r="J28" i="13"/>
  <c r="D28" i="13"/>
  <c r="J34" i="13"/>
  <c r="D34" i="13"/>
  <c r="D67" i="13"/>
  <c r="J67" i="13"/>
  <c r="K79" i="13"/>
  <c r="D100" i="13"/>
  <c r="J100" i="13"/>
  <c r="J116" i="13"/>
  <c r="D116" i="13"/>
  <c r="J121" i="13"/>
  <c r="K125" i="13"/>
  <c r="J8" i="19"/>
  <c r="L8" i="19" s="1"/>
  <c r="D8" i="19"/>
  <c r="D57" i="22"/>
  <c r="J9" i="20"/>
  <c r="L9" i="20" s="1"/>
  <c r="D9" i="20"/>
  <c r="K22" i="20"/>
  <c r="K29" i="20"/>
  <c r="J113" i="23"/>
  <c r="K7" i="22"/>
  <c r="D49" i="22"/>
  <c r="J10" i="23"/>
  <c r="J34" i="23"/>
  <c r="K113" i="23"/>
  <c r="J125" i="23"/>
  <c r="J7" i="25"/>
  <c r="D7" i="25"/>
  <c r="D29" i="51"/>
  <c r="J29" i="51"/>
  <c r="J12" i="23"/>
  <c r="J78" i="23"/>
  <c r="H29" i="23"/>
  <c r="J68" i="23"/>
  <c r="K79" i="23"/>
  <c r="J88" i="23"/>
  <c r="D88" i="23"/>
  <c r="K99" i="23"/>
  <c r="J109" i="23"/>
  <c r="K120" i="23"/>
  <c r="D48" i="40"/>
  <c r="J29" i="29"/>
  <c r="D29" i="29"/>
  <c r="D134" i="26"/>
  <c r="J134" i="26"/>
  <c r="D137" i="26"/>
  <c r="J137" i="26"/>
  <c r="K7" i="51"/>
  <c r="K10" i="51"/>
  <c r="J78" i="29"/>
  <c r="D78" i="29"/>
  <c r="J22" i="29"/>
  <c r="D22" i="29"/>
  <c r="K68" i="29"/>
  <c r="J88" i="29"/>
  <c r="D88" i="29"/>
  <c r="J11" i="33"/>
  <c r="J121" i="29"/>
  <c r="J134" i="34"/>
  <c r="D134" i="34"/>
  <c r="K108" i="29"/>
  <c r="D48" i="34"/>
  <c r="H77" i="29"/>
  <c r="H107" i="29"/>
  <c r="J117" i="29"/>
  <c r="D117" i="29"/>
  <c r="J135" i="34"/>
  <c r="D135" i="34"/>
  <c r="J9" i="33"/>
  <c r="L9" i="33" s="1"/>
  <c r="D9" i="33"/>
  <c r="J78" i="33"/>
  <c r="D78" i="33"/>
  <c r="J22" i="33"/>
  <c r="D22" i="33"/>
  <c r="J29" i="33"/>
  <c r="D29" i="33"/>
  <c r="J67" i="33"/>
  <c r="K79" i="33"/>
  <c r="J99" i="33"/>
  <c r="D99" i="33"/>
  <c r="D109" i="33"/>
  <c r="J109" i="33"/>
  <c r="D48" i="38"/>
  <c r="G40" i="9"/>
  <c r="J112" i="33"/>
  <c r="D112" i="33"/>
  <c r="J117" i="33"/>
  <c r="D48" i="39"/>
  <c r="K28"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K86" i="23"/>
  <c r="J89" i="23"/>
  <c r="K100" i="23"/>
  <c r="K116" i="23"/>
  <c r="J121" i="23"/>
  <c r="H125" i="23"/>
  <c r="D54" i="25"/>
  <c r="J7" i="51"/>
  <c r="D7" i="51"/>
  <c r="D10" i="51"/>
  <c r="J10" i="51"/>
  <c r="J34" i="29"/>
  <c r="D10" i="29"/>
  <c r="J10" i="29"/>
  <c r="J89" i="29"/>
  <c r="D89" i="29"/>
  <c r="H10" i="29"/>
  <c r="K22" i="29"/>
  <c r="K29" i="29"/>
  <c r="J120" i="29"/>
  <c r="D120" i="29"/>
  <c r="J107" i="29"/>
  <c r="D107" i="29"/>
  <c r="K78" i="29"/>
  <c r="K99" i="29"/>
  <c r="K109" i="29"/>
  <c r="J125" i="29"/>
  <c r="K134" i="34"/>
  <c r="H27" i="9"/>
  <c r="N69" i="8" s="1"/>
  <c r="H79" i="29"/>
  <c r="D113" i="29"/>
  <c r="J113" i="29"/>
  <c r="K125" i="29"/>
  <c r="D67" i="33"/>
  <c r="K67" i="33"/>
  <c r="J79" i="33"/>
  <c r="D79" i="33"/>
  <c r="J34" i="33"/>
  <c r="K86" i="33"/>
  <c r="D122" i="33"/>
  <c r="J122" i="33"/>
  <c r="K22" i="33"/>
  <c r="K29" i="33"/>
  <c r="H79" i="33"/>
  <c r="J88" i="33"/>
  <c r="D88" i="33"/>
  <c r="J100" i="33"/>
  <c r="D100" i="33"/>
  <c r="K120" i="33"/>
  <c r="J113" i="33"/>
  <c r="D57" i="39"/>
  <c r="J22" i="20"/>
  <c r="D22" i="20"/>
  <c r="J29" i="20"/>
  <c r="D29" i="20"/>
  <c r="D48" i="20"/>
  <c r="J7" i="23"/>
  <c r="D28" i="19"/>
  <c r="L28" i="19"/>
  <c r="K88" i="23"/>
  <c r="J35" i="29"/>
  <c r="D7" i="22"/>
  <c r="J7" i="22"/>
  <c r="H121" i="23"/>
  <c r="K10" i="23"/>
  <c r="K34" i="23"/>
  <c r="H68" i="23"/>
  <c r="D86" i="23"/>
  <c r="J86" i="23"/>
  <c r="J100" i="23"/>
  <c r="D116" i="23"/>
  <c r="J116" i="23"/>
  <c r="J28" i="51"/>
  <c r="D28" i="51"/>
  <c r="H11" i="23"/>
  <c r="H35" i="23"/>
  <c r="K107" i="23"/>
  <c r="K117" i="23"/>
  <c r="J9" i="25"/>
  <c r="L9" i="25" s="1"/>
  <c r="D9" i="25"/>
  <c r="K136" i="26"/>
  <c r="J8" i="51"/>
  <c r="L8" i="51" s="1"/>
  <c r="D8" i="51"/>
  <c r="D135" i="26"/>
  <c r="J135" i="26"/>
  <c r="D57" i="40"/>
  <c r="J8" i="29"/>
  <c r="L8" i="29" s="1"/>
  <c r="D8" i="29"/>
  <c r="J11" i="29"/>
  <c r="J99" i="29"/>
  <c r="D99" i="29"/>
  <c r="D120" i="33"/>
  <c r="J120" i="33"/>
  <c r="D9" i="29"/>
  <c r="J9" i="29"/>
  <c r="L9" i="29" s="1"/>
  <c r="H11" i="29"/>
  <c r="H34" i="29"/>
  <c r="J100" i="29"/>
  <c r="D100" i="29"/>
  <c r="J108" i="29"/>
  <c r="D108" i="29"/>
  <c r="J12" i="33"/>
  <c r="D125" i="33"/>
  <c r="J125" i="33"/>
  <c r="J67" i="29"/>
  <c r="D79" i="29"/>
  <c r="K79" i="29"/>
  <c r="K88" i="29"/>
  <c r="K100" i="29"/>
  <c r="K121" i="29"/>
  <c r="K99" i="33"/>
  <c r="H86" i="29"/>
  <c r="H109" i="29"/>
  <c r="K88" i="33"/>
  <c r="J86" i="33"/>
  <c r="D121" i="33"/>
  <c r="J121" i="33"/>
  <c r="J35" i="33"/>
  <c r="J7" i="33"/>
  <c r="D7" i="33"/>
  <c r="H10" i="33"/>
  <c r="K34" i="33"/>
  <c r="H86" i="33"/>
  <c r="J89" i="33"/>
  <c r="D89" i="33"/>
  <c r="J107" i="33"/>
  <c r="J110" i="33"/>
  <c r="D110" i="33"/>
  <c r="K109" i="33"/>
  <c r="H109" i="33"/>
  <c r="J114" i="33"/>
  <c r="D114" i="33"/>
  <c r="G27" i="9"/>
  <c r="M69" i="8" s="1"/>
  <c r="B10" i="10"/>
  <c r="F21" i="10"/>
  <c r="F10" i="10"/>
  <c r="K9" i="16"/>
  <c r="K8" i="16"/>
  <c r="K22" i="16"/>
  <c r="K7" i="16"/>
  <c r="J8" i="16"/>
  <c r="J9" i="16"/>
  <c r="J22" i="16"/>
  <c r="J28" i="16"/>
  <c r="J29" i="16"/>
  <c r="K10" i="16"/>
  <c r="K29" i="16"/>
  <c r="J10" i="16"/>
  <c r="J7" i="16"/>
  <c r="K28" i="16"/>
  <c r="G15" i="10" l="1"/>
  <c r="E36" i="13"/>
  <c r="E8" i="16"/>
  <c r="G13" i="10"/>
  <c r="E57" i="16"/>
  <c r="G9" i="10"/>
  <c r="E49" i="16"/>
  <c r="G25" i="10"/>
  <c r="E54" i="16"/>
  <c r="C24" i="10"/>
  <c r="E9" i="16"/>
  <c r="E28" i="16"/>
  <c r="G24" i="10"/>
  <c r="G14" i="10"/>
  <c r="C23" i="10"/>
  <c r="E37" i="13"/>
  <c r="E48" i="16"/>
  <c r="E48" i="81"/>
  <c r="C15" i="10"/>
  <c r="G23" i="10"/>
  <c r="C13" i="10"/>
  <c r="G20" i="10"/>
  <c r="C25" i="10"/>
  <c r="C14" i="10"/>
  <c r="C9" i="10"/>
  <c r="E7" i="16"/>
  <c r="C20" i="10"/>
  <c r="E10" i="16"/>
  <c r="G79" i="4"/>
  <c r="C16" i="10"/>
  <c r="E36" i="37"/>
  <c r="C26" i="10"/>
  <c r="E37" i="37"/>
  <c r="G124" i="4"/>
  <c r="G116" i="4"/>
  <c r="D47" i="19"/>
  <c r="G107" i="4"/>
  <c r="G112" i="4"/>
  <c r="G68" i="4"/>
  <c r="G113" i="4"/>
  <c r="G125" i="4"/>
  <c r="B22" i="10"/>
  <c r="B11" i="10"/>
  <c r="B43" i="10"/>
  <c r="B32" i="10"/>
  <c r="F32" i="10"/>
  <c r="B49" i="10"/>
  <c r="B38" i="10"/>
  <c r="G86" i="4"/>
  <c r="G96" i="4"/>
  <c r="G108" i="4"/>
  <c r="F13" i="10"/>
  <c r="G100" i="4"/>
  <c r="G121" i="4"/>
  <c r="G75" i="4"/>
  <c r="N57" i="8"/>
  <c r="H49" i="9"/>
  <c r="F23" i="10"/>
  <c r="M57" i="8"/>
  <c r="G49" i="9"/>
  <c r="D28" i="4"/>
  <c r="N53" i="8"/>
  <c r="M53" i="8"/>
  <c r="M73" i="8"/>
  <c r="L86" i="23"/>
  <c r="E9" i="79"/>
  <c r="E122" i="79"/>
  <c r="E7" i="79"/>
  <c r="E48" i="78"/>
  <c r="E48" i="79"/>
  <c r="E8" i="79"/>
  <c r="E10" i="79"/>
  <c r="E28" i="79"/>
  <c r="H12" i="9"/>
  <c r="N56" i="8" s="1"/>
  <c r="G12" i="9"/>
  <c r="M56" i="8" s="1"/>
  <c r="N73" i="8"/>
  <c r="D34" i="4"/>
  <c r="E48" i="77"/>
  <c r="E55" i="77"/>
  <c r="E49" i="77"/>
  <c r="E54" i="77"/>
  <c r="L107" i="23"/>
  <c r="B12" i="9"/>
  <c r="M11" i="8" s="1"/>
  <c r="H77" i="33"/>
  <c r="L29" i="51"/>
  <c r="N124" i="8"/>
  <c r="H54" i="9"/>
  <c r="N61" i="8"/>
  <c r="E28" i="51"/>
  <c r="G60" i="9"/>
  <c r="M67" i="8"/>
  <c r="G53" i="9"/>
  <c r="M60" i="8"/>
  <c r="E28" i="29"/>
  <c r="G56" i="9"/>
  <c r="M63" i="8"/>
  <c r="E28" i="23"/>
  <c r="E28" i="20"/>
  <c r="G46" i="9"/>
  <c r="M54" i="8"/>
  <c r="E28" i="25"/>
  <c r="E28" i="19"/>
  <c r="G50" i="9"/>
  <c r="M58" i="8"/>
  <c r="M124" i="8"/>
  <c r="G63" i="9"/>
  <c r="I9" i="9"/>
  <c r="G45" i="9"/>
  <c r="G52" i="9"/>
  <c r="G64" i="9"/>
  <c r="G55" i="9"/>
  <c r="K98" i="33"/>
  <c r="C12" i="9"/>
  <c r="L22" i="51"/>
  <c r="D47" i="39"/>
  <c r="L7" i="51"/>
  <c r="E34" i="37"/>
  <c r="E34" i="13"/>
  <c r="L110" i="33"/>
  <c r="E8" i="74"/>
  <c r="E7" i="72"/>
  <c r="E7" i="74"/>
  <c r="E48" i="72"/>
  <c r="E48" i="74"/>
  <c r="E28" i="37"/>
  <c r="E28" i="13"/>
  <c r="D35" i="4"/>
  <c r="C29" i="9"/>
  <c r="N28" i="8" s="1"/>
  <c r="D53" i="40"/>
  <c r="L28" i="51"/>
  <c r="L10" i="51"/>
  <c r="E35" i="13"/>
  <c r="E35" i="37"/>
  <c r="B34" i="10"/>
  <c r="H77" i="13"/>
  <c r="B42" i="10"/>
  <c r="D29" i="4"/>
  <c r="E9" i="72"/>
  <c r="D37" i="4"/>
  <c r="D36" i="4"/>
  <c r="D39" i="4"/>
  <c r="B31" i="10"/>
  <c r="D110" i="4"/>
  <c r="L122" i="33"/>
  <c r="L135" i="26"/>
  <c r="E39" i="13"/>
  <c r="D122" i="4"/>
  <c r="D47" i="34"/>
  <c r="L121" i="13"/>
  <c r="L108" i="33"/>
  <c r="E48" i="37"/>
  <c r="I11" i="37"/>
  <c r="E54" i="37"/>
  <c r="I34" i="37"/>
  <c r="I117" i="37"/>
  <c r="E22" i="37"/>
  <c r="I109" i="37"/>
  <c r="E7" i="37"/>
  <c r="E134" i="37"/>
  <c r="I89" i="37"/>
  <c r="I10" i="37"/>
  <c r="I125" i="37"/>
  <c r="I124" i="37"/>
  <c r="I113" i="37"/>
  <c r="I68" i="37"/>
  <c r="I96" i="37"/>
  <c r="E75" i="37"/>
  <c r="E49" i="37"/>
  <c r="I100" i="37"/>
  <c r="E89" i="37"/>
  <c r="D114" i="4"/>
  <c r="I12" i="37"/>
  <c r="I22" i="37"/>
  <c r="I121" i="37"/>
  <c r="I29" i="37"/>
  <c r="I79" i="37"/>
  <c r="I116" i="37"/>
  <c r="I35" i="37"/>
  <c r="I75" i="37"/>
  <c r="E135" i="37"/>
  <c r="I112" i="37"/>
  <c r="I108" i="37"/>
  <c r="E10" i="37"/>
  <c r="E57" i="37"/>
  <c r="I7" i="37"/>
  <c r="E96" i="37"/>
  <c r="E136" i="37"/>
  <c r="L114" i="33"/>
  <c r="H77" i="23"/>
  <c r="K77" i="23"/>
  <c r="D47" i="21"/>
  <c r="D47" i="20"/>
  <c r="L107" i="29"/>
  <c r="L134" i="26"/>
  <c r="L109" i="23"/>
  <c r="L113" i="33"/>
  <c r="L12" i="33"/>
  <c r="D56" i="22"/>
  <c r="E100" i="37"/>
  <c r="E122" i="37"/>
  <c r="E78" i="37"/>
  <c r="E114" i="37"/>
  <c r="E9" i="37"/>
  <c r="E124" i="37"/>
  <c r="E8" i="37"/>
  <c r="E67" i="37"/>
  <c r="E109" i="37"/>
  <c r="E116" i="37"/>
  <c r="E99" i="37"/>
  <c r="E112" i="37"/>
  <c r="E110" i="37"/>
  <c r="E107" i="37"/>
  <c r="E88" i="37"/>
  <c r="E86" i="37"/>
  <c r="E108" i="37"/>
  <c r="E120" i="37"/>
  <c r="D47" i="38"/>
  <c r="L96" i="33"/>
  <c r="L113" i="29"/>
  <c r="L89" i="23"/>
  <c r="L75" i="33"/>
  <c r="L68" i="33"/>
  <c r="L68" i="23"/>
  <c r="H98" i="29"/>
  <c r="K98" i="29"/>
  <c r="L22" i="23"/>
  <c r="L120" i="33"/>
  <c r="K87" i="29"/>
  <c r="L137" i="26"/>
  <c r="D47" i="40"/>
  <c r="L28" i="23"/>
  <c r="L12" i="29"/>
  <c r="D53" i="13"/>
  <c r="K87" i="33"/>
  <c r="K87" i="23"/>
  <c r="L89" i="33"/>
  <c r="H87" i="29"/>
  <c r="L135" i="34"/>
  <c r="L10" i="29"/>
  <c r="L7" i="33"/>
  <c r="H66" i="23"/>
  <c r="L35" i="29"/>
  <c r="D56" i="39"/>
  <c r="L11" i="29"/>
  <c r="H111" i="13"/>
  <c r="L35" i="23"/>
  <c r="N123" i="8"/>
  <c r="C10" i="9"/>
  <c r="N9" i="8" s="1"/>
  <c r="N102" i="8"/>
  <c r="C22" i="9"/>
  <c r="N21" i="8" s="1"/>
  <c r="C13" i="9"/>
  <c r="C20" i="9"/>
  <c r="N19" i="8" s="1"/>
  <c r="C26" i="9"/>
  <c r="N25" i="8" s="1"/>
  <c r="K111" i="13"/>
  <c r="L107" i="33"/>
  <c r="L100" i="33"/>
  <c r="M102" i="8"/>
  <c r="L108" i="13"/>
  <c r="D56" i="40"/>
  <c r="N126" i="8"/>
  <c r="H119" i="23"/>
  <c r="C18" i="9"/>
  <c r="N17" i="8" s="1"/>
  <c r="D53" i="22"/>
  <c r="L35" i="33"/>
  <c r="L8" i="16"/>
  <c r="L67" i="29"/>
  <c r="L29" i="20"/>
  <c r="L116" i="23"/>
  <c r="L108" i="23"/>
  <c r="L28" i="25"/>
  <c r="L9" i="16"/>
  <c r="H98" i="13"/>
  <c r="K111" i="29"/>
  <c r="L7" i="16"/>
  <c r="D53" i="16"/>
  <c r="D56" i="25"/>
  <c r="L117" i="33"/>
  <c r="L12" i="13"/>
  <c r="D56" i="16"/>
  <c r="N122" i="8"/>
  <c r="L99" i="23"/>
  <c r="L7" i="20"/>
  <c r="K119" i="13"/>
  <c r="M103" i="8"/>
  <c r="K66" i="23"/>
  <c r="L11" i="33"/>
  <c r="H119" i="13"/>
  <c r="L22" i="16"/>
  <c r="L29" i="16"/>
  <c r="C14" i="9"/>
  <c r="N13" i="8" s="1"/>
  <c r="L10" i="16"/>
  <c r="D47" i="16"/>
  <c r="L28" i="16"/>
  <c r="N125" i="8"/>
  <c r="L7" i="13"/>
  <c r="B27" i="9"/>
  <c r="M26" i="8" s="1"/>
  <c r="M104" i="8"/>
  <c r="M125" i="8"/>
  <c r="N101" i="8"/>
  <c r="N127" i="8"/>
  <c r="C27" i="9"/>
  <c r="N26" i="8" s="1"/>
  <c r="C19" i="9"/>
  <c r="N18" i="8" s="1"/>
  <c r="M101" i="8"/>
  <c r="B9" i="9"/>
  <c r="B15" i="9"/>
  <c r="M14" i="8" s="1"/>
  <c r="M105" i="8"/>
  <c r="H119" i="33"/>
  <c r="L125" i="33"/>
  <c r="L121" i="23"/>
  <c r="M123" i="8"/>
  <c r="L116" i="13"/>
  <c r="N104" i="8"/>
  <c r="L10" i="33"/>
  <c r="C17" i="9"/>
  <c r="N16" i="8" s="1"/>
  <c r="B17" i="9"/>
  <c r="M16" i="8" s="1"/>
  <c r="L22" i="13"/>
  <c r="L107" i="13"/>
  <c r="L10" i="13"/>
  <c r="L121" i="33"/>
  <c r="C24" i="9"/>
  <c r="N23" i="8" s="1"/>
  <c r="H87" i="23"/>
  <c r="L7" i="23"/>
  <c r="H87" i="33"/>
  <c r="L120" i="29"/>
  <c r="D47" i="22"/>
  <c r="L11" i="23"/>
  <c r="L117" i="29"/>
  <c r="K119" i="23"/>
  <c r="L34" i="13"/>
  <c r="M126" i="8"/>
  <c r="B19" i="9"/>
  <c r="M18" i="8" s="1"/>
  <c r="B18" i="9"/>
  <c r="M17" i="8" s="1"/>
  <c r="L7" i="19"/>
  <c r="M100" i="8"/>
  <c r="L11" i="13"/>
  <c r="C9" i="9"/>
  <c r="N8" i="8" s="1"/>
  <c r="C28" i="9"/>
  <c r="N27" i="8" s="1"/>
  <c r="E48" i="39"/>
  <c r="I89" i="13"/>
  <c r="I89" i="29"/>
  <c r="I89" i="33"/>
  <c r="I89" i="23"/>
  <c r="I35" i="23"/>
  <c r="I35" i="29"/>
  <c r="I35" i="33"/>
  <c r="I35" i="13"/>
  <c r="G42" i="10"/>
  <c r="I134" i="26"/>
  <c r="I10" i="23"/>
  <c r="I10" i="29"/>
  <c r="I10" i="33"/>
  <c r="I10" i="13"/>
  <c r="E49" i="39"/>
  <c r="I23" i="33"/>
  <c r="I23" i="13"/>
  <c r="I23" i="23"/>
  <c r="I23" i="29"/>
  <c r="E54" i="39"/>
  <c r="C31" i="10"/>
  <c r="G44" i="10"/>
  <c r="C41" i="10"/>
  <c r="I86" i="23"/>
  <c r="I86" i="29"/>
  <c r="I86" i="33"/>
  <c r="C33" i="10"/>
  <c r="H16" i="9"/>
  <c r="N59" i="8" s="1"/>
  <c r="B14" i="9"/>
  <c r="M13" i="8" s="1"/>
  <c r="M127" i="8"/>
  <c r="B10" i="9"/>
  <c r="M9" i="8" s="1"/>
  <c r="H61" i="9"/>
  <c r="N100" i="8"/>
  <c r="I29" i="33"/>
  <c r="I29" i="23"/>
  <c r="I29" i="29"/>
  <c r="I29" i="13"/>
  <c r="I25" i="29"/>
  <c r="I25" i="33"/>
  <c r="I25" i="13"/>
  <c r="I30" i="23"/>
  <c r="I30" i="29"/>
  <c r="I30" i="33"/>
  <c r="I30" i="13"/>
  <c r="C30" i="10"/>
  <c r="I107" i="13"/>
  <c r="I107" i="23"/>
  <c r="I107" i="29"/>
  <c r="I107" i="33"/>
  <c r="C44" i="10"/>
  <c r="I75" i="33"/>
  <c r="I32" i="13"/>
  <c r="I32" i="29"/>
  <c r="I32" i="33"/>
  <c r="I100" i="13"/>
  <c r="I100" i="23"/>
  <c r="I100" i="29"/>
  <c r="I100" i="33"/>
  <c r="I22" i="23"/>
  <c r="I22" i="29"/>
  <c r="I22" i="33"/>
  <c r="I22" i="13"/>
  <c r="C34" i="10"/>
  <c r="I121" i="13"/>
  <c r="I121" i="23"/>
  <c r="I121" i="33"/>
  <c r="I121" i="29"/>
  <c r="I113" i="23"/>
  <c r="I113" i="13"/>
  <c r="I113" i="33"/>
  <c r="I113" i="29"/>
  <c r="I108" i="13"/>
  <c r="N103" i="8"/>
  <c r="B37" i="9"/>
  <c r="B13" i="9"/>
  <c r="B29" i="9"/>
  <c r="M28" i="8" s="1"/>
  <c r="G39" i="9"/>
  <c r="G62" i="9" s="1"/>
  <c r="H19" i="9"/>
  <c r="N62" i="8" s="1"/>
  <c r="C15" i="9"/>
  <c r="N14" i="8" s="1"/>
  <c r="B28" i="9"/>
  <c r="M27" i="8" s="1"/>
  <c r="H26" i="9"/>
  <c r="N68" i="8" s="1"/>
  <c r="B36" i="9"/>
  <c r="I136" i="26"/>
  <c r="G33" i="10"/>
  <c r="I7" i="29"/>
  <c r="I7" i="33"/>
  <c r="I7" i="23"/>
  <c r="I7" i="13"/>
  <c r="B45" i="10"/>
  <c r="I31" i="13"/>
  <c r="I31" i="33"/>
  <c r="I31" i="23"/>
  <c r="I31" i="29"/>
  <c r="C45" i="10"/>
  <c r="C42" i="10"/>
  <c r="I24" i="13"/>
  <c r="I24" i="23"/>
  <c r="B26" i="9"/>
  <c r="M25" i="8" s="1"/>
  <c r="H15" i="9"/>
  <c r="M122" i="8"/>
  <c r="B40" i="9"/>
  <c r="N105" i="8"/>
  <c r="C16" i="9"/>
  <c r="N15" i="8" s="1"/>
  <c r="H28" i="9"/>
  <c r="N70" i="8" s="1"/>
  <c r="F44" i="10"/>
  <c r="I135" i="26"/>
  <c r="E58" i="16"/>
  <c r="I96" i="33"/>
  <c r="E55" i="16"/>
  <c r="I68" i="23"/>
  <c r="I68" i="29"/>
  <c r="I68" i="33"/>
  <c r="I68" i="13"/>
  <c r="G136" i="4"/>
  <c r="F33" i="10"/>
  <c r="I79" i="13"/>
  <c r="I79" i="23"/>
  <c r="I79" i="33"/>
  <c r="I79" i="29"/>
  <c r="I109" i="13"/>
  <c r="I109" i="29"/>
  <c r="I109" i="23"/>
  <c r="I109" i="33"/>
  <c r="I12" i="29"/>
  <c r="I12" i="33"/>
  <c r="I12" i="23"/>
  <c r="I12" i="13"/>
  <c r="G41" i="10"/>
  <c r="I11" i="13"/>
  <c r="I11" i="23"/>
  <c r="I11" i="33"/>
  <c r="G30" i="10"/>
  <c r="I11" i="29"/>
  <c r="I125" i="13"/>
  <c r="I125" i="23"/>
  <c r="I125" i="29"/>
  <c r="I125" i="33"/>
  <c r="I34" i="13"/>
  <c r="I34" i="23"/>
  <c r="I34" i="29"/>
  <c r="I34" i="33"/>
  <c r="G31" i="10"/>
  <c r="D96" i="4"/>
  <c r="I117" i="13"/>
  <c r="I117" i="23"/>
  <c r="I117" i="29"/>
  <c r="I117" i="33"/>
  <c r="D75" i="4"/>
  <c r="E57" i="39"/>
  <c r="L120" i="23"/>
  <c r="L67" i="23"/>
  <c r="H98" i="33"/>
  <c r="L100" i="13"/>
  <c r="D53" i="39"/>
  <c r="L109" i="29"/>
  <c r="L7" i="29"/>
  <c r="L28" i="29"/>
  <c r="L117" i="23"/>
  <c r="H98" i="23"/>
  <c r="L10" i="20"/>
  <c r="K98" i="13"/>
  <c r="L29" i="13"/>
  <c r="G37" i="9"/>
  <c r="G54" i="9" s="1"/>
  <c r="B16" i="9"/>
  <c r="M15" i="8" s="1"/>
  <c r="G38" i="9"/>
  <c r="G58" i="9" s="1"/>
  <c r="B20" i="9"/>
  <c r="M19" i="8" s="1"/>
  <c r="H14" i="9"/>
  <c r="N58" i="8" s="1"/>
  <c r="B24" i="9"/>
  <c r="M23" i="8" s="1"/>
  <c r="N30" i="8"/>
  <c r="H24" i="9"/>
  <c r="N67" i="8" s="1"/>
  <c r="B22" i="9"/>
  <c r="M21" i="8" s="1"/>
  <c r="H22" i="9"/>
  <c r="N65" i="8" s="1"/>
  <c r="L22" i="20"/>
  <c r="L109" i="33"/>
  <c r="L99" i="33"/>
  <c r="H111" i="29"/>
  <c r="L10" i="23"/>
  <c r="L28" i="13"/>
  <c r="D56" i="13"/>
  <c r="L99" i="29"/>
  <c r="K119" i="33"/>
  <c r="L88" i="33"/>
  <c r="L79" i="33"/>
  <c r="L34" i="29"/>
  <c r="H66" i="33"/>
  <c r="L78" i="33"/>
  <c r="L67" i="13"/>
  <c r="L109" i="13"/>
  <c r="L112" i="13"/>
  <c r="L35" i="13"/>
  <c r="L79" i="29"/>
  <c r="L86" i="29"/>
  <c r="L7" i="22"/>
  <c r="K66" i="33"/>
  <c r="L89" i="29"/>
  <c r="L12" i="23"/>
  <c r="H87" i="13"/>
  <c r="L120" i="13"/>
  <c r="L68" i="13"/>
  <c r="L7" i="25"/>
  <c r="L134" i="34"/>
  <c r="L108" i="29"/>
  <c r="D53" i="25"/>
  <c r="L112" i="33"/>
  <c r="L29" i="33"/>
  <c r="L121" i="29"/>
  <c r="L29" i="29"/>
  <c r="H111" i="23"/>
  <c r="L68" i="29"/>
  <c r="L136" i="26"/>
  <c r="D47" i="25"/>
  <c r="L112" i="23"/>
  <c r="L113" i="13"/>
  <c r="L117" i="13"/>
  <c r="L86" i="33"/>
  <c r="H119" i="29"/>
  <c r="L100" i="29"/>
  <c r="L34" i="33"/>
  <c r="L125" i="29"/>
  <c r="L88" i="29"/>
  <c r="L78" i="29"/>
  <c r="L88" i="23"/>
  <c r="L125" i="23"/>
  <c r="L113" i="23"/>
  <c r="H111" i="33"/>
  <c r="D47" i="51"/>
  <c r="L29" i="23"/>
  <c r="L28" i="20"/>
  <c r="L100" i="23"/>
  <c r="L79" i="23"/>
  <c r="L67" i="33"/>
  <c r="L22" i="33"/>
  <c r="L22" i="29"/>
  <c r="J77" i="29"/>
  <c r="K98" i="23"/>
  <c r="L78" i="23"/>
  <c r="L34" i="23"/>
  <c r="L124" i="13"/>
  <c r="L79" i="13"/>
  <c r="L89" i="13"/>
  <c r="L99" i="13"/>
  <c r="L125" i="13"/>
  <c r="L78" i="13"/>
  <c r="K66" i="13"/>
  <c r="L86" i="13"/>
  <c r="K87" i="13"/>
  <c r="J77" i="13"/>
  <c r="L88" i="13"/>
  <c r="H66" i="13"/>
  <c r="D47" i="13"/>
  <c r="D66" i="33"/>
  <c r="J66" i="33"/>
  <c r="J98" i="23"/>
  <c r="D98" i="23"/>
  <c r="D111" i="33"/>
  <c r="J111" i="33"/>
  <c r="D66" i="13"/>
  <c r="J66" i="13"/>
  <c r="K111" i="33"/>
  <c r="J111" i="29"/>
  <c r="D111" i="29"/>
  <c r="J111" i="23"/>
  <c r="D111" i="23"/>
  <c r="J87" i="13"/>
  <c r="D87" i="13"/>
  <c r="J119" i="33"/>
  <c r="D119" i="33"/>
  <c r="D77" i="29"/>
  <c r="K77" i="29"/>
  <c r="D77" i="13"/>
  <c r="K77" i="13"/>
  <c r="J66" i="29"/>
  <c r="J87" i="33"/>
  <c r="D87" i="33"/>
  <c r="D119" i="29"/>
  <c r="J119" i="29"/>
  <c r="D98" i="33"/>
  <c r="J98" i="33"/>
  <c r="J87" i="29"/>
  <c r="D87" i="29"/>
  <c r="J87" i="23"/>
  <c r="D87" i="23"/>
  <c r="K119" i="29"/>
  <c r="K111" i="23"/>
  <c r="D119" i="13"/>
  <c r="J119" i="13"/>
  <c r="D98" i="13"/>
  <c r="J98" i="13"/>
  <c r="D111" i="13"/>
  <c r="J111" i="13"/>
  <c r="J98" i="29"/>
  <c r="D98" i="29"/>
  <c r="H66" i="29"/>
  <c r="D119" i="23"/>
  <c r="J119" i="23"/>
  <c r="J66" i="23"/>
  <c r="D66" i="23"/>
  <c r="D77" i="33"/>
  <c r="J77" i="33"/>
  <c r="L77" i="33" s="1"/>
  <c r="J77" i="23"/>
  <c r="D77" i="23"/>
  <c r="D66" i="29"/>
  <c r="K66" i="29"/>
  <c r="E48" i="38"/>
  <c r="E49" i="38"/>
  <c r="E88" i="33"/>
  <c r="E108" i="33"/>
  <c r="E22" i="33"/>
  <c r="E99" i="33"/>
  <c r="E9" i="33"/>
  <c r="E110" i="33"/>
  <c r="E122" i="33"/>
  <c r="E75" i="33"/>
  <c r="E10" i="33"/>
  <c r="E79" i="33"/>
  <c r="E7" i="33"/>
  <c r="E89" i="33"/>
  <c r="E100" i="33"/>
  <c r="E125" i="33"/>
  <c r="E68" i="33"/>
  <c r="E96" i="33"/>
  <c r="E8" i="33"/>
  <c r="E78" i="33"/>
  <c r="E67" i="33"/>
  <c r="E112" i="33"/>
  <c r="E109" i="33"/>
  <c r="E114" i="33"/>
  <c r="E121" i="33"/>
  <c r="E120" i="33"/>
  <c r="E99" i="29"/>
  <c r="E9" i="29"/>
  <c r="E48" i="34"/>
  <c r="E86" i="29"/>
  <c r="E117" i="29"/>
  <c r="E134" i="34"/>
  <c r="E68" i="29"/>
  <c r="E88" i="29"/>
  <c r="E108" i="29"/>
  <c r="E22" i="29"/>
  <c r="E10" i="29"/>
  <c r="E79" i="29"/>
  <c r="E135" i="34"/>
  <c r="E7" i="29"/>
  <c r="E89" i="29"/>
  <c r="E100" i="29"/>
  <c r="E107" i="29"/>
  <c r="E8" i="29"/>
  <c r="E78" i="29"/>
  <c r="E67" i="29"/>
  <c r="E109" i="29"/>
  <c r="E120" i="29"/>
  <c r="E113" i="29"/>
  <c r="E48" i="40"/>
  <c r="E57" i="40"/>
  <c r="E54" i="40"/>
  <c r="E9" i="51"/>
  <c r="E48" i="51"/>
  <c r="E22" i="51"/>
  <c r="E10" i="51"/>
  <c r="E7" i="51"/>
  <c r="E8" i="51"/>
  <c r="E9" i="25"/>
  <c r="E57" i="25"/>
  <c r="E48" i="25"/>
  <c r="E137" i="26"/>
  <c r="E54" i="25"/>
  <c r="E135" i="26"/>
  <c r="E7" i="25"/>
  <c r="E136" i="26"/>
  <c r="E134" i="26"/>
  <c r="E8" i="25"/>
  <c r="E99" i="23"/>
  <c r="E86" i="23"/>
  <c r="E88" i="23"/>
  <c r="E108" i="23"/>
  <c r="E116" i="23"/>
  <c r="E22" i="23"/>
  <c r="E107" i="23"/>
  <c r="E78" i="23"/>
  <c r="E67" i="23"/>
  <c r="E112" i="23"/>
  <c r="E120" i="23"/>
  <c r="E9" i="22"/>
  <c r="E48" i="21"/>
  <c r="E48" i="22"/>
  <c r="E57" i="22"/>
  <c r="E49" i="22"/>
  <c r="E54" i="22"/>
  <c r="E7" i="22"/>
  <c r="E8" i="22"/>
  <c r="E22" i="19"/>
  <c r="E22" i="20"/>
  <c r="E10" i="20"/>
  <c r="E49" i="19"/>
  <c r="E7" i="19"/>
  <c r="E7" i="20"/>
  <c r="E9" i="19"/>
  <c r="E9" i="20"/>
  <c r="E48" i="19"/>
  <c r="E48" i="20"/>
  <c r="E8" i="19"/>
  <c r="E8" i="20"/>
  <c r="E99" i="13"/>
  <c r="E9" i="13"/>
  <c r="E48" i="13"/>
  <c r="E86" i="13"/>
  <c r="E88" i="13"/>
  <c r="E124" i="13"/>
  <c r="E108" i="13"/>
  <c r="E116" i="13"/>
  <c r="E22" i="13"/>
  <c r="E10" i="13"/>
  <c r="E57" i="13"/>
  <c r="E11" i="13"/>
  <c r="E54" i="13"/>
  <c r="E7" i="13"/>
  <c r="E89" i="13"/>
  <c r="E100" i="13"/>
  <c r="E107" i="13"/>
  <c r="E8" i="13"/>
  <c r="E78" i="13"/>
  <c r="E67" i="13"/>
  <c r="E112" i="13"/>
  <c r="E109" i="13"/>
  <c r="E120" i="13"/>
  <c r="D116" i="4"/>
  <c r="D108" i="4"/>
  <c r="D117" i="4"/>
  <c r="D124" i="4"/>
  <c r="D125" i="4"/>
  <c r="D109" i="4"/>
  <c r="D22" i="4"/>
  <c r="D136" i="4"/>
  <c r="D57" i="4"/>
  <c r="G22" i="4"/>
  <c r="D113" i="4"/>
  <c r="D137" i="4"/>
  <c r="D10" i="4"/>
  <c r="D112" i="4"/>
  <c r="D55" i="4"/>
  <c r="D120" i="4"/>
  <c r="D7" i="4"/>
  <c r="D68" i="4"/>
  <c r="D8" i="4"/>
  <c r="D134" i="4"/>
  <c r="G7" i="4"/>
  <c r="D48" i="4"/>
  <c r="D54" i="4"/>
  <c r="D49" i="4"/>
  <c r="D11" i="4"/>
  <c r="G12" i="4"/>
  <c r="G34" i="4"/>
  <c r="D121" i="4"/>
  <c r="G11" i="4"/>
  <c r="H22" i="4"/>
  <c r="G29" i="4"/>
  <c r="D67" i="4"/>
  <c r="D100" i="4"/>
  <c r="G10" i="4"/>
  <c r="D89" i="4"/>
  <c r="G35" i="4"/>
  <c r="D99" i="4"/>
  <c r="D86" i="4"/>
  <c r="D107" i="4"/>
  <c r="D135" i="4"/>
  <c r="G135" i="4"/>
  <c r="G134" i="4"/>
  <c r="D78" i="4"/>
  <c r="D88" i="4"/>
  <c r="D79" i="4"/>
  <c r="D9" i="4"/>
  <c r="G12" i="10" l="1"/>
  <c r="C11" i="10"/>
  <c r="E47" i="81"/>
  <c r="G22" i="10"/>
  <c r="C22" i="10"/>
  <c r="C12" i="10"/>
  <c r="G77" i="4"/>
  <c r="G87" i="4"/>
  <c r="G111" i="4"/>
  <c r="G119" i="4"/>
  <c r="G98" i="4"/>
  <c r="F43" i="10"/>
  <c r="M12" i="8"/>
  <c r="B49" i="9"/>
  <c r="N12" i="8"/>
  <c r="C49" i="9"/>
  <c r="C32" i="9"/>
  <c r="H32" i="9"/>
  <c r="J23" i="9" s="1"/>
  <c r="M8" i="8"/>
  <c r="B32" i="9"/>
  <c r="G32" i="9"/>
  <c r="M30" i="8"/>
  <c r="G48" i="9"/>
  <c r="G68" i="9" s="1"/>
  <c r="E66" i="79"/>
  <c r="E97" i="79"/>
  <c r="E76" i="79"/>
  <c r="E47" i="78"/>
  <c r="E47" i="79"/>
  <c r="E119" i="79"/>
  <c r="E87" i="79"/>
  <c r="I12" i="9"/>
  <c r="H48" i="9"/>
  <c r="E47" i="77"/>
  <c r="E53" i="77"/>
  <c r="B48" i="9"/>
  <c r="L98" i="33"/>
  <c r="C48" i="9"/>
  <c r="N11" i="8"/>
  <c r="D12" i="9"/>
  <c r="E47" i="72"/>
  <c r="E47" i="74"/>
  <c r="L77" i="23"/>
  <c r="I77" i="29"/>
  <c r="I77" i="23"/>
  <c r="I77" i="13"/>
  <c r="I77" i="33"/>
  <c r="E56" i="37"/>
  <c r="I111" i="37"/>
  <c r="E119" i="37"/>
  <c r="I119" i="37"/>
  <c r="E47" i="37"/>
  <c r="I87" i="37"/>
  <c r="E111" i="37"/>
  <c r="E53" i="37"/>
  <c r="I66" i="37"/>
  <c r="I77" i="37"/>
  <c r="L87" i="29"/>
  <c r="E97" i="33"/>
  <c r="E97" i="29"/>
  <c r="E97" i="37"/>
  <c r="E97" i="13"/>
  <c r="I98" i="37"/>
  <c r="L119" i="13"/>
  <c r="E76" i="33"/>
  <c r="E76" i="29"/>
  <c r="E76" i="37"/>
  <c r="E76" i="13"/>
  <c r="E66" i="37"/>
  <c r="E87" i="33"/>
  <c r="E87" i="37"/>
  <c r="E98" i="37"/>
  <c r="E77" i="37"/>
  <c r="L111" i="29"/>
  <c r="L111" i="13"/>
  <c r="L87" i="33"/>
  <c r="L98" i="29"/>
  <c r="L119" i="23"/>
  <c r="L87" i="23"/>
  <c r="L98" i="23"/>
  <c r="E87" i="13"/>
  <c r="E87" i="23"/>
  <c r="D98" i="4"/>
  <c r="E98" i="29"/>
  <c r="E98" i="33"/>
  <c r="L119" i="33"/>
  <c r="L98" i="13"/>
  <c r="L66" i="33"/>
  <c r="L66" i="23"/>
  <c r="L66" i="13"/>
  <c r="E66" i="23"/>
  <c r="E66" i="13"/>
  <c r="E66" i="29"/>
  <c r="E66" i="33"/>
  <c r="L111" i="33"/>
  <c r="D87" i="4"/>
  <c r="E98" i="23"/>
  <c r="E87" i="29"/>
  <c r="C43" i="10"/>
  <c r="I119" i="13"/>
  <c r="I119" i="23"/>
  <c r="I119" i="29"/>
  <c r="I119" i="33"/>
  <c r="G43" i="10"/>
  <c r="F22" i="10"/>
  <c r="I98" i="13"/>
  <c r="I98" i="23"/>
  <c r="I98" i="29"/>
  <c r="I98" i="33"/>
  <c r="D66" i="4"/>
  <c r="B12" i="10"/>
  <c r="I66" i="13"/>
  <c r="I66" i="29"/>
  <c r="I66" i="33"/>
  <c r="I66" i="23"/>
  <c r="G66" i="4"/>
  <c r="F12" i="10"/>
  <c r="E53" i="39"/>
  <c r="C38" i="10"/>
  <c r="E53" i="16"/>
  <c r="I111" i="13"/>
  <c r="I111" i="23"/>
  <c r="I111" i="29"/>
  <c r="I111" i="33"/>
  <c r="G32" i="10"/>
  <c r="E56" i="39"/>
  <c r="E56" i="16"/>
  <c r="C49" i="10"/>
  <c r="C32" i="10"/>
  <c r="E47" i="39"/>
  <c r="E47" i="16"/>
  <c r="I87" i="13"/>
  <c r="I87" i="29"/>
  <c r="I87" i="23"/>
  <c r="I87" i="33"/>
  <c r="L87" i="13"/>
  <c r="L119" i="29"/>
  <c r="L66" i="29"/>
  <c r="L77" i="29"/>
  <c r="L111" i="23"/>
  <c r="E98" i="13"/>
  <c r="L77" i="13"/>
  <c r="E47" i="38"/>
  <c r="E77" i="33"/>
  <c r="E111" i="33"/>
  <c r="E119" i="33"/>
  <c r="E47" i="34"/>
  <c r="E119" i="29"/>
  <c r="E77" i="29"/>
  <c r="E111" i="29"/>
  <c r="E53" i="40"/>
  <c r="E56" i="40"/>
  <c r="E47" i="40"/>
  <c r="E47" i="51"/>
  <c r="E53" i="25"/>
  <c r="E47" i="25"/>
  <c r="E56" i="25"/>
  <c r="E119" i="23"/>
  <c r="E77" i="23"/>
  <c r="E111" i="23"/>
  <c r="E56" i="22"/>
  <c r="E47" i="21"/>
  <c r="E47" i="22"/>
  <c r="E53" i="22"/>
  <c r="E47" i="19"/>
  <c r="E47" i="20"/>
  <c r="E53" i="13"/>
  <c r="E77" i="13"/>
  <c r="E56" i="13"/>
  <c r="E111" i="13"/>
  <c r="E47" i="13"/>
  <c r="E119" i="13"/>
  <c r="D111" i="4"/>
  <c r="D77" i="4"/>
  <c r="D119" i="4"/>
  <c r="D53" i="4"/>
  <c r="D56" i="4"/>
  <c r="D47" i="4"/>
  <c r="E21" i="9" l="1"/>
  <c r="E23" i="9"/>
  <c r="J28" i="9"/>
  <c r="J15" i="9"/>
  <c r="J27" i="9"/>
  <c r="J11" i="9"/>
  <c r="J25" i="9"/>
  <c r="J9" i="9"/>
  <c r="J31" i="9"/>
  <c r="J22" i="9"/>
  <c r="J24" i="9"/>
  <c r="J16" i="9"/>
  <c r="J30" i="9"/>
  <c r="J21" i="9"/>
  <c r="J14" i="9"/>
  <c r="J12" i="9"/>
  <c r="J18" i="9"/>
  <c r="J26" i="9"/>
  <c r="J10" i="9"/>
  <c r="J29" i="9"/>
  <c r="J20" i="9"/>
  <c r="J13" i="9"/>
  <c r="J19" i="9"/>
  <c r="J17" i="9"/>
  <c r="I48" i="9"/>
  <c r="D48" i="9"/>
  <c r="C60" i="10"/>
  <c r="H107" i="4"/>
  <c r="H114" i="4"/>
  <c r="H116" i="4"/>
  <c r="H28" i="4"/>
  <c r="J32" i="9" l="1"/>
  <c r="H98" i="4"/>
  <c r="H117" i="4"/>
  <c r="H99" i="4"/>
  <c r="H24"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I28" i="4"/>
  <c r="H109" i="4"/>
  <c r="I32" i="4"/>
  <c r="I67" i="4"/>
  <c r="K11" i="10"/>
  <c r="I23" i="4"/>
  <c r="H22" i="10"/>
  <c r="H108" i="4"/>
  <c r="H10" i="4"/>
  <c r="I77" i="4"/>
  <c r="I88" i="4"/>
  <c r="I117" i="4"/>
  <c r="H67" i="4"/>
  <c r="H12" i="10"/>
  <c r="I116" i="4"/>
  <c r="H120" i="4"/>
  <c r="I110" i="4"/>
  <c r="I113" i="4"/>
  <c r="I78" i="4"/>
  <c r="K26" i="10"/>
  <c r="I98" i="4"/>
  <c r="I99" i="4"/>
  <c r="K9" i="10"/>
  <c r="H77" i="4"/>
  <c r="H24" i="10"/>
  <c r="I31" i="4"/>
  <c r="I24" i="4"/>
  <c r="K16" i="10"/>
  <c r="I30" i="4"/>
  <c r="H36" i="4"/>
  <c r="K45" i="10"/>
  <c r="H39" i="4"/>
  <c r="I107" i="4"/>
  <c r="I8" i="4"/>
  <c r="I114" i="4"/>
  <c r="I86" i="4"/>
  <c r="H10" i="10"/>
  <c r="I124" i="4"/>
  <c r="H100" i="4"/>
  <c r="H7" i="4"/>
  <c r="H23" i="4"/>
  <c r="H15" i="10"/>
  <c r="I125" i="4"/>
  <c r="M30" i="16" l="1"/>
  <c r="M9" i="16"/>
  <c r="M8" i="16"/>
  <c r="M28" i="16"/>
  <c r="M28" i="79"/>
  <c r="M97" i="79"/>
  <c r="M76" i="79"/>
  <c r="M8" i="79"/>
  <c r="M122" i="79"/>
  <c r="M30" i="79"/>
  <c r="M9" i="79"/>
  <c r="M9" i="72"/>
  <c r="M8" i="74"/>
  <c r="J23" i="4"/>
  <c r="J24" i="4"/>
  <c r="J110" i="4"/>
  <c r="M67" i="37"/>
  <c r="M107" i="37"/>
  <c r="M32" i="37"/>
  <c r="M79" i="37"/>
  <c r="M124" i="37"/>
  <c r="M88" i="37"/>
  <c r="M78" i="37"/>
  <c r="M100" i="37"/>
  <c r="M86" i="37"/>
  <c r="M122" i="37"/>
  <c r="M109" i="37"/>
  <c r="M99" i="37"/>
  <c r="M113" i="37"/>
  <c r="M117" i="37"/>
  <c r="M28" i="37"/>
  <c r="M114" i="37"/>
  <c r="M110" i="37"/>
  <c r="M9" i="37"/>
  <c r="M31" i="37"/>
  <c r="M8" i="37"/>
  <c r="M24" i="37"/>
  <c r="M108" i="37"/>
  <c r="M112" i="37"/>
  <c r="J122" i="4"/>
  <c r="M23" i="37"/>
  <c r="M121" i="37"/>
  <c r="M125" i="37"/>
  <c r="M30" i="37"/>
  <c r="M116" i="37"/>
  <c r="M120" i="37"/>
  <c r="J114" i="4"/>
  <c r="M98" i="37"/>
  <c r="M97" i="37"/>
  <c r="M97" i="13"/>
  <c r="M97" i="29"/>
  <c r="M97" i="33"/>
  <c r="M77" i="37"/>
  <c r="M76" i="37"/>
  <c r="M76" i="33"/>
  <c r="M76" i="29"/>
  <c r="M76" i="13"/>
  <c r="M24" i="13"/>
  <c r="M24" i="23"/>
  <c r="M24" i="33"/>
  <c r="M24" i="29"/>
  <c r="M88" i="13"/>
  <c r="M88" i="29"/>
  <c r="M88" i="23"/>
  <c r="M88" i="33"/>
  <c r="J28" i="4"/>
  <c r="M28" i="19"/>
  <c r="M28" i="20"/>
  <c r="M28" i="25"/>
  <c r="M28" i="23"/>
  <c r="M28" i="51"/>
  <c r="M28" i="29"/>
  <c r="M28" i="13"/>
  <c r="M121" i="23"/>
  <c r="M121" i="13"/>
  <c r="M121" i="29"/>
  <c r="M121" i="33"/>
  <c r="M125" i="23"/>
  <c r="M125" i="13"/>
  <c r="M125" i="29"/>
  <c r="M125" i="33"/>
  <c r="M124" i="13"/>
  <c r="M114" i="33"/>
  <c r="M31" i="23"/>
  <c r="M31" i="13"/>
  <c r="M31" i="29"/>
  <c r="M31" i="33"/>
  <c r="M78" i="23"/>
  <c r="M78" i="13"/>
  <c r="M78" i="29"/>
  <c r="M78" i="33"/>
  <c r="M113" i="23"/>
  <c r="M113" i="13"/>
  <c r="M113" i="29"/>
  <c r="M113" i="33"/>
  <c r="J116" i="4"/>
  <c r="M116" i="13"/>
  <c r="M116" i="23"/>
  <c r="M117" i="23"/>
  <c r="M117" i="13"/>
  <c r="M117" i="29"/>
  <c r="M117" i="33"/>
  <c r="M23" i="20"/>
  <c r="M23" i="23"/>
  <c r="M23" i="13"/>
  <c r="M23" i="29"/>
  <c r="M23" i="33"/>
  <c r="M32" i="13"/>
  <c r="M32" i="33"/>
  <c r="M32" i="29"/>
  <c r="M79" i="13"/>
  <c r="M79" i="23"/>
  <c r="M79" i="33"/>
  <c r="M79" i="29"/>
  <c r="M8" i="20"/>
  <c r="M8" i="13"/>
  <c r="M8" i="22"/>
  <c r="M8" i="51"/>
  <c r="M8" i="25"/>
  <c r="M8" i="29"/>
  <c r="M8" i="33"/>
  <c r="M8" i="19"/>
  <c r="M30" i="20"/>
  <c r="M30" i="13"/>
  <c r="M30" i="23"/>
  <c r="M30" i="33"/>
  <c r="M30" i="29"/>
  <c r="M99" i="23"/>
  <c r="M99" i="29"/>
  <c r="M99" i="13"/>
  <c r="M99" i="33"/>
  <c r="M110" i="33"/>
  <c r="M120" i="13"/>
  <c r="M120" i="23"/>
  <c r="M120" i="29"/>
  <c r="M120" i="33"/>
  <c r="M100" i="13"/>
  <c r="M100" i="29"/>
  <c r="M100" i="33"/>
  <c r="M100" i="23"/>
  <c r="M122" i="33"/>
  <c r="M108" i="13"/>
  <c r="M108" i="23"/>
  <c r="M108" i="33"/>
  <c r="M108" i="29"/>
  <c r="M9" i="19"/>
  <c r="M9" i="25"/>
  <c r="M9" i="20"/>
  <c r="M9" i="22"/>
  <c r="M9" i="51"/>
  <c r="M9" i="13"/>
  <c r="M9" i="29"/>
  <c r="M9" i="33"/>
  <c r="M86" i="23"/>
  <c r="M86" i="29"/>
  <c r="M86" i="13"/>
  <c r="M86" i="33"/>
  <c r="J107" i="4"/>
  <c r="M107" i="23"/>
  <c r="M107" i="13"/>
  <c r="M107" i="29"/>
  <c r="M107" i="33"/>
  <c r="M98" i="13"/>
  <c r="M98" i="23"/>
  <c r="M98" i="29"/>
  <c r="M98" i="33"/>
  <c r="M77" i="13"/>
  <c r="M77" i="23"/>
  <c r="M77" i="29"/>
  <c r="M77" i="33"/>
  <c r="M67" i="13"/>
  <c r="M67" i="23"/>
  <c r="M67" i="29"/>
  <c r="M67" i="33"/>
  <c r="M109" i="13"/>
  <c r="M109" i="23"/>
  <c r="M109" i="29"/>
  <c r="M109" i="33"/>
  <c r="M112" i="13"/>
  <c r="M112" i="23"/>
  <c r="M112" i="33"/>
  <c r="J108" i="4"/>
  <c r="M38" i="8"/>
  <c r="D38" i="9"/>
  <c r="H60" i="9"/>
  <c r="H46" i="9"/>
  <c r="N40" i="8"/>
  <c r="B65" i="9"/>
  <c r="D29" i="9"/>
  <c r="D14" i="9"/>
  <c r="B50" i="9"/>
  <c r="D20" i="9"/>
  <c r="B56" i="9"/>
  <c r="B41" i="9"/>
  <c r="I22" i="9"/>
  <c r="H50" i="9"/>
  <c r="B64" i="9"/>
  <c r="D28" i="9"/>
  <c r="I18" i="9"/>
  <c r="N38" i="8"/>
  <c r="C46" i="9"/>
  <c r="C56" i="9"/>
  <c r="B54" i="9"/>
  <c r="D18" i="9"/>
  <c r="H51" i="9"/>
  <c r="N37" i="8"/>
  <c r="N36" i="8"/>
  <c r="C63" i="9"/>
  <c r="N39" i="8"/>
  <c r="M40" i="8"/>
  <c r="D40" i="9"/>
  <c r="B63" i="9"/>
  <c r="I31" i="9"/>
  <c r="C45" i="9"/>
  <c r="M78" i="8"/>
  <c r="I35" i="9"/>
  <c r="H53" i="9"/>
  <c r="D39" i="9"/>
  <c r="M39" i="8"/>
  <c r="H56" i="9"/>
  <c r="I19" i="9"/>
  <c r="D13" i="9"/>
  <c r="B60" i="9"/>
  <c r="D24" i="9"/>
  <c r="C54" i="9"/>
  <c r="D31" i="9"/>
  <c r="D9" i="9"/>
  <c r="B45" i="9"/>
  <c r="M79" i="8"/>
  <c r="I36" i="9"/>
  <c r="I26" i="9"/>
  <c r="H62" i="9"/>
  <c r="H63" i="9"/>
  <c r="N83" i="8"/>
  <c r="H58" i="9"/>
  <c r="N79" i="8"/>
  <c r="H45" i="9"/>
  <c r="C51" i="9"/>
  <c r="I38" i="9"/>
  <c r="M81" i="8"/>
  <c r="N81" i="8"/>
  <c r="C65" i="9"/>
  <c r="C62" i="9"/>
  <c r="D19" i="9"/>
  <c r="B55" i="9"/>
  <c r="C52" i="9"/>
  <c r="N82" i="8"/>
  <c r="C41" i="9"/>
  <c r="M37" i="8"/>
  <c r="D37" i="9"/>
  <c r="I24" i="9"/>
  <c r="B58" i="9"/>
  <c r="D22" i="9"/>
  <c r="D35" i="9"/>
  <c r="M35" i="8"/>
  <c r="N80" i="8"/>
  <c r="D27" i="9"/>
  <c r="H41" i="9"/>
  <c r="C60" i="9"/>
  <c r="N35" i="8"/>
  <c r="B52" i="9"/>
  <c r="D16" i="9"/>
  <c r="C55" i="9"/>
  <c r="N78" i="8"/>
  <c r="C64" i="9"/>
  <c r="I37" i="9"/>
  <c r="M80" i="8"/>
  <c r="D10" i="9"/>
  <c r="B46" i="9"/>
  <c r="C50" i="9"/>
  <c r="G41" i="9"/>
  <c r="F27" i="10" s="1"/>
  <c r="D26" i="9"/>
  <c r="B62" i="9"/>
  <c r="H52" i="9"/>
  <c r="M82" i="8"/>
  <c r="I39" i="9"/>
  <c r="H55" i="9"/>
  <c r="D17" i="9"/>
  <c r="B53" i="9"/>
  <c r="H64" i="9"/>
  <c r="C53" i="9"/>
  <c r="M83" i="8"/>
  <c r="I40" i="9"/>
  <c r="M36" i="8"/>
  <c r="D36" i="9"/>
  <c r="D25" i="9"/>
  <c r="B51" i="9"/>
  <c r="D15" i="9"/>
  <c r="I13" i="9"/>
  <c r="I27" i="9"/>
  <c r="I16" i="9"/>
  <c r="C58"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J34" i="10"/>
  <c r="H66" i="4"/>
  <c r="H32" i="10"/>
  <c r="F54" i="10"/>
  <c r="I22" i="4"/>
  <c r="K41" i="10"/>
  <c r="C46" i="10"/>
  <c r="H119" i="4"/>
  <c r="H137" i="4"/>
  <c r="I136" i="4"/>
  <c r="H68" i="4"/>
  <c r="I68" i="4"/>
  <c r="K43" i="10"/>
  <c r="I10" i="4"/>
  <c r="H135" i="4"/>
  <c r="H12" i="4"/>
  <c r="J26" i="10"/>
  <c r="L26" i="10" s="1"/>
  <c r="D26" i="10"/>
  <c r="I34" i="4"/>
  <c r="M34" i="37" s="1"/>
  <c r="H9" i="10"/>
  <c r="J9" i="10"/>
  <c r="L9" i="10" s="1"/>
  <c r="J49" i="10"/>
  <c r="L49" i="10" s="1"/>
  <c r="D49" i="10"/>
  <c r="D21" i="10"/>
  <c r="J21" i="10"/>
  <c r="I39" i="4"/>
  <c r="I36" i="4"/>
  <c r="B35" i="10"/>
  <c r="J30" i="10"/>
  <c r="B52" i="10"/>
  <c r="D30" i="10"/>
  <c r="I7" i="4"/>
  <c r="K60" i="10"/>
  <c r="K38" i="10"/>
  <c r="H13" i="10"/>
  <c r="G35" i="10"/>
  <c r="G52" i="10"/>
  <c r="I35" i="4"/>
  <c r="M35" i="37" s="1"/>
  <c r="D12" i="10"/>
  <c r="J12" i="10"/>
  <c r="I12" i="4"/>
  <c r="D43" i="10"/>
  <c r="J43" i="10"/>
  <c r="I134" i="4"/>
  <c r="I11" i="4"/>
  <c r="K20" i="10"/>
  <c r="D25" i="10"/>
  <c r="J25" i="10"/>
  <c r="J41" i="10"/>
  <c r="B46" i="10"/>
  <c r="K31" i="10"/>
  <c r="C53" i="10"/>
  <c r="L37" i="9"/>
  <c r="M22" i="16" l="1"/>
  <c r="M29" i="16"/>
  <c r="M7" i="16"/>
  <c r="M10" i="16"/>
  <c r="B68" i="9"/>
  <c r="H68" i="9"/>
  <c r="M119" i="79"/>
  <c r="M22" i="79"/>
  <c r="M29" i="79"/>
  <c r="M10" i="79"/>
  <c r="M66" i="79"/>
  <c r="M7" i="79"/>
  <c r="M87" i="79"/>
  <c r="J66" i="9"/>
  <c r="B17" i="10"/>
  <c r="L15" i="9"/>
  <c r="M27" i="9"/>
  <c r="J57" i="9" l="1"/>
  <c r="J59" i="9"/>
  <c r="J47" i="9"/>
  <c r="M7" i="72"/>
  <c r="M7" i="74"/>
  <c r="J37" i="9"/>
  <c r="O35" i="9"/>
  <c r="L26" i="9"/>
  <c r="L38" i="9"/>
  <c r="M35" i="9"/>
  <c r="L36" i="9"/>
  <c r="M39" i="9"/>
  <c r="O28" i="9"/>
  <c r="N30" i="9"/>
  <c r="O29" i="9"/>
  <c r="N35" i="9"/>
  <c r="M9" i="9"/>
  <c r="L31" i="9"/>
  <c r="N15" i="9"/>
  <c r="M15" i="9"/>
  <c r="L16" i="9"/>
  <c r="O18" i="9"/>
  <c r="O12" i="9"/>
  <c r="O27" i="9"/>
  <c r="N26" i="9"/>
  <c r="O15" i="9"/>
  <c r="L27" i="9"/>
  <c r="L35" i="9"/>
  <c r="L28" i="9"/>
  <c r="M25" i="9"/>
  <c r="L40" i="9"/>
  <c r="L25" i="9"/>
  <c r="L12" i="9"/>
  <c r="M10" i="9"/>
  <c r="M37" i="9"/>
  <c r="N17" i="9"/>
  <c r="O20" i="9"/>
  <c r="N28" i="9"/>
  <c r="L19" i="9"/>
  <c r="N18" i="9"/>
  <c r="O26" i="9"/>
  <c r="N19" i="9"/>
  <c r="O9" i="9"/>
  <c r="L22" i="9"/>
  <c r="M29" i="9"/>
  <c r="N31" i="9"/>
  <c r="O40" i="9"/>
  <c r="L9" i="9"/>
  <c r="M40" i="9"/>
  <c r="L14" i="9"/>
  <c r="M16" i="9"/>
  <c r="N39" i="9"/>
  <c r="O30" i="9"/>
  <c r="O36" i="9"/>
  <c r="M14" i="9"/>
  <c r="O25" i="9"/>
  <c r="O16" i="9"/>
  <c r="L17" i="9"/>
  <c r="M17" i="9"/>
  <c r="N36" i="9"/>
  <c r="O10" i="9"/>
  <c r="N25" i="9"/>
  <c r="M12" i="9"/>
  <c r="M19" i="9"/>
  <c r="L24" i="9"/>
  <c r="N10" i="9"/>
  <c r="O37" i="9"/>
  <c r="O24" i="9"/>
  <c r="N27" i="9"/>
  <c r="L10" i="9"/>
  <c r="O39" i="9"/>
  <c r="O14" i="9"/>
  <c r="M20" i="9"/>
  <c r="M38" i="9"/>
  <c r="L39" i="9"/>
  <c r="O17" i="9"/>
  <c r="N12" i="9"/>
  <c r="M30" i="9"/>
  <c r="N9" i="9"/>
  <c r="N22" i="9"/>
  <c r="N38" i="9"/>
  <c r="M18" i="9"/>
  <c r="O31" i="9"/>
  <c r="N40" i="9"/>
  <c r="M26" i="9"/>
  <c r="O22" i="9"/>
  <c r="M36" i="9"/>
  <c r="N29" i="9"/>
  <c r="N20" i="9"/>
  <c r="M31" i="9"/>
  <c r="M24" i="9"/>
  <c r="M28" i="9"/>
  <c r="N37" i="9"/>
  <c r="O38" i="9"/>
  <c r="M22" i="9"/>
  <c r="L29" i="9"/>
  <c r="N16" i="9"/>
  <c r="O19" i="9"/>
  <c r="L20" i="9"/>
  <c r="N24" i="9"/>
  <c r="N14" i="9"/>
  <c r="L18" i="9"/>
  <c r="J25" i="4" l="1"/>
  <c r="M22" i="37"/>
  <c r="M29" i="37"/>
  <c r="M135" i="37"/>
  <c r="M37" i="37"/>
  <c r="M66" i="37"/>
  <c r="M111" i="37"/>
  <c r="M10" i="37"/>
  <c r="M136" i="37"/>
  <c r="M75" i="37"/>
  <c r="M134" i="37"/>
  <c r="M36" i="37"/>
  <c r="M12" i="37"/>
  <c r="M89" i="37"/>
  <c r="M87" i="37"/>
  <c r="M25" i="37"/>
  <c r="M11" i="37"/>
  <c r="M7" i="37"/>
  <c r="M119" i="37"/>
  <c r="M68" i="37"/>
  <c r="M96" i="37"/>
  <c r="L24" i="10"/>
  <c r="L14" i="10"/>
  <c r="J39" i="4"/>
  <c r="J75" i="4"/>
  <c r="J96" i="4"/>
  <c r="L15" i="10"/>
  <c r="L45" i="9"/>
  <c r="M41" i="9"/>
  <c r="M63" i="9"/>
  <c r="O62" i="9"/>
  <c r="L50" i="9"/>
  <c r="M45" i="9"/>
  <c r="M52" i="9"/>
  <c r="O52" i="9"/>
  <c r="N55" i="9"/>
  <c r="O65" i="9"/>
  <c r="O51" i="9"/>
  <c r="M55" i="9"/>
  <c r="N52" i="9"/>
  <c r="N49" i="9"/>
  <c r="O64" i="9"/>
  <c r="M62" i="9"/>
  <c r="L60" i="9"/>
  <c r="L53" i="9"/>
  <c r="L58" i="9"/>
  <c r="M67" i="9"/>
  <c r="L64" i="9"/>
  <c r="M32" i="9"/>
  <c r="O50" i="9"/>
  <c r="L41" i="9"/>
  <c r="L49" i="9"/>
  <c r="M65" i="9"/>
  <c r="N32" i="9"/>
  <c r="M56" i="9"/>
  <c r="O41" i="9"/>
  <c r="N51" i="9"/>
  <c r="O45" i="9"/>
  <c r="L55" i="9"/>
  <c r="N65" i="9"/>
  <c r="M58" i="9"/>
  <c r="O58" i="9"/>
  <c r="N63" i="9"/>
  <c r="O54" i="9"/>
  <c r="L56" i="9"/>
  <c r="L63" i="9"/>
  <c r="N60" i="9"/>
  <c r="N50" i="9"/>
  <c r="O55" i="9"/>
  <c r="O67" i="9"/>
  <c r="O63" i="9"/>
  <c r="L54" i="9"/>
  <c r="O60" i="9"/>
  <c r="N45" i="9"/>
  <c r="L67" i="9"/>
  <c r="M64" i="9"/>
  <c r="N58" i="9"/>
  <c r="M50" i="9"/>
  <c r="O32" i="9"/>
  <c r="M53" i="9"/>
  <c r="M54" i="9"/>
  <c r="N64" i="9"/>
  <c r="N46" i="9"/>
  <c r="L62" i="9"/>
  <c r="M49" i="9"/>
  <c r="M51" i="9"/>
  <c r="N41" i="9"/>
  <c r="N56" i="9"/>
  <c r="M46" i="9"/>
  <c r="N67" i="9"/>
  <c r="N54" i="9"/>
  <c r="L32" i="9"/>
  <c r="M60" i="9"/>
  <c r="L51" i="9"/>
  <c r="O53" i="9"/>
  <c r="O49" i="9"/>
  <c r="O46" i="9"/>
  <c r="N62" i="9"/>
  <c r="O56" i="9"/>
  <c r="L46" i="9"/>
  <c r="L42" i="10"/>
  <c r="J11" i="4"/>
  <c r="M11" i="13"/>
  <c r="M11" i="33"/>
  <c r="M11" i="23"/>
  <c r="M11" i="29"/>
  <c r="J10" i="4"/>
  <c r="M10" i="20"/>
  <c r="M10" i="23"/>
  <c r="M10" i="13"/>
  <c r="M10" i="51"/>
  <c r="M10" i="29"/>
  <c r="M10" i="33"/>
  <c r="M68" i="13"/>
  <c r="M68" i="23"/>
  <c r="M68" i="29"/>
  <c r="M68" i="33"/>
  <c r="M136" i="26"/>
  <c r="M119" i="23"/>
  <c r="M119" i="13"/>
  <c r="M119" i="29"/>
  <c r="M119" i="33"/>
  <c r="M111" i="23"/>
  <c r="M111" i="29"/>
  <c r="M111" i="13"/>
  <c r="M111" i="33"/>
  <c r="J7" i="4"/>
  <c r="M7" i="19"/>
  <c r="M7" i="13"/>
  <c r="M7" i="23"/>
  <c r="M7" i="22"/>
  <c r="M7" i="25"/>
  <c r="M7" i="20"/>
  <c r="M7" i="29"/>
  <c r="M7" i="51"/>
  <c r="M7" i="33"/>
  <c r="J22" i="4"/>
  <c r="M22" i="20"/>
  <c r="M22" i="13"/>
  <c r="M22" i="51"/>
  <c r="M22" i="19"/>
  <c r="M22" i="23"/>
  <c r="M22" i="29"/>
  <c r="M22" i="33"/>
  <c r="M29" i="23"/>
  <c r="M29" i="13"/>
  <c r="M29" i="29"/>
  <c r="M29" i="51"/>
  <c r="M29" i="20"/>
  <c r="M29" i="33"/>
  <c r="M137" i="26"/>
  <c r="M87" i="13"/>
  <c r="M87" i="23"/>
  <c r="M87" i="33"/>
  <c r="M87" i="29"/>
  <c r="M35" i="13"/>
  <c r="M35" i="23"/>
  <c r="M35" i="29"/>
  <c r="M35" i="33"/>
  <c r="M39" i="13"/>
  <c r="M34" i="13"/>
  <c r="M34" i="23"/>
  <c r="M34" i="29"/>
  <c r="M34" i="33"/>
  <c r="M66" i="13"/>
  <c r="M66" i="33"/>
  <c r="M66" i="23"/>
  <c r="M66" i="29"/>
  <c r="M89" i="13"/>
  <c r="M89" i="23"/>
  <c r="M89" i="29"/>
  <c r="M89" i="33"/>
  <c r="M96" i="33"/>
  <c r="M75" i="33"/>
  <c r="J37" i="4"/>
  <c r="M37" i="13"/>
  <c r="I63" i="9"/>
  <c r="M134" i="26"/>
  <c r="M134" i="34"/>
  <c r="M12" i="13"/>
  <c r="M12" i="23"/>
  <c r="M12" i="29"/>
  <c r="M12" i="33"/>
  <c r="J36" i="4"/>
  <c r="M36" i="13"/>
  <c r="L21" i="10"/>
  <c r="H53" i="10"/>
  <c r="M135" i="26"/>
  <c r="M135" i="34"/>
  <c r="M25" i="13"/>
  <c r="M25" i="29"/>
  <c r="M25" i="33"/>
  <c r="L31" i="10"/>
  <c r="L22" i="10"/>
  <c r="L12" i="10"/>
  <c r="L10" i="10"/>
  <c r="I58" i="9"/>
  <c r="I67" i="9"/>
  <c r="I52" i="9"/>
  <c r="I49" i="9"/>
  <c r="I32" i="9"/>
  <c r="D41" i="9"/>
  <c r="G17" i="10"/>
  <c r="E36" i="9"/>
  <c r="E35" i="9"/>
  <c r="E40" i="9"/>
  <c r="E39" i="9"/>
  <c r="E38" i="9"/>
  <c r="F17" i="10"/>
  <c r="J17" i="10" s="1"/>
  <c r="E37" i="9"/>
  <c r="B27" i="10"/>
  <c r="J27" i="10" s="1"/>
  <c r="J38" i="9"/>
  <c r="G27" i="10"/>
  <c r="H27" i="10" s="1"/>
  <c r="J48" i="9"/>
  <c r="C27" i="10"/>
  <c r="J39" i="9"/>
  <c r="J35" i="9"/>
  <c r="I41" i="9"/>
  <c r="J36" i="9"/>
  <c r="J40"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30" i="9"/>
  <c r="N53" i="9" l="1"/>
  <c r="L52" i="9"/>
  <c r="L68" i="9" s="1"/>
  <c r="L65" i="9"/>
  <c r="J65" i="9"/>
  <c r="J61" i="9"/>
  <c r="L55" i="10"/>
  <c r="M68" i="9"/>
  <c r="O68" i="9"/>
  <c r="N68" i="9"/>
  <c r="L53" i="10"/>
  <c r="J41" i="9"/>
  <c r="I68" i="9"/>
  <c r="E41" i="9"/>
  <c r="H17" i="10"/>
  <c r="J52" i="9"/>
  <c r="J51" i="9"/>
  <c r="D27" i="10"/>
  <c r="K27" i="10"/>
  <c r="L27" i="10" s="1"/>
  <c r="J46" i="9"/>
  <c r="J54" i="9"/>
  <c r="I54" i="9" s="1"/>
  <c r="J56" i="9"/>
  <c r="J45" i="9"/>
  <c r="I45" i="9" s="1"/>
  <c r="J58" i="9"/>
  <c r="J53" i="9"/>
  <c r="J60" i="9"/>
  <c r="I60" i="9" s="1"/>
  <c r="J49" i="9"/>
  <c r="J67" i="9"/>
  <c r="J64" i="9"/>
  <c r="J55" i="9"/>
  <c r="I55" i="9" s="1"/>
  <c r="J50" i="9"/>
  <c r="J62" i="9"/>
  <c r="I62" i="9" s="1"/>
  <c r="J63" i="9"/>
  <c r="K57" i="10"/>
  <c r="H57" i="10"/>
  <c r="L46" i="10"/>
  <c r="L35" i="10"/>
  <c r="L54" i="10"/>
  <c r="J57" i="10"/>
  <c r="D57" i="10"/>
  <c r="L52" i="10"/>
  <c r="J68" i="9" l="1"/>
  <c r="L57" i="10"/>
  <c r="D30" i="9" l="1"/>
  <c r="N29" i="8" l="1"/>
  <c r="C66" i="9"/>
  <c r="D66" i="9" l="1"/>
  <c r="C68" i="9"/>
  <c r="E59" i="9" s="1"/>
  <c r="E11" i="9"/>
  <c r="E25" i="9"/>
  <c r="D32" i="9"/>
  <c r="E22" i="9"/>
  <c r="E13" i="9"/>
  <c r="E31" i="9"/>
  <c r="E19" i="9"/>
  <c r="E28" i="9"/>
  <c r="E14" i="9"/>
  <c r="E9" i="9"/>
  <c r="E24" i="9"/>
  <c r="E12" i="9"/>
  <c r="C17" i="10"/>
  <c r="K17" i="10" s="1"/>
  <c r="L17" i="10" s="1"/>
  <c r="E26" i="9"/>
  <c r="E30" i="9"/>
  <c r="E17" i="9"/>
  <c r="E20" i="9"/>
  <c r="E16" i="9"/>
  <c r="E10" i="9"/>
  <c r="E27" i="9"/>
  <c r="E29" i="9"/>
  <c r="E15" i="9"/>
  <c r="E18" i="9"/>
  <c r="E66" i="9"/>
  <c r="E32" i="9" l="1"/>
  <c r="E47" i="9"/>
  <c r="E57" i="9"/>
  <c r="D68" i="9"/>
  <c r="D17" i="10"/>
  <c r="E48" i="9"/>
  <c r="E56" i="9"/>
  <c r="D56" i="9" s="1"/>
  <c r="E67" i="9"/>
  <c r="D67" i="9" s="1"/>
  <c r="E60" i="9"/>
  <c r="D60" i="9" s="1"/>
  <c r="E62" i="9"/>
  <c r="D62" i="9" s="1"/>
  <c r="E51" i="9"/>
  <c r="D51" i="9" s="1"/>
  <c r="E54" i="9"/>
  <c r="D54" i="9" s="1"/>
  <c r="E46" i="9"/>
  <c r="D46" i="9" s="1"/>
  <c r="E55" i="9"/>
  <c r="D55" i="9" s="1"/>
  <c r="E45" i="9"/>
  <c r="D45" i="9" s="1"/>
  <c r="E52" i="9"/>
  <c r="D52" i="9" s="1"/>
  <c r="E63" i="9"/>
  <c r="D63" i="9" s="1"/>
  <c r="E61" i="9"/>
  <c r="E49" i="9"/>
  <c r="D49" i="9" s="1"/>
  <c r="E65" i="9"/>
  <c r="D65" i="9" s="1"/>
  <c r="E53" i="9"/>
  <c r="D53" i="9" s="1"/>
  <c r="E64" i="9"/>
  <c r="D64" i="9" s="1"/>
  <c r="E50" i="9"/>
  <c r="D50" i="9" s="1"/>
  <c r="E58" i="9"/>
  <c r="D58" i="9" s="1"/>
  <c r="E68"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8"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<sst xmlns="http://schemas.openxmlformats.org/spreadsheetml/2006/main" count="5437" uniqueCount="423">
  <si>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</si>
  <si>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</si>
  <si>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</si>
  <si>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</si>
  <si>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</si>
  <si>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</si>
  <si>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</si>
  <si>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</si>
  <si>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</si>
  <si>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</si>
  <si>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</si>
  <si>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</si>
  <si>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</si>
  <si>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</si>
  <si>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</si>
  <si>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</si>
  <si>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</si>
  <si>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</si>
  <si>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</si>
  <si>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</si>
  <si>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</si>
  <si>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</si>
  <si>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</si>
  <si>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</si>
  <si>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</si>
  <si>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</si>
  <si>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</si>
  <si>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</si>
  <si>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</si>
  <si>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</si>
  <si>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</si>
  <si>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</si>
  <si>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</si>
  <si>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</si>
  <si>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</si>
  <si>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</si>
  <si>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</si>
  <si>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</si>
  <si>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</si>
  <si>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</si>
  <si>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</si>
  <si>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</si>
  <si>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</si>
  <si>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</si>
  <si>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</si>
  <si>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</si>
  <si>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</si>
  <si>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</si>
  <si>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</si>
  <si>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</si>
  <si>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</si>
  <si>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</si>
  <si>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</si>
  <si>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</si>
  <si>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DNB Liv</t>
  </si>
  <si>
    <t>Eika Forsikring</t>
  </si>
  <si>
    <t>Frende Livsfors</t>
  </si>
  <si>
    <t>Frende Skade</t>
  </si>
  <si>
    <t>Gjensidige Fors</t>
  </si>
  <si>
    <t>Gjensidige Pensj</t>
  </si>
  <si>
    <t>If Skadefors</t>
  </si>
  <si>
    <t>KLP</t>
  </si>
  <si>
    <t>KLP Skadef</t>
  </si>
  <si>
    <t>Nordea Liv</t>
  </si>
  <si>
    <t>OPF</t>
  </si>
  <si>
    <t>SpareBank 1</t>
  </si>
  <si>
    <t>Telenor Fors</t>
  </si>
  <si>
    <t>Tryg Fors</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</si>
  <si>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</si>
  <si>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</si>
  <si>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</si>
  <si>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</si>
  <si>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</si>
  <si>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</si>
  <si>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</si>
  <si>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</si>
  <si>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</si>
  <si>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</si>
  <si>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</si>
  <si>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DNB Livsforsikring</t>
  </si>
  <si>
    <t>Eika Forsikring AS</t>
  </si>
  <si>
    <t>Frende Livsforsikring</t>
  </si>
  <si>
    <t>Frende Skadeforsikring</t>
  </si>
  <si>
    <t>Gjensidige Forsikring</t>
  </si>
  <si>
    <t>Gjensidige Pensjon</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</si>
  <si>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</si>
  <si>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</si>
  <si>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</si>
  <si>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</si>
  <si>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</si>
  <si>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</si>
  <si>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</si>
  <si>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</si>
  <si>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</si>
  <si>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</si>
  <si>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</si>
  <si>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</si>
  <si>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</si>
  <si>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</si>
  <si>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</si>
  <si>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</si>
  <si>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</si>
  <si>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</si>
  <si>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</si>
  <si>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</si>
  <si>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</si>
  <si>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etter tjenestepensjonsloven</t>
  </si>
  <si>
    <t xml:space="preserve">   Foreningskollektiv</t>
  </si>
  <si>
    <t>Totalt brutto forfalt premie</t>
  </si>
  <si>
    <t>Totalt forsikringsforpliktelser</t>
  </si>
  <si>
    <t>Totalt overførte reserver fra andre</t>
  </si>
  <si>
    <t>Totalt overførte reserver til andre</t>
  </si>
  <si>
    <t>Totalt netto overførte reserver fra andre</t>
  </si>
  <si>
    <t>DNB Livsforsikring ASA</t>
  </si>
  <si>
    <t>Eika Gruppen AS</t>
  </si>
  <si>
    <t>Frende Livsforsikring AS</t>
  </si>
  <si>
    <t>Frende Skadeforsikring AS</t>
  </si>
  <si>
    <t>Gjensidige Forsikring ASA</t>
  </si>
  <si>
    <t>If Skadeforsikring nuf</t>
  </si>
  <si>
    <t>Livsforsikringsselskapet Nordea Liv Norge AS</t>
  </si>
  <si>
    <t>Telenor Forsikring AS</t>
  </si>
  <si>
    <t>SpareBank 1 Forsikring AS</t>
  </si>
  <si>
    <t>KLP Skadeforsikring</t>
  </si>
  <si>
    <t>Selskap</t>
  </si>
  <si>
    <t>Flytting fra andre</t>
  </si>
  <si>
    <t>Flytting til andre</t>
  </si>
  <si>
    <t>Q8</t>
  </si>
  <si>
    <t>Q9</t>
  </si>
  <si>
    <t>Q10</t>
  </si>
  <si>
    <t>Q16</t>
  </si>
  <si>
    <t>R7</t>
  </si>
  <si>
    <t>R8</t>
  </si>
  <si>
    <t>R9</t>
  </si>
  <si>
    <t>R10</t>
  </si>
  <si>
    <t>R14</t>
  </si>
  <si>
    <t>R15</t>
  </si>
  <si>
    <t>Q17</t>
  </si>
  <si>
    <t>Q18</t>
  </si>
  <si>
    <t>R11</t>
  </si>
  <si>
    <t>Tabell 1.3 Hovedtall</t>
  </si>
  <si>
    <t>Aktivaposter (aggregert)</t>
  </si>
  <si>
    <t>i mill. kr</t>
  </si>
  <si>
    <t>prosentvis andel</t>
  </si>
  <si>
    <t>Selskapsporteføljen</t>
  </si>
  <si>
    <t xml:space="preserve">   Aksjer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</si>
  <si>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</si>
  <si>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</si>
  <si>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</si>
  <si>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</si>
  <si>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</si>
  <si>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</si>
  <si>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</si>
  <si>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</si>
  <si>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</si>
  <si>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</si>
  <si>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</si>
  <si>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</si>
  <si>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</si>
  <si>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</si>
  <si>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</si>
  <si>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</si>
  <si>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</si>
  <si>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</si>
  <si>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</si>
  <si>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</si>
  <si>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</si>
  <si>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</si>
  <si>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</si>
  <si>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</si>
  <si>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</si>
  <si>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</si>
  <si>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</si>
  <si>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</si>
  <si>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</si>
  <si>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</si>
  <si>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</si>
  <si>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</si>
  <si>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</si>
  <si>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</si>
  <si>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</si>
  <si>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</si>
  <si>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</si>
  <si>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</si>
  <si>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</si>
  <si>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</si>
  <si>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</si>
  <si>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</si>
  <si>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6.3.2 Utlån og fordringer</t>
  </si>
  <si>
    <t xml:space="preserve">    6.4 Finansielle eiendeler som måles til virkelig verdi</t>
  </si>
  <si>
    <t xml:space="preserve">         6.4.1 Aksjer og andeler (inkl. aksjer og andeler målt til kost)</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</si>
  <si>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</si>
  <si>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</si>
  <si>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</si>
  <si>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</si>
  <si>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</si>
  <si>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</si>
  <si>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</si>
  <si>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</si>
  <si>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8.3.2 Utlån og fordringer</t>
  </si>
  <si>
    <t xml:space="preserve">    8.4 Finansielle eiendeler som måles til virkelig verdi</t>
  </si>
  <si>
    <t xml:space="preserve">         8.4.1 Aksjer og andeler (inkl. aksjer og andeler målt til kost)</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</si>
  <si>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</si>
  <si>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</si>
  <si>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</si>
  <si>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</si>
  <si>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</si>
  <si>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</si>
  <si>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</si>
  <si>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</si>
  <si>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</si>
  <si>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</si>
  <si>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</si>
  <si>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</si>
  <si>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</si>
  <si>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</si>
  <si>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</si>
  <si>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</si>
  <si>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</si>
  <si>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</si>
  <si>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</si>
  <si>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</si>
  <si>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</si>
  <si>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</si>
  <si>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</si>
  <si>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</si>
  <si>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</si>
  <si>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</si>
  <si>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</si>
  <si>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</si>
  <si>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</si>
  <si>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</si>
  <si>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</si>
  <si>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</si>
  <si>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</si>
  <si>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</si>
  <si>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</si>
  <si>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</si>
  <si>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</si>
  <si>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</si>
  <si>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</si>
  <si>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</si>
  <si>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</si>
  <si>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</si>
  <si>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</si>
  <si>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</si>
  <si>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</si>
  <si>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</si>
  <si>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</si>
  <si>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</si>
  <si>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</si>
  <si>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</si>
  <si>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</si>
  <si>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</si>
  <si>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</si>
  <si>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</si>
  <si>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</si>
  <si>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</si>
  <si>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</si>
  <si>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</si>
  <si>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</si>
  <si>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</si>
  <si>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 xml:space="preserve">    1.1 Forfalt premier, brutto</t>
  </si>
  <si>
    <t xml:space="preserve">    1.2 - Avgitte gjenforsikringspremier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</si>
  <si>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</si>
  <si>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</si>
  <si>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</si>
  <si>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</si>
  <si>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</si>
  <si>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</si>
  <si>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</si>
  <si>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</si>
  <si>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</si>
  <si>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</si>
  <si>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</si>
  <si>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</si>
  <si>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</si>
  <si>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</si>
  <si>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</si>
  <si>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</si>
  <si>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</si>
  <si>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</si>
  <si>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</si>
  <si>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</si>
  <si>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</si>
  <si>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</si>
  <si>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</si>
  <si>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</si>
  <si>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</si>
  <si>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</si>
  <si>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</si>
  <si>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</si>
  <si>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</si>
  <si>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</si>
  <si>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</si>
  <si>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</si>
  <si>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</si>
  <si>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</si>
  <si>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</si>
  <si>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</si>
  <si>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</si>
  <si>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</si>
  <si>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</si>
  <si>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</si>
  <si>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</si>
  <si>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</si>
  <si>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</si>
  <si>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</si>
  <si>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</si>
  <si>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</si>
  <si>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</si>
  <si>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</si>
  <si>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</si>
  <si>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</si>
  <si>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</si>
  <si>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</si>
  <si>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</si>
  <si>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</si>
  <si>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</si>
  <si>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</si>
  <si>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</si>
  <si>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</si>
  <si>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</si>
  <si>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</si>
  <si>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</si>
  <si>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</si>
  <si>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</si>
  <si>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</si>
  <si>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</si>
  <si>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</si>
  <si>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</si>
  <si>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</si>
  <si>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</si>
  <si>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</si>
  <si>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</si>
  <si>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</si>
  <si>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</si>
  <si>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</si>
  <si>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</si>
  <si>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</si>
  <si>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</si>
  <si>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</si>
  <si>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</si>
  <si>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</si>
  <si>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</si>
  <si>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</si>
  <si>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</si>
  <si>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</si>
  <si>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</si>
  <si>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</si>
  <si>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</si>
  <si>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</si>
  <si>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</si>
  <si>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Fremtind Livsforsikring</t>
  </si>
  <si>
    <t>WaterCircle Forsikring</t>
  </si>
  <si>
    <t>Fremtind Livsfors</t>
  </si>
  <si>
    <t>Landkreditt Fors.</t>
  </si>
  <si>
    <t>Fremtind Liv</t>
  </si>
  <si>
    <t>Avkastningstall (%)</t>
  </si>
  <si>
    <r>
      <t xml:space="preserve">Soliditetskapital </t>
    </r>
    <r>
      <rPr>
        <sz val="14"/>
        <rFont val="Times New Roman"/>
        <family val="1"/>
      </rPr>
      <t>(%)</t>
    </r>
  </si>
  <si>
    <t>Mer/mindre-verdier</t>
  </si>
  <si>
    <t>Landkreditt Forsikring</t>
  </si>
  <si>
    <t>WaterCircles Fors.</t>
  </si>
  <si>
    <t>WaterCicles Fors.</t>
  </si>
  <si>
    <t>WaterCircles Forsikring</t>
  </si>
  <si>
    <t>Landkreditt Fors</t>
  </si>
  <si>
    <t>Euro Accident</t>
  </si>
  <si>
    <t xml:space="preserve">   Innskuddsbasert (inkl. EPK)</t>
  </si>
  <si>
    <t>Forsikring</t>
  </si>
  <si>
    <t>SpareBank 1 Forsikring</t>
  </si>
  <si>
    <t>Ly Forsikring</t>
  </si>
  <si>
    <t>Youplus Livsforsikring</t>
  </si>
  <si>
    <t>Youplus</t>
  </si>
  <si>
    <t>Youplus Livsf</t>
  </si>
  <si>
    <t>Postene Herav pensjonskapitalbevis omfatter pensjonskapitalbevis innenfor og utenfor Egen pensjonskonto. Med pensjonskapitalbevis innenfor Egen pensjonskonto menes passiv kapital. Se for øvrig note 14.</t>
  </si>
  <si>
    <r>
      <t xml:space="preserve">  Herav pensjonskapitalbevis innenfor og utenfor EPK</t>
    </r>
    <r>
      <rPr>
        <vertAlign val="superscript"/>
        <sz val="10"/>
        <rFont val="Times New Roman"/>
        <family val="1"/>
      </rPr>
      <t>14) 18)</t>
    </r>
  </si>
  <si>
    <t xml:space="preserve">    6.1 Endring i premiereserve mv.</t>
  </si>
  <si>
    <t>18. Resultat før andre inntekter og kostnader</t>
  </si>
  <si>
    <t>19. Andre inntekter og kostnader</t>
  </si>
  <si>
    <t>Bufferfond</t>
  </si>
  <si>
    <t>Storebrand Liv</t>
  </si>
  <si>
    <t>1. Premieinntekter f.e.r.</t>
  </si>
  <si>
    <t xml:space="preserve">    1.3 Overføring av premiereserve og pensjonskapital mv. fra andre f.selskap/p.kasser</t>
  </si>
  <si>
    <t xml:space="preserve">    6.2 Endring i bufferfond</t>
  </si>
  <si>
    <t xml:space="preserve">    6.2 Endring i tilleggsavsetninger (2023)</t>
  </si>
  <si>
    <t xml:space="preserve">    6.3 Endring i premiefond, innskuddsfond og fond for regulering av pensjoner mv.</t>
  </si>
  <si>
    <t xml:space="preserve">    6.3 Endring i kursreguleringsfond (2023)</t>
  </si>
  <si>
    <t xml:space="preserve">    6.4 Endring i tekniske avsetninger for skadeforsikringsvirksomhet</t>
  </si>
  <si>
    <r>
      <t>norske livselskaper</t>
    </r>
    <r>
      <rPr>
        <b/>
        <vertAlign val="superscript"/>
        <sz val="14"/>
        <rFont val="Times New Roman"/>
        <family val="1"/>
      </rPr>
      <t xml:space="preserve"> </t>
    </r>
  </si>
  <si>
    <t xml:space="preserve">    13.2 Tilleggsavsetninger (2023)</t>
  </si>
  <si>
    <t xml:space="preserve">    13.3 Kursreguleringsfond (2023)</t>
  </si>
  <si>
    <t xml:space="preserve">    13.2 Bufferfond</t>
  </si>
  <si>
    <t xml:space="preserve">    13.3 Premiefond, innskuddsfond og ford for regulering av pensjoner mv.</t>
  </si>
  <si>
    <t xml:space="preserve">    13.4 Andre tekniske avsetninger for skadeforsikringsvirksomheten</t>
  </si>
  <si>
    <t xml:space="preserve">    14.1 Pensjonskapital mv.</t>
  </si>
  <si>
    <t xml:space="preserve">    14.2 Tilleggsavsetninger (2023)</t>
  </si>
  <si>
    <t xml:space="preserve">    14.2 Bufferfond</t>
  </si>
  <si>
    <t xml:space="preserve">    14.3 Premiefond, innskuddsfond og fond for regulering av pensjoner mv.</t>
  </si>
  <si>
    <t>Kursreguleringsfond (2023)</t>
  </si>
  <si>
    <t>31.03.</t>
  </si>
  <si>
    <t>Kapitalavkastning II hittil i år (2023)</t>
  </si>
  <si>
    <t xml:space="preserve">Forsikringsforpliktelser i livsforsikring tilsvarer post 13 i balansen uten investeringsvalg og post 14 i balansen for produkter med investeringsvalg. Gjenforsikringsandel skal ikke tas hensyn til i markedsdelen. </t>
  </si>
  <si>
    <t/>
  </si>
  <si>
    <r>
      <t xml:space="preserve">Kapitalavkastning hittil i år </t>
    </r>
    <r>
      <rPr>
        <i/>
        <sz val="14"/>
        <rFont val="Times New Roman"/>
        <family val="1"/>
      </rPr>
      <t>/ Kapitalavkastning I hittil i år (2023)</t>
    </r>
  </si>
  <si>
    <t>Oslo Forsikring</t>
  </si>
  <si>
    <t>Figur 1  Brutto forfalt premie livprodukter  -  produkter uten investeringsvalg pr. 31.03.</t>
  </si>
  <si>
    <t>Figur 2  Brutto forfalt premie livprodukter  -  produkter med investeringsvalg pr. 31.03.</t>
  </si>
  <si>
    <t>Figur 3  Forsikringsforpliktelser i livsforsikring  -  produkter uten investeringsvalg pr. 31.03.</t>
  </si>
  <si>
    <t>Figur 4  Forsikringsforpliktelser i livsforsikring -  produkter med investeringsvalg pr. 31.03.</t>
  </si>
  <si>
    <t>Figur 5  Netto tilflytting livprodukter  -  produkter uten investeringsvalg pr. 31.03.</t>
  </si>
  <si>
    <t>Figur 6  Netto tilflytting livprodukter  -  produkter med investeringsvalg pr. 31.03.</t>
  </si>
  <si>
    <t xml:space="preserve">         6.3.1 Rentebærende verdipapirer</t>
  </si>
  <si>
    <t xml:space="preserve">         6.4.2 Rentebærende verdipapirer</t>
  </si>
  <si>
    <t xml:space="preserve">         8.3.1 Rentebærende verdipapirer</t>
  </si>
  <si>
    <t xml:space="preserve">         8.4.2 Rentebærende verdipapirer</t>
  </si>
  <si>
    <t xml:space="preserve">         2.3.1 Rentebærende verdipapirer</t>
  </si>
  <si>
    <t xml:space="preserve">         2.4.2 Rentebærende verdipapirer</t>
  </si>
  <si>
    <t xml:space="preserve">   Rentebærende verdipapirer</t>
  </si>
  <si>
    <t xml:space="preserve">    5.2 Overføring av premiereserve, pensjonskapital mv. og bufferfond til andre f.selskap/p.kasser</t>
  </si>
  <si>
    <t xml:space="preserve">    6.5 Overføring av bufferfond fra andre fors.selskap/pensj.kasser</t>
  </si>
  <si>
    <t>30.03.</t>
  </si>
  <si>
    <t xml:space="preserve">     - herav innskuddsbasert</t>
  </si>
  <si>
    <t>31.3.2023</t>
  </si>
  <si>
    <t>31.3.2024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</si>
</sst>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
      <b/>
      <sz val="10"/>
      <color rgb="FFFF0000"/>
      <name val="Arial"/>
      <family val="2"/>
    </font>
    <font>
      <b/>
      <sz val="15"/>
      <name val="Arial"/>
      <family val="2"/>
    </font>
    <font>
      <i/>
      <sz val="14"/>
      <name val="Times New Roman"/>
      <family val="1"/>
    </font>
    <font>
      <b/>
      <i/>
      <sz val="16"/>
      <color rgb="FFFF0000"/>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3">
    <xf numFmtId="0" fontId="0" fillId="0" borderId="0"/>
    <xf numFmtId="0" fontId="20" fillId="0" borderId="0"/>
    <xf numFmtId="164" fontId="26" fillId="0" borderId="0" applyFont="0" applyFill="0" applyBorder="0" applyAlignment="0" applyProtection="0"/>
    <xf numFmtId="0" fontId="43"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0" fontId="15" fillId="0" borderId="0"/>
    <xf numFmtId="164" fontId="20" fillId="0" borderId="0" applyFont="0" applyFill="0" applyBorder="0" applyAlignment="0" applyProtection="0"/>
    <xf numFmtId="164" fontId="20" fillId="0" borderId="0" applyFont="0" applyFill="0" applyBorder="0" applyAlignment="0" applyProtection="0"/>
    <xf numFmtId="0" fontId="1" fillId="0" borderId="0"/>
    <xf numFmtId="0" fontId="20" fillId="0" borderId="0"/>
  </cellStyleXfs>
  <cellXfs count="739">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8" fillId="0" borderId="0" xfId="3" applyFont="1" applyFill="1" applyAlignment="1" applyProtection="1"/>
    <xf numFmtId="0" fontId="31" fillId="0" borderId="0" xfId="0" applyFont="1"/>
    <xf numFmtId="0" fontId="45" fillId="0" borderId="0" xfId="0" applyFont="1"/>
    <xf numFmtId="0" fontId="46"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1"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8"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5"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6" fillId="0" borderId="0" xfId="0" applyFont="1"/>
    <xf numFmtId="0" fontId="31"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1" fillId="0" borderId="0" xfId="0" applyFont="1" applyAlignment="1">
      <alignment horizontal="left"/>
    </xf>
    <xf numFmtId="0" fontId="45" fillId="0" borderId="0" xfId="0" applyFont="1" applyAlignment="1">
      <alignment horizontal="left"/>
    </xf>
    <xf numFmtId="0" fontId="31" fillId="0" borderId="14" xfId="0" applyFont="1" applyBorder="1"/>
    <xf numFmtId="0" fontId="31"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6" fillId="0" borderId="2" xfId="0" applyFont="1" applyBorder="1" applyAlignment="1">
      <alignment horizontal="center"/>
    </xf>
    <xf numFmtId="167" fontId="50"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7" fillId="0" borderId="7" xfId="1" applyNumberFormat="1" applyFont="1" applyBorder="1" applyAlignment="1">
      <alignment horizontal="center"/>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5" fillId="0" borderId="3" xfId="0" applyNumberFormat="1" applyFont="1" applyBorder="1"/>
    <xf numFmtId="3" fontId="45" fillId="0" borderId="0" xfId="0" applyNumberFormat="1" applyFont="1" applyBorder="1"/>
    <xf numFmtId="3" fontId="45" fillId="0" borderId="6" xfId="0" applyNumberFormat="1" applyFont="1" applyBorder="1"/>
    <xf numFmtId="3" fontId="31" fillId="0" borderId="0" xfId="0" applyNumberFormat="1" applyFont="1" applyBorder="1" applyAlignment="1">
      <alignment horizontal="right"/>
    </xf>
    <xf numFmtId="3" fontId="51"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1" fillId="0" borderId="4" xfId="0" applyFont="1" applyBorder="1"/>
    <xf numFmtId="0" fontId="51" fillId="0" borderId="4" xfId="0" applyFont="1" applyFill="1" applyBorder="1"/>
    <xf numFmtId="0" fontId="45" fillId="0" borderId="11" xfId="0" applyFont="1" applyBorder="1"/>
    <xf numFmtId="3" fontId="31"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7" fillId="0" borderId="1" xfId="1" applyNumberFormat="1" applyFont="1" applyBorder="1" applyAlignment="1">
      <alignment horizontal="center"/>
    </xf>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7"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14" fontId="17" fillId="0" borderId="1" xfId="1" applyNumberFormat="1" applyFont="1" applyBorder="1" applyAlignment="1">
      <alignment horizontal="center"/>
    </xf>
    <xf numFmtId="14" fontId="17" fillId="0" borderId="7" xfId="1" applyNumberFormat="1" applyFont="1" applyBorder="1" applyAlignment="1">
      <alignment horizontal="center"/>
    </xf>
    <xf numFmtId="14" fontId="17" fillId="0" borderId="15" xfId="1" applyNumberFormat="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5" fillId="0" borderId="7" xfId="0" applyFont="1" applyBorder="1"/>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9" borderId="0" xfId="0" applyFont="1" applyFill="1"/>
    <xf numFmtId="0" fontId="66" fillId="0" borderId="0" xfId="3" applyFont="1" applyAlignment="1" applyProtection="1"/>
    <xf numFmtId="0" fontId="41" fillId="0" borderId="0" xfId="0" applyFont="1" applyFill="1" applyAlignment="1">
      <alignment horizontal="center"/>
    </xf>
    <xf numFmtId="3" fontId="16"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18" fillId="0" borderId="4"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9" fillId="2"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6"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8" fillId="0" borderId="0" xfId="1" applyFont="1" applyFill="1" applyBorder="1" applyAlignment="1">
      <alignment horizontal="left"/>
    </xf>
    <xf numFmtId="0" fontId="70" fillId="0" borderId="0" xfId="1" applyFont="1" applyFill="1" applyAlignment="1">
      <alignment horizontal="left"/>
    </xf>
    <xf numFmtId="0" fontId="19" fillId="0" borderId="0" xfId="1" applyFont="1" applyFill="1"/>
    <xf numFmtId="0" fontId="42" fillId="9" borderId="0" xfId="3" applyFont="1" applyFill="1" applyAlignment="1" applyProtection="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6" fillId="3" borderId="7" xfId="1" applyNumberFormat="1" applyFont="1" applyFill="1" applyBorder="1" applyAlignment="1">
      <alignment horizontal="right"/>
    </xf>
    <xf numFmtId="0" fontId="72"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4" xfId="846" applyFont="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7"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9" fillId="2" borderId="2" xfId="846" applyFont="1" applyFill="1" applyBorder="1" applyAlignment="1">
      <alignment horizontal="right"/>
    </xf>
    <xf numFmtId="171" fontId="19" fillId="2"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165" fontId="31" fillId="0" borderId="3" xfId="0" applyNumberFormat="1" applyFont="1" applyBorder="1"/>
    <xf numFmtId="165" fontId="45" fillId="0" borderId="3" xfId="0" applyNumberFormat="1" applyFont="1" applyBorder="1"/>
    <xf numFmtId="165" fontId="31" fillId="0" borderId="3" xfId="0" applyNumberFormat="1" applyFont="1" applyFill="1" applyBorder="1"/>
    <xf numFmtId="165" fontId="45"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0"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protection locked="0"/>
    </xf>
    <xf numFmtId="3" fontId="45" fillId="4" borderId="3" xfId="845" applyNumberFormat="1" applyFont="1" applyFill="1" applyBorder="1" applyAlignment="1" applyProtection="1">
      <alignment horizontal="right"/>
      <protection locked="0"/>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4" borderId="6" xfId="845"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3" fontId="60" fillId="4" borderId="4" xfId="0" applyNumberFormat="1" applyFont="1" applyFill="1" applyBorder="1" applyProtection="1">
      <protection locked="0"/>
    </xf>
    <xf numFmtId="3" fontId="45" fillId="4" borderId="4" xfId="0" applyNumberFormat="1"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0" fontId="61" fillId="0" borderId="0" xfId="0" applyFont="1" applyProtection="1">
      <protection locked="0"/>
    </xf>
    <xf numFmtId="0" fontId="41" fillId="0" borderId="0" xfId="0" applyFont="1" applyProtection="1">
      <protection locked="0"/>
    </xf>
    <xf numFmtId="0" fontId="57" fillId="0" borderId="0" xfId="0" applyFont="1" applyProtection="1">
      <protection locked="0"/>
    </xf>
    <xf numFmtId="3" fontId="58" fillId="4" borderId="12" xfId="0"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49" fillId="0" borderId="0" xfId="0" applyFont="1" applyProtection="1">
      <protection locked="0"/>
    </xf>
    <xf numFmtId="0" fontId="63" fillId="0" borderId="0" xfId="0" applyFont="1" applyProtection="1">
      <protection locked="0"/>
    </xf>
    <xf numFmtId="3" fontId="31" fillId="4" borderId="4" xfId="15" applyNumberFormat="1" applyFont="1" applyFill="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3" fontId="45" fillId="4" borderId="4" xfId="15" applyNumberFormat="1" applyFont="1" applyFill="1" applyBorder="1" applyAlignment="1" applyProtection="1">
      <alignment horizontal="right"/>
      <protection locked="0"/>
    </xf>
    <xf numFmtId="3" fontId="45" fillId="4" borderId="11" xfId="15" applyNumberFormat="1" applyFont="1" applyFill="1" applyBorder="1" applyAlignment="1" applyProtection="1">
      <alignment horizontal="right"/>
      <protection locked="0"/>
    </xf>
    <xf numFmtId="14" fontId="14" fillId="0" borderId="3" xfId="7" applyNumberFormat="1" applyFont="1" applyFill="1" applyBorder="1" applyAlignment="1" applyProtection="1">
      <alignment horizontal="left"/>
      <protection locked="0"/>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0" fontId="45" fillId="2" borderId="3" xfId="0" applyFont="1" applyFill="1" applyBorder="1" applyProtection="1">
      <protection locked="0"/>
    </xf>
    <xf numFmtId="0" fontId="45" fillId="2" borderId="6" xfId="0" applyFont="1" applyFill="1" applyBorder="1" applyProtection="1">
      <protection locked="0"/>
    </xf>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171" fontId="16" fillId="0" borderId="3" xfId="846" applyFont="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31" fillId="0" borderId="4" xfId="0" applyNumberFormat="1" applyFont="1" applyBorder="1" applyAlignment="1" applyProtection="1">
      <alignment horizontal="right"/>
      <protection locked="0"/>
    </xf>
    <xf numFmtId="0" fontId="41" fillId="0" borderId="0" xfId="7" applyFont="1" applyProtection="1">
      <protection locked="0"/>
    </xf>
    <xf numFmtId="0" fontId="20" fillId="0" borderId="0" xfId="7" applyProtection="1">
      <protection locked="0"/>
    </xf>
    <xf numFmtId="3" fontId="58" fillId="4" borderId="0" xfId="7" applyNumberFormat="1" applyFont="1" applyFill="1" applyProtection="1">
      <protection locked="0"/>
    </xf>
    <xf numFmtId="14" fontId="14" fillId="0" borderId="7" xfId="7" applyNumberFormat="1" applyFont="1" applyBorder="1" applyAlignment="1" applyProtection="1">
      <alignment horizontal="left"/>
      <protection locked="0"/>
    </xf>
    <xf numFmtId="0" fontId="18" fillId="0" borderId="10" xfId="7" applyFont="1" applyBorder="1" applyProtection="1">
      <protection locked="0"/>
    </xf>
    <xf numFmtId="0" fontId="18" fillId="0" borderId="8" xfId="7" applyFont="1" applyBorder="1" applyProtection="1">
      <protection locked="0"/>
    </xf>
    <xf numFmtId="0" fontId="18" fillId="0" borderId="9" xfId="7" applyFont="1" applyBorder="1" applyProtection="1">
      <protection locked="0"/>
    </xf>
    <xf numFmtId="0" fontId="69" fillId="0" borderId="8" xfId="7" applyFont="1" applyBorder="1" applyAlignment="1" applyProtection="1">
      <alignment horizontal="center"/>
      <protection locked="0"/>
    </xf>
    <xf numFmtId="0" fontId="18" fillId="4" borderId="0" xfId="7" applyFont="1" applyFill="1" applyProtection="1">
      <protection locked="0"/>
    </xf>
    <xf numFmtId="3" fontId="45" fillId="0" borderId="1" xfId="7" applyNumberFormat="1" applyFont="1" applyBorder="1" applyProtection="1">
      <protection locked="0"/>
    </xf>
    <xf numFmtId="3" fontId="45" fillId="0" borderId="4" xfId="7" applyNumberFormat="1" applyFont="1" applyBorder="1" applyProtection="1">
      <protection locked="0"/>
    </xf>
    <xf numFmtId="0" fontId="16" fillId="0" borderId="1" xfId="7" applyFont="1" applyBorder="1" applyAlignment="1" applyProtection="1">
      <alignment horizontal="center"/>
      <protection locked="0"/>
    </xf>
    <xf numFmtId="0" fontId="16" fillId="0" borderId="7" xfId="7" applyFont="1" applyBorder="1" applyAlignment="1" applyProtection="1">
      <alignment horizontal="center"/>
      <protection locked="0"/>
    </xf>
    <xf numFmtId="3" fontId="50" fillId="4" borderId="11" xfId="7" applyNumberFormat="1" applyFont="1" applyFill="1" applyBorder="1" applyProtection="1">
      <protection locked="0"/>
    </xf>
    <xf numFmtId="0" fontId="14" fillId="0" borderId="6" xfId="7" applyFont="1" applyBorder="1" applyAlignment="1" applyProtection="1">
      <alignment horizontal="center"/>
      <protection locked="0"/>
    </xf>
    <xf numFmtId="169" fontId="16" fillId="0" borderId="6" xfId="7" applyNumberFormat="1" applyFont="1" applyBorder="1" applyAlignment="1" applyProtection="1">
      <alignment horizontal="center"/>
      <protection locked="0"/>
    </xf>
    <xf numFmtId="169" fontId="14" fillId="4" borderId="0" xfId="7" applyNumberFormat="1" applyFont="1" applyFill="1" applyAlignment="1" applyProtection="1">
      <alignment horizontal="center"/>
      <protection locked="0"/>
    </xf>
    <xf numFmtId="0" fontId="14" fillId="4" borderId="0" xfId="7" applyFont="1" applyFill="1" applyAlignment="1" applyProtection="1">
      <alignment horizontal="center"/>
      <protection locked="0"/>
    </xf>
    <xf numFmtId="0" fontId="45" fillId="0" borderId="7" xfId="7" applyFont="1" applyBorder="1" applyProtection="1">
      <protection locked="0"/>
    </xf>
    <xf numFmtId="4" fontId="31" fillId="4" borderId="7" xfId="7" applyNumberFormat="1" applyFont="1" applyFill="1" applyBorder="1" applyAlignment="1" applyProtection="1">
      <alignment horizontal="right"/>
      <protection locked="0"/>
    </xf>
    <xf numFmtId="4" fontId="31" fillId="4" borderId="3" xfId="7" applyNumberFormat="1" applyFont="1" applyFill="1" applyBorder="1" applyAlignment="1">
      <alignment horizontal="right"/>
    </xf>
    <xf numFmtId="0" fontId="31" fillId="0" borderId="3" xfId="7" applyFont="1" applyBorder="1" applyProtection="1">
      <protection locked="0"/>
    </xf>
    <xf numFmtId="3" fontId="31" fillId="4" borderId="3" xfId="7" applyNumberFormat="1" applyFont="1" applyFill="1" applyBorder="1" applyAlignment="1">
      <alignment horizontal="right"/>
    </xf>
    <xf numFmtId="0" fontId="31" fillId="0" borderId="6" xfId="7" applyFont="1" applyBorder="1" applyProtection="1">
      <protection locked="0"/>
    </xf>
    <xf numFmtId="3" fontId="31" fillId="4" borderId="6" xfId="7" applyNumberFormat="1" applyFont="1" applyFill="1" applyBorder="1" applyAlignment="1">
      <alignment horizontal="right"/>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165" fontId="31" fillId="4" borderId="6" xfId="7" applyNumberFormat="1" applyFont="1" applyFill="1" applyBorder="1" applyAlignment="1" applyProtection="1">
      <alignment horizontal="right"/>
      <protection locked="0"/>
    </xf>
    <xf numFmtId="0" fontId="56" fillId="0" borderId="0" xfId="0" applyFont="1" applyFill="1"/>
    <xf numFmtId="3" fontId="23" fillId="9" borderId="0" xfId="1" applyNumberFormat="1"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15" fillId="0" borderId="0" xfId="7" applyFont="1" applyAlignment="1">
      <alignment horizontal="right" vertical="top"/>
    </xf>
    <xf numFmtId="0" fontId="15" fillId="0" borderId="0" xfId="7" applyFont="1" applyAlignment="1">
      <alignment horizontal="right"/>
    </xf>
    <xf numFmtId="0" fontId="31" fillId="0" borderId="4" xfId="0" applyFont="1" applyBorder="1" applyProtection="1">
      <protection locked="0"/>
    </xf>
    <xf numFmtId="3" fontId="45" fillId="0" borderId="1" xfId="0" applyNumberFormat="1" applyFont="1" applyBorder="1" applyProtection="1">
      <protection locked="0"/>
    </xf>
    <xf numFmtId="3" fontId="45" fillId="0" borderId="4" xfId="0" applyNumberFormat="1" applyFont="1" applyBorder="1" applyProtection="1">
      <protection locked="0"/>
    </xf>
    <xf numFmtId="0" fontId="16" fillId="0" borderId="7" xfId="0" applyFont="1" applyBorder="1" applyAlignment="1" applyProtection="1">
      <alignment horizontal="center"/>
      <protection locked="0"/>
    </xf>
    <xf numFmtId="3" fontId="50" fillId="4" borderId="6" xfId="0" applyNumberFormat="1" applyFont="1" applyFill="1" applyBorder="1" applyProtection="1">
      <protection locked="0"/>
    </xf>
    <xf numFmtId="169" fontId="16" fillId="0" borderId="6" xfId="0" applyNumberFormat="1" applyFont="1" applyBorder="1" applyAlignment="1" applyProtection="1">
      <alignment horizontal="center"/>
      <protection locked="0"/>
    </xf>
    <xf numFmtId="0" fontId="31" fillId="4" borderId="7" xfId="0" applyFont="1" applyFill="1" applyBorder="1" applyAlignment="1" applyProtection="1">
      <alignment horizontal="right"/>
      <protection locked="0"/>
    </xf>
    <xf numFmtId="3" fontId="31" fillId="4" borderId="4" xfId="0" applyNumberFormat="1" applyFont="1" applyFill="1" applyBorder="1" applyAlignment="1">
      <alignment horizontal="right"/>
    </xf>
    <xf numFmtId="3" fontId="31" fillId="4" borderId="3" xfId="0" applyNumberFormat="1" applyFont="1" applyFill="1" applyBorder="1" applyAlignment="1">
      <alignment horizontal="right"/>
    </xf>
    <xf numFmtId="0" fontId="31" fillId="4" borderId="3" xfId="0" applyFont="1" applyFill="1" applyBorder="1" applyAlignment="1" applyProtection="1">
      <alignment horizontal="right"/>
      <protection locked="0"/>
    </xf>
    <xf numFmtId="3" fontId="31" fillId="10" borderId="3" xfId="0" applyNumberFormat="1" applyFont="1" applyFill="1" applyBorder="1" applyAlignment="1" applyProtection="1">
      <alignment horizontal="right"/>
      <protection locked="0"/>
    </xf>
    <xf numFmtId="0" fontId="45" fillId="0" borderId="11" xfId="0" applyFont="1" applyBorder="1" applyProtection="1">
      <protection locked="0"/>
    </xf>
    <xf numFmtId="0" fontId="45" fillId="0" borderId="4" xfId="0" applyFont="1" applyBorder="1" applyProtection="1">
      <protection locked="0"/>
    </xf>
    <xf numFmtId="3" fontId="45" fillId="4" borderId="7" xfId="0" applyNumberFormat="1" applyFont="1" applyFill="1" applyBorder="1" applyAlignment="1" applyProtection="1">
      <alignment horizontal="right"/>
      <protection locked="0"/>
    </xf>
    <xf numFmtId="0" fontId="45" fillId="4" borderId="7" xfId="0" applyFont="1" applyFill="1" applyBorder="1" applyAlignment="1" applyProtection="1">
      <alignment horizontal="right"/>
      <protection locked="0"/>
    </xf>
    <xf numFmtId="0" fontId="45" fillId="4" borderId="15" xfId="0" applyFont="1" applyFill="1" applyBorder="1" applyAlignment="1" applyProtection="1">
      <alignment horizontal="right"/>
      <protection locked="0"/>
    </xf>
    <xf numFmtId="0" fontId="49" fillId="0" borderId="7" xfId="0" applyFont="1" applyBorder="1" applyAlignment="1" applyProtection="1">
      <alignment horizontal="right"/>
      <protection locked="0"/>
    </xf>
    <xf numFmtId="0" fontId="45" fillId="4" borderId="3" xfId="0" applyFont="1" applyFill="1" applyBorder="1" applyAlignment="1" applyProtection="1">
      <alignment horizontal="right"/>
      <protection locked="0"/>
    </xf>
    <xf numFmtId="0" fontId="45" fillId="4" borderId="2" xfId="0" applyFont="1" applyFill="1" applyBorder="1" applyAlignment="1" applyProtection="1">
      <alignment horizontal="right"/>
      <protection locked="0"/>
    </xf>
    <xf numFmtId="0" fontId="49" fillId="0" borderId="3" xfId="0" applyFont="1" applyBorder="1" applyAlignment="1" applyProtection="1">
      <alignment horizontal="right"/>
      <protection locked="0"/>
    </xf>
    <xf numFmtId="0" fontId="31" fillId="4" borderId="2" xfId="0" applyFont="1" applyFill="1" applyBorder="1" applyAlignment="1" applyProtection="1">
      <alignment horizontal="right"/>
      <protection locked="0"/>
    </xf>
    <xf numFmtId="3" fontId="31" fillId="4" borderId="2" xfId="0" applyNumberFormat="1" applyFont="1" applyFill="1" applyBorder="1" applyAlignment="1" applyProtection="1">
      <alignment horizontal="right"/>
      <protection locked="0"/>
    </xf>
    <xf numFmtId="3" fontId="45" fillId="4" borderId="2" xfId="0" applyNumberFormat="1" applyFont="1" applyFill="1" applyBorder="1" applyAlignment="1" applyProtection="1">
      <alignment horizontal="right"/>
      <protection locked="0"/>
    </xf>
    <xf numFmtId="0" fontId="45" fillId="0" borderId="0" xfId="0" applyFont="1" applyProtection="1">
      <protection locked="0"/>
    </xf>
    <xf numFmtId="0" fontId="45" fillId="4" borderId="6" xfId="0" applyFont="1" applyFill="1" applyBorder="1" applyAlignment="1" applyProtection="1">
      <alignment horizontal="right"/>
      <protection locked="0"/>
    </xf>
    <xf numFmtId="0" fontId="45" fillId="4" borderId="5" xfId="0" applyFont="1" applyFill="1" applyBorder="1" applyAlignment="1" applyProtection="1">
      <alignment horizontal="right"/>
      <protection locked="0"/>
    </xf>
    <xf numFmtId="0" fontId="45" fillId="0" borderId="6" xfId="0" applyFont="1" applyBorder="1" applyAlignment="1" applyProtection="1">
      <alignment horizontal="right"/>
      <protection locked="0"/>
    </xf>
    <xf numFmtId="0" fontId="45" fillId="0" borderId="7" xfId="0" applyFont="1" applyBorder="1" applyProtection="1">
      <protection locked="0"/>
    </xf>
    <xf numFmtId="3" fontId="45" fillId="4" borderId="1" xfId="15" applyNumberFormat="1" applyFont="1" applyFill="1" applyBorder="1" applyAlignment="1" applyProtection="1">
      <alignment horizontal="right"/>
      <protection locked="0"/>
    </xf>
    <xf numFmtId="3" fontId="45" fillId="4" borderId="1" xfId="0" applyNumberFormat="1" applyFont="1" applyFill="1" applyBorder="1" applyAlignment="1" applyProtection="1">
      <alignment horizontal="right"/>
      <protection locked="0"/>
    </xf>
    <xf numFmtId="0" fontId="45" fillId="4" borderId="1" xfId="0" applyFont="1" applyFill="1" applyBorder="1" applyAlignment="1" applyProtection="1">
      <alignment horizontal="right"/>
      <protection locked="0"/>
    </xf>
    <xf numFmtId="0" fontId="45" fillId="0" borderId="7" xfId="0" applyFont="1" applyBorder="1" applyAlignment="1" applyProtection="1">
      <alignment horizontal="right"/>
      <protection locked="0"/>
    </xf>
    <xf numFmtId="0" fontId="31" fillId="2" borderId="3" xfId="0" applyFont="1" applyFill="1" applyBorder="1" applyProtection="1">
      <protection locked="0"/>
    </xf>
    <xf numFmtId="0" fontId="31" fillId="2" borderId="6" xfId="0" applyFont="1" applyFill="1" applyBorder="1" applyProtection="1">
      <protection locked="0"/>
    </xf>
    <xf numFmtId="3" fontId="60" fillId="4" borderId="3" xfId="0" applyNumberFormat="1" applyFont="1" applyFill="1" applyBorder="1" applyAlignment="1">
      <alignment horizontal="right"/>
    </xf>
    <xf numFmtId="3" fontId="45" fillId="4" borderId="3" xfId="0" applyNumberFormat="1" applyFont="1" applyFill="1" applyBorder="1" applyAlignment="1">
      <alignment horizontal="right"/>
    </xf>
    <xf numFmtId="0" fontId="31" fillId="0" borderId="3" xfId="0" applyFont="1" applyBorder="1" applyProtection="1">
      <protection locked="0"/>
    </xf>
    <xf numFmtId="3" fontId="31" fillId="0" borderId="3" xfId="845" applyNumberFormat="1" applyFont="1" applyBorder="1" applyAlignment="1" applyProtection="1">
      <alignment horizontal="right"/>
      <protection locked="0"/>
    </xf>
    <xf numFmtId="0" fontId="20" fillId="0" borderId="3" xfId="0" applyFont="1" applyBorder="1" applyProtection="1">
      <protection locked="0"/>
    </xf>
    <xf numFmtId="3" fontId="45" fillId="0" borderId="4" xfId="0" applyNumberFormat="1" applyFont="1" applyBorder="1" applyAlignment="1" applyProtection="1">
      <alignment horizontal="right"/>
      <protection locked="0"/>
    </xf>
    <xf numFmtId="3" fontId="31" fillId="0" borderId="0" xfId="0" applyNumberFormat="1" applyFont="1" applyProtection="1">
      <protection locked="0"/>
    </xf>
    <xf numFmtId="3" fontId="62" fillId="0" borderId="0" xfId="0" applyNumberFormat="1" applyFont="1" applyProtection="1">
      <protection locked="0"/>
    </xf>
    <xf numFmtId="0" fontId="20" fillId="0" borderId="0" xfId="852"/>
    <xf numFmtId="0" fontId="27" fillId="0" borderId="0" xfId="852" applyFont="1"/>
    <xf numFmtId="0" fontId="0" fillId="0" borderId="0" xfId="852" applyFont="1"/>
    <xf numFmtId="0" fontId="28" fillId="0" borderId="0" xfId="852" applyFont="1" applyAlignment="1">
      <alignment horizontal="right"/>
    </xf>
    <xf numFmtId="0" fontId="20" fillId="0" borderId="0" xfId="20"/>
    <xf numFmtId="0" fontId="29" fillId="0" borderId="0" xfId="852" applyFont="1" applyAlignment="1">
      <alignment horizontal="left"/>
    </xf>
    <xf numFmtId="0" fontId="30" fillId="0" borderId="0" xfId="852" applyFont="1" applyAlignment="1">
      <alignment horizontal="left"/>
    </xf>
    <xf numFmtId="0" fontId="31" fillId="0" borderId="0" xfId="20" applyFont="1" applyAlignment="1">
      <alignment horizontal="left"/>
    </xf>
    <xf numFmtId="0" fontId="32" fillId="0" borderId="0" xfId="852" applyFont="1" applyAlignment="1">
      <alignment horizontal="right"/>
    </xf>
    <xf numFmtId="0" fontId="20" fillId="0" borderId="0" xfId="852" applyAlignment="1">
      <alignment horizontal="right"/>
    </xf>
    <xf numFmtId="0" fontId="33" fillId="0" borderId="0" xfId="852" applyFont="1" applyAlignment="1">
      <alignment horizontal="left"/>
    </xf>
    <xf numFmtId="14" fontId="34" fillId="0" borderId="0" xfId="852" applyNumberFormat="1" applyFont="1" applyAlignment="1">
      <alignment horizontal="left"/>
    </xf>
    <xf numFmtId="0" fontId="34" fillId="0" borderId="0" xfId="852" applyFont="1" applyAlignment="1">
      <alignment horizontal="left"/>
    </xf>
    <xf numFmtId="0" fontId="35" fillId="0" borderId="0" xfId="20" applyFont="1" applyAlignment="1">
      <alignment vertical="center"/>
    </xf>
    <xf numFmtId="0" fontId="36" fillId="0" borderId="0" xfId="20" applyFont="1" applyAlignment="1">
      <alignment vertical="center"/>
    </xf>
    <xf numFmtId="0" fontId="45" fillId="0" borderId="1" xfId="0" applyFont="1" applyBorder="1" applyAlignment="1">
      <alignment horizontal="center"/>
    </xf>
    <xf numFmtId="0" fontId="45" fillId="4" borderId="0" xfId="7" applyFont="1" applyFill="1" applyAlignment="1" applyProtection="1">
      <alignment horizontal="center"/>
      <protection locked="0"/>
    </xf>
    <xf numFmtId="0" fontId="74" fillId="0" borderId="0" xfId="0" applyFont="1" applyProtection="1">
      <protection locked="0"/>
    </xf>
    <xf numFmtId="0" fontId="71" fillId="0" borderId="0" xfId="848" applyFont="1" applyProtection="1">
      <protection locked="0"/>
    </xf>
    <xf numFmtId="0" fontId="22" fillId="0" borderId="0" xfId="848" applyFont="1" applyProtection="1">
      <protection locked="0"/>
    </xf>
    <xf numFmtId="0" fontId="73" fillId="0" borderId="0" xfId="0" applyFont="1" applyProtection="1">
      <protection locked="0"/>
    </xf>
    <xf numFmtId="3" fontId="45" fillId="4" borderId="0" xfId="0" applyNumberFormat="1" applyFont="1" applyFill="1" applyProtection="1">
      <protection locked="0"/>
    </xf>
    <xf numFmtId="3" fontId="16" fillId="4" borderId="0" xfId="0" applyNumberFormat="1" applyFont="1" applyFill="1" applyProtection="1">
      <protection locked="0"/>
    </xf>
    <xf numFmtId="14" fontId="14" fillId="0" borderId="7" xfId="0" applyNumberFormat="1" applyFont="1" applyBorder="1" applyAlignment="1" applyProtection="1">
      <alignment horizontal="left"/>
      <protection locked="0"/>
    </xf>
    <xf numFmtId="3" fontId="14" fillId="0" borderId="10" xfId="0" quotePrefix="1" applyNumberFormat="1" applyFont="1" applyBorder="1" applyAlignment="1" applyProtection="1">
      <alignment horizontal="center"/>
      <protection locked="0"/>
    </xf>
    <xf numFmtId="3" fontId="14" fillId="0" borderId="8" xfId="0" quotePrefix="1" applyNumberFormat="1" applyFont="1" applyBorder="1" applyAlignment="1" applyProtection="1">
      <alignment horizontal="center"/>
      <protection locked="0"/>
    </xf>
    <xf numFmtId="3" fontId="14" fillId="0" borderId="9" xfId="0" quotePrefix="1" applyNumberFormat="1" applyFont="1" applyBorder="1" applyAlignment="1" applyProtection="1">
      <alignment horizontal="center"/>
      <protection locked="0"/>
    </xf>
    <xf numFmtId="0" fontId="18" fillId="4" borderId="10" xfId="0" applyFont="1" applyFill="1" applyBorder="1" applyProtection="1">
      <protection locked="0"/>
    </xf>
    <xf numFmtId="0" fontId="18" fillId="4" borderId="8" xfId="0" applyFont="1" applyFill="1" applyBorder="1" applyProtection="1">
      <protection locked="0"/>
    </xf>
    <xf numFmtId="0" fontId="18" fillId="4" borderId="9" xfId="0" applyFont="1" applyFill="1" applyBorder="1" applyProtection="1">
      <protection locked="0"/>
    </xf>
    <xf numFmtId="0" fontId="20" fillId="0" borderId="9" xfId="0" applyFont="1" applyBorder="1" applyProtection="1">
      <protection locked="0"/>
    </xf>
    <xf numFmtId="3" fontId="59" fillId="4" borderId="0" xfId="0" applyNumberFormat="1" applyFont="1" applyFill="1" applyProtection="1">
      <protection locked="0"/>
    </xf>
    <xf numFmtId="3" fontId="14" fillId="0" borderId="8" xfId="0" quotePrefix="1" applyNumberFormat="1" applyFont="1" applyBorder="1" applyProtection="1">
      <protection locked="0"/>
    </xf>
    <xf numFmtId="3" fontId="14" fillId="0" borderId="9" xfId="0" quotePrefix="1" applyNumberFormat="1" applyFont="1" applyBorder="1" applyProtection="1">
      <protection locked="0"/>
    </xf>
    <xf numFmtId="3" fontId="14" fillId="0" borderId="10" xfId="0" quotePrefix="1" applyNumberFormat="1" applyFont="1" applyBorder="1" applyProtection="1">
      <protection locked="0"/>
    </xf>
    <xf numFmtId="0" fontId="18" fillId="4" borderId="0" xfId="0" applyFont="1" applyFill="1" applyProtection="1">
      <protection locked="0"/>
    </xf>
    <xf numFmtId="0" fontId="45" fillId="4" borderId="0" xfId="0" applyFont="1" applyFill="1" applyAlignment="1" applyProtection="1">
      <alignment horizontal="center"/>
      <protection locked="0"/>
    </xf>
    <xf numFmtId="0" fontId="16" fillId="0" borderId="1" xfId="0" applyFont="1" applyBorder="1" applyAlignment="1" applyProtection="1">
      <alignment horizontal="center"/>
      <protection locked="0"/>
    </xf>
    <xf numFmtId="0" fontId="14" fillId="4" borderId="0" xfId="0" applyFont="1" applyFill="1" applyAlignment="1" applyProtection="1">
      <alignment horizontal="center"/>
      <protection locked="0"/>
    </xf>
    <xf numFmtId="169" fontId="14" fillId="4" borderId="0" xfId="0" applyNumberFormat="1" applyFont="1" applyFill="1" applyAlignment="1" applyProtection="1">
      <alignment horizontal="center"/>
      <protection locked="0"/>
    </xf>
    <xf numFmtId="3" fontId="45" fillId="4" borderId="11" xfId="0" applyNumberFormat="1" applyFont="1" applyFill="1" applyBorder="1" applyAlignment="1" applyProtection="1">
      <alignment horizontal="right"/>
      <protection locked="0"/>
    </xf>
    <xf numFmtId="4" fontId="31" fillId="4" borderId="4" xfId="7" applyNumberFormat="1" applyFont="1" applyFill="1" applyBorder="1" applyAlignment="1">
      <alignment horizontal="right"/>
    </xf>
    <xf numFmtId="3" fontId="31" fillId="4" borderId="4" xfId="7" applyNumberFormat="1" applyFont="1" applyFill="1" applyBorder="1" applyAlignment="1">
      <alignment horizontal="right"/>
    </xf>
    <xf numFmtId="3" fontId="31" fillId="4" borderId="11" xfId="7" applyNumberFormat="1" applyFont="1" applyFill="1" applyBorder="1" applyAlignment="1">
      <alignment horizontal="right"/>
    </xf>
    <xf numFmtId="0" fontId="76" fillId="0" borderId="0" xfId="0" applyFont="1"/>
    <xf numFmtId="0" fontId="45" fillId="0" borderId="0" xfId="0" applyFont="1" applyAlignment="1">
      <alignment horizontal="center"/>
    </xf>
    <xf numFmtId="14" fontId="14" fillId="0" borderId="6" xfId="0" applyNumberFormat="1" applyFont="1" applyBorder="1" applyAlignment="1">
      <alignment horizontal="left"/>
    </xf>
    <xf numFmtId="14" fontId="14" fillId="0" borderId="3" xfId="0" applyNumberFormat="1" applyFont="1" applyBorder="1" applyAlignment="1">
      <alignment horizontal="center"/>
    </xf>
    <xf numFmtId="0" fontId="16" fillId="0" borderId="0" xfId="0" applyFont="1" applyAlignment="1">
      <alignment horizontal="center"/>
    </xf>
    <xf numFmtId="3" fontId="31" fillId="0" borderId="0" xfId="0" applyNumberFormat="1" applyFont="1" applyAlignment="1">
      <alignment horizontal="right"/>
    </xf>
    <xf numFmtId="165" fontId="31" fillId="0" borderId="3" xfId="0" applyNumberFormat="1" applyFont="1" applyFill="1" applyBorder="1" applyAlignment="1">
      <alignment horizontal="right"/>
    </xf>
    <xf numFmtId="3" fontId="45" fillId="0" borderId="4" xfId="0" applyNumberFormat="1" applyFont="1" applyFill="1" applyBorder="1"/>
    <xf numFmtId="165" fontId="45" fillId="0" borderId="4" xfId="0" applyNumberFormat="1" applyFont="1" applyFill="1" applyBorder="1" applyAlignment="1">
      <alignment horizontal="right"/>
    </xf>
    <xf numFmtId="165" fontId="45" fillId="0" borderId="3" xfId="0" applyNumberFormat="1" applyFont="1" applyFill="1" applyBorder="1" applyAlignment="1">
      <alignment horizontal="right"/>
    </xf>
    <xf numFmtId="3" fontId="31" fillId="4" borderId="1" xfId="0" applyNumberFormat="1" applyFont="1" applyFill="1" applyBorder="1" applyAlignment="1">
      <alignment horizontal="right"/>
    </xf>
    <xf numFmtId="170" fontId="31" fillId="0" borderId="3" xfId="847" applyNumberFormat="1" applyFont="1" applyBorder="1" applyAlignment="1" applyProtection="1">
      <alignment horizontal="right"/>
    </xf>
    <xf numFmtId="166" fontId="31" fillId="4" borderId="3" xfId="847" applyNumberFormat="1" applyFont="1" applyFill="1" applyBorder="1" applyAlignment="1" applyProtection="1">
      <alignment horizontal="right"/>
    </xf>
    <xf numFmtId="0" fontId="31" fillId="0" borderId="3" xfId="0" applyFont="1" applyBorder="1" applyAlignment="1">
      <alignment horizontal="right"/>
    </xf>
    <xf numFmtId="3" fontId="31" fillId="2" borderId="4" xfId="0" applyNumberFormat="1" applyFont="1" applyFill="1" applyBorder="1"/>
    <xf numFmtId="3" fontId="45" fillId="4" borderId="4" xfId="15" applyNumberFormat="1" applyFont="1" applyFill="1" applyBorder="1" applyAlignment="1" applyProtection="1">
      <alignment horizontal="right"/>
    </xf>
    <xf numFmtId="3" fontId="31" fillId="4" borderId="4" xfId="15" applyNumberFormat="1" applyFont="1" applyFill="1" applyBorder="1" applyAlignment="1" applyProtection="1">
      <alignment horizontal="right"/>
    </xf>
    <xf numFmtId="3" fontId="45" fillId="4" borderId="11" xfId="15" applyNumberFormat="1" applyFont="1" applyFill="1" applyBorder="1" applyAlignment="1" applyProtection="1">
      <alignment horizontal="right"/>
    </xf>
    <xf numFmtId="0" fontId="45" fillId="0" borderId="1" xfId="0" applyFont="1" applyFill="1" applyBorder="1" applyAlignment="1" applyProtection="1">
      <alignment horizontal="center"/>
      <protection locked="0"/>
    </xf>
    <xf numFmtId="0" fontId="45" fillId="0" borderId="14" xfId="0" applyFont="1" applyFill="1" applyBorder="1" applyAlignment="1" applyProtection="1">
      <alignment horizontal="center"/>
      <protection locked="0"/>
    </xf>
    <xf numFmtId="0" fontId="45" fillId="0" borderId="15" xfId="0" applyFont="1" applyFill="1" applyBorder="1" applyAlignment="1" applyProtection="1">
      <alignment horizontal="center"/>
      <protection locked="0"/>
    </xf>
    <xf numFmtId="0" fontId="45" fillId="0" borderId="1" xfId="7" applyFont="1" applyFill="1" applyBorder="1" applyAlignment="1" applyProtection="1">
      <alignment horizontal="center"/>
      <protection locked="0"/>
    </xf>
    <xf numFmtId="0" fontId="45" fillId="0" borderId="14" xfId="7" applyFont="1" applyFill="1" applyBorder="1" applyAlignment="1" applyProtection="1">
      <alignment horizontal="center"/>
      <protection locked="0"/>
    </xf>
    <xf numFmtId="0" fontId="45" fillId="0" borderId="15" xfId="7" applyFont="1" applyFill="1" applyBorder="1" applyAlignment="1" applyProtection="1">
      <alignment horizontal="center"/>
      <protection locked="0"/>
    </xf>
    <xf numFmtId="4" fontId="31" fillId="0" borderId="4" xfId="7" applyNumberFormat="1" applyFont="1" applyFill="1" applyBorder="1" applyAlignment="1">
      <alignment horizontal="right"/>
    </xf>
    <xf numFmtId="4" fontId="31" fillId="0" borderId="4" xfId="7" applyNumberFormat="1" applyFont="1" applyFill="1" applyBorder="1" applyAlignment="1" applyProtection="1">
      <alignment horizontal="right"/>
      <protection locked="0"/>
    </xf>
    <xf numFmtId="4" fontId="31" fillId="0" borderId="4" xfId="7" applyNumberFormat="1" applyFont="1" applyBorder="1" applyAlignment="1">
      <alignment horizontal="right"/>
    </xf>
    <xf numFmtId="166"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 fontId="31" fillId="0" borderId="3" xfId="0" applyNumberFormat="1" applyFont="1" applyBorder="1" applyAlignment="1">
      <alignment horizontal="right"/>
    </xf>
    <xf numFmtId="3" fontId="18" fillId="0" borderId="8" xfId="1" applyNumberFormat="1" applyFont="1" applyFill="1" applyBorder="1"/>
    <xf numFmtId="164" fontId="31" fillId="4" borderId="3" xfId="847" applyFont="1" applyFill="1" applyBorder="1" applyAlignment="1">
      <alignment horizontal="right"/>
    </xf>
    <xf numFmtId="0" fontId="45" fillId="0" borderId="1" xfId="0" applyFont="1" applyFill="1" applyBorder="1" applyAlignment="1" applyProtection="1">
      <alignment horizontal="center"/>
      <protection locked="0"/>
    </xf>
    <xf numFmtId="0" fontId="45" fillId="0" borderId="14" xfId="0" applyFont="1" applyFill="1" applyBorder="1" applyAlignment="1" applyProtection="1">
      <alignment horizontal="center"/>
      <protection locked="0"/>
    </xf>
    <xf numFmtId="0" fontId="45" fillId="0" borderId="15" xfId="0" applyFont="1" applyFill="1" applyBorder="1" applyAlignment="1" applyProtection="1">
      <alignment horizontal="center"/>
      <protection locked="0"/>
    </xf>
    <xf numFmtId="0" fontId="45" fillId="0" borderId="1" xfId="7" applyFont="1" applyFill="1" applyBorder="1" applyAlignment="1" applyProtection="1">
      <alignment horizontal="center"/>
      <protection locked="0"/>
    </xf>
    <xf numFmtId="0" fontId="45" fillId="0" borderId="14" xfId="7" applyFont="1" applyFill="1" applyBorder="1" applyAlignment="1" applyProtection="1">
      <alignment horizontal="center"/>
      <protection locked="0"/>
    </xf>
    <xf numFmtId="0" fontId="45" fillId="0" borderId="15" xfId="7" applyFont="1" applyFill="1" applyBorder="1" applyAlignment="1" applyProtection="1">
      <alignment horizontal="center"/>
      <protection locked="0"/>
    </xf>
    <xf numFmtId="4" fontId="51" fillId="0" borderId="3" xfId="7" applyNumberFormat="1" applyFont="1" applyBorder="1" applyAlignment="1" applyProtection="1">
      <alignment horizontal="right"/>
      <protection locked="0"/>
    </xf>
    <xf numFmtId="165" fontId="31" fillId="4" borderId="6" xfId="7" applyNumberFormat="1" applyFont="1" applyFill="1" applyBorder="1" applyAlignment="1">
      <alignment horizontal="right"/>
    </xf>
    <xf numFmtId="3" fontId="31" fillId="4" borderId="7" xfId="0" applyNumberFormat="1"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0" fontId="31" fillId="0" borderId="3" xfId="7" applyFont="1" applyBorder="1" applyAlignment="1" applyProtection="1">
      <alignment wrapText="1"/>
      <protection locked="0"/>
    </xf>
    <xf numFmtId="3" fontId="31" fillId="2" borderId="4" xfId="0" applyNumberFormat="1" applyFont="1" applyFill="1" applyBorder="1" applyProtection="1">
      <protection locked="0"/>
    </xf>
    <xf numFmtId="0" fontId="75" fillId="0" borderId="4" xfId="0" applyFont="1" applyFill="1" applyBorder="1" applyProtection="1">
      <protection locked="0"/>
    </xf>
    <xf numFmtId="3" fontId="20" fillId="0" borderId="0" xfId="0" applyNumberFormat="1" applyFont="1" applyProtection="1">
      <protection locked="0"/>
    </xf>
    <xf numFmtId="0" fontId="69" fillId="0" borderId="0" xfId="0" applyFont="1" applyFill="1"/>
    <xf numFmtId="0" fontId="37" fillId="0" borderId="0" xfId="0" applyFont="1" applyFill="1"/>
    <xf numFmtId="3" fontId="37" fillId="0" borderId="0" xfId="0" applyNumberFormat="1" applyFont="1"/>
    <xf numFmtId="0" fontId="31" fillId="0" borderId="4" xfId="0" applyFont="1" applyFill="1" applyBorder="1" applyAlignment="1" applyProtection="1">
      <alignment wrapText="1"/>
      <protection locked="0"/>
    </xf>
    <xf numFmtId="0" fontId="31" fillId="0" borderId="4" xfId="0" applyFont="1" applyFill="1" applyBorder="1" applyProtection="1">
      <protection locked="0"/>
    </xf>
    <xf numFmtId="3" fontId="31" fillId="0" borderId="3" xfId="0" applyNumberFormat="1" applyFont="1" applyFill="1" applyBorder="1" applyAlignment="1">
      <alignment horizontal="right"/>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protection locked="0"/>
    </xf>
    <xf numFmtId="0" fontId="75" fillId="0" borderId="3" xfId="7" applyFont="1" applyFill="1" applyBorder="1" applyProtection="1">
      <protection locked="0"/>
    </xf>
    <xf numFmtId="3" fontId="31" fillId="0" borderId="3" xfId="845" applyNumberFormat="1" applyFont="1" applyFill="1" applyBorder="1" applyAlignment="1" applyProtection="1">
      <alignment horizontal="right"/>
      <protection locked="0"/>
    </xf>
    <xf numFmtId="0" fontId="20" fillId="0" borderId="0" xfId="0" applyFont="1" applyFill="1" applyProtection="1">
      <protection locked="0"/>
    </xf>
    <xf numFmtId="0" fontId="31" fillId="0" borderId="3" xfId="0" applyFont="1" applyFill="1" applyBorder="1" applyAlignment="1">
      <alignment wrapText="1"/>
    </xf>
    <xf numFmtId="0" fontId="45" fillId="0" borderId="3" xfId="0" applyFont="1" applyFill="1" applyBorder="1"/>
    <xf numFmtId="0" fontId="45" fillId="0" borderId="4" xfId="0" applyFont="1" applyFill="1" applyBorder="1"/>
    <xf numFmtId="3" fontId="16" fillId="0" borderId="6" xfId="1" applyNumberFormat="1" applyFont="1" applyFill="1" applyBorder="1"/>
    <xf numFmtId="3" fontId="16" fillId="0" borderId="11" xfId="1" applyNumberFormat="1" applyFont="1" applyFill="1" applyBorder="1"/>
    <xf numFmtId="0" fontId="16" fillId="8" borderId="0" xfId="0" applyFont="1" applyFill="1" applyBorder="1" applyAlignment="1">
      <alignment horizontal="center"/>
    </xf>
    <xf numFmtId="0" fontId="16"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6"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4" fillId="0" borderId="11" xfId="0" applyNumberFormat="1" applyFont="1" applyBorder="1" applyAlignment="1">
      <alignment horizontal="center"/>
    </xf>
    <xf numFmtId="14" fontId="14" fillId="0" borderId="12" xfId="0" applyNumberFormat="1" applyFont="1" applyBorder="1" applyAlignment="1">
      <alignment horizontal="center"/>
    </xf>
    <xf numFmtId="14" fontId="14" fillId="0" borderId="5" xfId="0" applyNumberFormat="1" applyFont="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4" fillId="0" borderId="0" xfId="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3" fontId="71" fillId="0" borderId="0" xfId="1" applyNumberFormat="1" applyFont="1" applyFill="1" applyBorder="1" applyAlignment="1">
      <alignment horizontal="center"/>
    </xf>
    <xf numFmtId="0" fontId="45" fillId="0" borderId="11" xfId="0" applyFont="1" applyBorder="1" applyAlignment="1" applyProtection="1">
      <alignment horizontal="center"/>
      <protection locked="0"/>
    </xf>
    <xf numFmtId="0" fontId="45" fillId="0" borderId="12" xfId="0" applyFont="1" applyBorder="1" applyAlignment="1" applyProtection="1">
      <alignment horizontal="center"/>
      <protection locked="0"/>
    </xf>
    <xf numFmtId="0" fontId="45" fillId="0" borderId="5" xfId="0" applyFont="1" applyBorder="1" applyAlignment="1" applyProtection="1">
      <alignment horizontal="center"/>
      <protection locked="0"/>
    </xf>
    <xf numFmtId="0" fontId="45" fillId="0" borderId="1" xfId="0" applyFont="1" applyBorder="1" applyAlignment="1" applyProtection="1">
      <alignment horizontal="center"/>
      <protection locked="0"/>
    </xf>
    <xf numFmtId="0" fontId="45" fillId="0" borderId="14" xfId="0" applyFont="1" applyBorder="1" applyAlignment="1" applyProtection="1">
      <alignment horizontal="center"/>
      <protection locked="0"/>
    </xf>
    <xf numFmtId="0" fontId="45" fillId="0" borderId="15" xfId="0" applyFont="1" applyBorder="1" applyAlignment="1" applyProtection="1">
      <alignment horizontal="center"/>
      <protection locked="0"/>
    </xf>
    <xf numFmtId="0" fontId="45" fillId="0" borderId="11" xfId="0" applyFont="1" applyFill="1" applyBorder="1" applyAlignment="1" applyProtection="1">
      <alignment horizontal="center"/>
      <protection locked="0"/>
    </xf>
    <xf numFmtId="0" fontId="45" fillId="0" borderId="12" xfId="0" applyFont="1" applyFill="1" applyBorder="1" applyAlignment="1" applyProtection="1">
      <alignment horizontal="center"/>
      <protection locked="0"/>
    </xf>
    <xf numFmtId="0" fontId="45" fillId="0" borderId="5" xfId="0" applyFont="1" applyFill="1" applyBorder="1" applyAlignment="1" applyProtection="1">
      <alignment horizontal="center"/>
      <protection locked="0"/>
    </xf>
    <xf numFmtId="0" fontId="45" fillId="0" borderId="1" xfId="0" applyFont="1" applyFill="1" applyBorder="1" applyAlignment="1" applyProtection="1">
      <alignment horizontal="center"/>
      <protection locked="0"/>
    </xf>
    <xf numFmtId="0" fontId="45" fillId="0" borderId="14" xfId="0" applyFont="1" applyFill="1" applyBorder="1" applyAlignment="1" applyProtection="1">
      <alignment horizontal="center"/>
      <protection locked="0"/>
    </xf>
    <xf numFmtId="0" fontId="45" fillId="0" borderId="15" xfId="0" applyFont="1" applyFill="1" applyBorder="1" applyAlignment="1" applyProtection="1">
      <alignment horizontal="center"/>
      <protection locked="0"/>
    </xf>
    <xf numFmtId="0" fontId="45" fillId="4" borderId="0" xfId="0" applyFont="1" applyFill="1" applyAlignment="1" applyProtection="1">
      <alignment horizontal="center"/>
      <protection locked="0"/>
    </xf>
    <xf numFmtId="0" fontId="45" fillId="0" borderId="1" xfId="7" applyFont="1" applyFill="1" applyBorder="1" applyAlignment="1" applyProtection="1">
      <alignment horizontal="center"/>
      <protection locked="0"/>
    </xf>
    <xf numFmtId="0" fontId="45" fillId="0" borderId="14" xfId="7" applyFont="1" applyFill="1" applyBorder="1" applyAlignment="1" applyProtection="1">
      <alignment horizontal="center"/>
      <protection locked="0"/>
    </xf>
    <xf numFmtId="0" fontId="45" fillId="0" borderId="15" xfId="7" applyFont="1" applyFill="1" applyBorder="1" applyAlignment="1" applyProtection="1">
      <alignment horizontal="center"/>
      <protection locked="0"/>
    </xf>
    <xf numFmtId="0" fontId="45" fillId="0" borderId="11" xfId="7" applyFont="1" applyFill="1" applyBorder="1" applyAlignment="1" applyProtection="1">
      <alignment horizontal="center"/>
      <protection locked="0"/>
    </xf>
    <xf numFmtId="0" fontId="45" fillId="0" borderId="12" xfId="7" applyFont="1" applyFill="1" applyBorder="1" applyAlignment="1" applyProtection="1">
      <alignment horizontal="center"/>
      <protection locked="0"/>
    </xf>
    <xf numFmtId="0" fontId="45" fillId="0" borderId="5" xfId="7" applyFont="1" applyFill="1" applyBorder="1" applyAlignment="1" applyProtection="1">
      <alignment horizontal="center"/>
      <protection locked="0"/>
    </xf>
    <xf numFmtId="0" fontId="45" fillId="4" borderId="0" xfId="7" applyFont="1" applyFill="1" applyAlignment="1" applyProtection="1">
      <alignment horizontal="center"/>
      <protection locked="0"/>
    </xf>
    <xf numFmtId="0" fontId="45" fillId="0" borderId="11" xfId="7" applyFont="1" applyBorder="1" applyAlignment="1" applyProtection="1">
      <alignment horizontal="center"/>
      <protection locked="0"/>
    </xf>
    <xf numFmtId="0" fontId="45" fillId="0" borderId="12" xfId="7" applyFont="1" applyBorder="1" applyAlignment="1" applyProtection="1">
      <alignment horizontal="center"/>
      <protection locked="0"/>
    </xf>
    <xf numFmtId="0" fontId="45" fillId="0" borderId="5" xfId="7" applyFont="1" applyBorder="1" applyAlignment="1" applyProtection="1">
      <alignment horizontal="center"/>
      <protection locked="0"/>
    </xf>
    <xf numFmtId="0" fontId="45" fillId="0" borderId="1" xfId="7" applyFont="1" applyBorder="1" applyAlignment="1" applyProtection="1">
      <alignment horizontal="center"/>
      <protection locked="0"/>
    </xf>
    <xf numFmtId="0" fontId="45" fillId="0" borderId="14" xfId="7" applyFont="1" applyBorder="1" applyAlignment="1" applyProtection="1">
      <alignment horizontal="center"/>
      <protection locked="0"/>
    </xf>
    <xf numFmtId="0" fontId="45" fillId="0" borderId="15" xfId="7" applyFont="1" applyBorder="1" applyAlignment="1" applyProtection="1">
      <alignment horizontal="center"/>
      <protection locked="0"/>
    </xf>
    <xf numFmtId="0" fontId="68" fillId="0" borderId="0" xfId="0" applyFont="1" applyAlignment="1">
      <alignment horizontal="left" vertical="top" wrapText="1" readingOrder="1"/>
    </xf>
  </cellXfs>
  <cellStyles count="853">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50"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2 2" xfId="852" xr:uid="{1C7488BD-D0A7-4BD6-89BE-682016A3202E}"/>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1"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Normal_Forslag 2" xfId="848" xr:uid="{00000000-0005-0000-0000-00003B020000}"/>
    <cellStyle name="Tusenskille 2" xfId="14" xr:uid="{00000000-0005-0000-0000-00003C020000}"/>
    <cellStyle name="Tusenskille 2 2" xfId="15" xr:uid="{00000000-0005-0000-0000-00003D020000}"/>
    <cellStyle name="Tusenskille 2 2 2" xfId="751" xr:uid="{00000000-0005-0000-0000-00003E020000}"/>
    <cellStyle name="Tusenskille 2 2 3" xfId="849"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155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2023</c:v>
                </c:pt>
              </c:strCache>
            </c:strRef>
          </c:tx>
          <c:invertIfNegative val="0"/>
          <c:cat>
            <c:strRef>
              <c:f>Figurer!$L$8:$L$30</c:f>
              <c:strCache>
                <c:ptCount val="23"/>
                <c:pt idx="0">
                  <c:v>DNB Liv</c:v>
                </c:pt>
                <c:pt idx="1">
                  <c:v>Eika Forsikring</c:v>
                </c:pt>
                <c:pt idx="2">
                  <c:v>Euro Accident</c:v>
                </c:pt>
                <c:pt idx="3">
                  <c:v>Fremtind Livsfors</c:v>
                </c:pt>
                <c:pt idx="4">
                  <c:v>Frende Livsfors</c:v>
                </c:pt>
                <c:pt idx="5">
                  <c:v>Frende Skade</c:v>
                </c:pt>
                <c:pt idx="6">
                  <c:v>Gjensidige Fors</c:v>
                </c:pt>
                <c:pt idx="7">
                  <c:v>Gjensidige Pensj</c:v>
                </c:pt>
                <c:pt idx="8">
                  <c:v>If Skadefors</c:v>
                </c:pt>
                <c:pt idx="9">
                  <c:v>KLP</c:v>
                </c:pt>
                <c:pt idx="10">
                  <c:v>KLP Skadef</c:v>
                </c:pt>
                <c:pt idx="11">
                  <c:v>Landkreditt Fors.</c:v>
                </c:pt>
                <c:pt idx="12">
                  <c:v>Ly Forsikring</c:v>
                </c:pt>
                <c:pt idx="13">
                  <c:v>Nordea Liv</c:v>
                </c:pt>
                <c:pt idx="14">
                  <c:v>Oslo Forsikring</c:v>
                </c:pt>
                <c:pt idx="15">
                  <c:v>OPF</c:v>
                </c:pt>
                <c:pt idx="16">
                  <c:v>Protector Fors</c:v>
                </c:pt>
                <c:pt idx="17">
                  <c:v>SpareBank 1 Forsikring</c:v>
                </c:pt>
                <c:pt idx="18">
                  <c:v>Storebrand Liv</c:v>
                </c:pt>
                <c:pt idx="19">
                  <c:v>Telenor Fors</c:v>
                </c:pt>
                <c:pt idx="20">
                  <c:v>Tryg Fors</c:v>
                </c:pt>
                <c:pt idx="21">
                  <c:v>WaterCircles Fors.</c:v>
                </c:pt>
                <c:pt idx="22">
                  <c:v>Youplus Livsf</c:v>
                </c:pt>
              </c:strCache>
            </c:strRef>
          </c:cat>
          <c:val>
            <c:numRef>
              <c:f>Figurer!$M$8:$M$30</c:f>
              <c:numCache>
                <c:formatCode>#,##0</c:formatCode>
                <c:ptCount val="23"/>
                <c:pt idx="0">
                  <c:v>1174839.7120000001</c:v>
                </c:pt>
                <c:pt idx="1">
                  <c:v>189579</c:v>
                </c:pt>
                <c:pt idx="2">
                  <c:v>36616</c:v>
                </c:pt>
                <c:pt idx="3">
                  <c:v>931757.56291999994</c:v>
                </c:pt>
                <c:pt idx="4">
                  <c:v>561739</c:v>
                </c:pt>
                <c:pt idx="5">
                  <c:v>6113.049</c:v>
                </c:pt>
                <c:pt idx="6">
                  <c:v>1505481.132</c:v>
                </c:pt>
                <c:pt idx="7">
                  <c:v>291293</c:v>
                </c:pt>
                <c:pt idx="8">
                  <c:v>224595.87164857</c:v>
                </c:pt>
                <c:pt idx="9">
                  <c:v>7553784.4308399996</c:v>
                </c:pt>
                <c:pt idx="10">
                  <c:v>193468.31199999998</c:v>
                </c:pt>
                <c:pt idx="11">
                  <c:v>20027</c:v>
                </c:pt>
                <c:pt idx="12">
                  <c:v>12079</c:v>
                </c:pt>
                <c:pt idx="13">
                  <c:v>690329.4997849986</c:v>
                </c:pt>
                <c:pt idx="14">
                  <c:v>0</c:v>
                </c:pt>
                <c:pt idx="15">
                  <c:v>1068666.4779999999</c:v>
                </c:pt>
                <c:pt idx="16">
                  <c:v>255125.81038457406</c:v>
                </c:pt>
                <c:pt idx="17">
                  <c:v>269626.87029000005</c:v>
                </c:pt>
                <c:pt idx="18">
                  <c:v>2787293.2384699997</c:v>
                </c:pt>
                <c:pt idx="19">
                  <c:v>1972</c:v>
                </c:pt>
                <c:pt idx="20">
                  <c:v>685373.375</c:v>
                </c:pt>
                <c:pt idx="21">
                  <c:v>2003</c:v>
                </c:pt>
                <c:pt idx="22">
                  <c:v>1558</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2024</c:v>
                </c:pt>
              </c:strCache>
            </c:strRef>
          </c:tx>
          <c:invertIfNegative val="0"/>
          <c:cat>
            <c:strRef>
              <c:f>Figurer!$L$8:$L$30</c:f>
              <c:strCache>
                <c:ptCount val="23"/>
                <c:pt idx="0">
                  <c:v>DNB Liv</c:v>
                </c:pt>
                <c:pt idx="1">
                  <c:v>Eika Forsikring</c:v>
                </c:pt>
                <c:pt idx="2">
                  <c:v>Euro Accident</c:v>
                </c:pt>
                <c:pt idx="3">
                  <c:v>Fremtind Livsfors</c:v>
                </c:pt>
                <c:pt idx="4">
                  <c:v>Frende Livsfors</c:v>
                </c:pt>
                <c:pt idx="5">
                  <c:v>Frende Skade</c:v>
                </c:pt>
                <c:pt idx="6">
                  <c:v>Gjensidige Fors</c:v>
                </c:pt>
                <c:pt idx="7">
                  <c:v>Gjensidige Pensj</c:v>
                </c:pt>
                <c:pt idx="8">
                  <c:v>If Skadefors</c:v>
                </c:pt>
                <c:pt idx="9">
                  <c:v>KLP</c:v>
                </c:pt>
                <c:pt idx="10">
                  <c:v>KLP Skadef</c:v>
                </c:pt>
                <c:pt idx="11">
                  <c:v>Landkreditt Fors.</c:v>
                </c:pt>
                <c:pt idx="12">
                  <c:v>Ly Forsikring</c:v>
                </c:pt>
                <c:pt idx="13">
                  <c:v>Nordea Liv</c:v>
                </c:pt>
                <c:pt idx="14">
                  <c:v>Oslo Forsikring</c:v>
                </c:pt>
                <c:pt idx="15">
                  <c:v>OPF</c:v>
                </c:pt>
                <c:pt idx="16">
                  <c:v>Protector Fors</c:v>
                </c:pt>
                <c:pt idx="17">
                  <c:v>SpareBank 1 Forsikring</c:v>
                </c:pt>
                <c:pt idx="18">
                  <c:v>Storebrand Liv</c:v>
                </c:pt>
                <c:pt idx="19">
                  <c:v>Telenor Fors</c:v>
                </c:pt>
                <c:pt idx="20">
                  <c:v>Tryg Fors</c:v>
                </c:pt>
                <c:pt idx="21">
                  <c:v>WaterCircles Fors.</c:v>
                </c:pt>
                <c:pt idx="22">
                  <c:v>Youplus Livsf</c:v>
                </c:pt>
              </c:strCache>
            </c:strRef>
          </c:cat>
          <c:val>
            <c:numRef>
              <c:f>Figurer!$N$8:$N$30</c:f>
              <c:numCache>
                <c:formatCode>#,##0</c:formatCode>
                <c:ptCount val="23"/>
                <c:pt idx="0">
                  <c:v>1250013</c:v>
                </c:pt>
                <c:pt idx="1">
                  <c:v>205089</c:v>
                </c:pt>
                <c:pt idx="2">
                  <c:v>51311</c:v>
                </c:pt>
                <c:pt idx="3">
                  <c:v>998261.31835000007</c:v>
                </c:pt>
                <c:pt idx="4">
                  <c:v>633168</c:v>
                </c:pt>
                <c:pt idx="5">
                  <c:v>6049.5889999999999</c:v>
                </c:pt>
                <c:pt idx="6">
                  <c:v>1560765.828</c:v>
                </c:pt>
                <c:pt idx="7">
                  <c:v>314987</c:v>
                </c:pt>
                <c:pt idx="8">
                  <c:v>250285.496603765</c:v>
                </c:pt>
                <c:pt idx="9">
                  <c:v>7819124.7919600001</c:v>
                </c:pt>
                <c:pt idx="10">
                  <c:v>212764.049</c:v>
                </c:pt>
                <c:pt idx="11">
                  <c:v>22470</c:v>
                </c:pt>
                <c:pt idx="12">
                  <c:v>14299.8</c:v>
                </c:pt>
                <c:pt idx="13">
                  <c:v>749011.92606698244</c:v>
                </c:pt>
                <c:pt idx="14">
                  <c:v>8485</c:v>
                </c:pt>
                <c:pt idx="15">
                  <c:v>908134</c:v>
                </c:pt>
                <c:pt idx="16">
                  <c:v>268907</c:v>
                </c:pt>
                <c:pt idx="17">
                  <c:v>282541.22444999998</c:v>
                </c:pt>
                <c:pt idx="18">
                  <c:v>2546560.0348999999</c:v>
                </c:pt>
                <c:pt idx="19">
                  <c:v>2386</c:v>
                </c:pt>
                <c:pt idx="20">
                  <c:v>751536</c:v>
                </c:pt>
                <c:pt idx="21">
                  <c:v>1726</c:v>
                </c:pt>
                <c:pt idx="22">
                  <c:v>16428</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Figurer!$M$34</c:f>
              <c:strCache>
                <c:ptCount val="1"/>
                <c:pt idx="0">
                  <c:v>2023</c:v>
                </c:pt>
              </c:strCache>
            </c:strRef>
          </c:tx>
          <c:invertIfNegative val="0"/>
          <c:cat>
            <c:strRef>
              <c:f>Figurer!$L$35:$L$40</c:f>
              <c:strCache>
                <c:ptCount val="6"/>
                <c:pt idx="0">
                  <c:v>DNB Liv</c:v>
                </c:pt>
                <c:pt idx="1">
                  <c:v>Gjensidige Pensj</c:v>
                </c:pt>
                <c:pt idx="2">
                  <c:v>KLP</c:v>
                </c:pt>
                <c:pt idx="3">
                  <c:v>Nordea Liv</c:v>
                </c:pt>
                <c:pt idx="4">
                  <c:v>SpareBank 1 Forsikring</c:v>
                </c:pt>
                <c:pt idx="5">
                  <c:v>Storebrand Liv</c:v>
                </c:pt>
              </c:strCache>
            </c:strRef>
          </c:cat>
          <c:val>
            <c:numRef>
              <c:f>Figurer!$M$35:$M$40</c:f>
              <c:numCache>
                <c:formatCode>#,##0</c:formatCode>
                <c:ptCount val="6"/>
                <c:pt idx="0">
                  <c:v>3430435.716</c:v>
                </c:pt>
                <c:pt idx="1">
                  <c:v>1416253</c:v>
                </c:pt>
                <c:pt idx="2">
                  <c:v>18550.222000000002</c:v>
                </c:pt>
                <c:pt idx="3">
                  <c:v>4065856.8543600002</c:v>
                </c:pt>
                <c:pt idx="4">
                  <c:v>1726963.1864399998</c:v>
                </c:pt>
                <c:pt idx="5">
                  <c:v>4395415.7059800001</c:v>
                </c:pt>
              </c:numCache>
            </c:numRef>
          </c:val>
          <c:extLst>
            <c:ext xmlns:c16="http://schemas.microsoft.com/office/drawing/2014/chart" uri="{C3380CC4-5D6E-409C-BE32-E72D297353CC}">
              <c16:uniqueId val="{00000000-3971-4F9A-B5A3-CF52C774B823}"/>
            </c:ext>
          </c:extLst>
        </c:ser>
        <c:ser>
          <c:idx val="1"/>
          <c:order val="1"/>
          <c:tx>
            <c:strRef>
              <c:f>Figurer!$N$34</c:f>
              <c:strCache>
                <c:ptCount val="1"/>
                <c:pt idx="0">
                  <c:v>2024</c:v>
                </c:pt>
              </c:strCache>
            </c:strRef>
          </c:tx>
          <c:invertIfNegative val="0"/>
          <c:cat>
            <c:strRef>
              <c:f>Figurer!$L$35:$L$40</c:f>
              <c:strCache>
                <c:ptCount val="6"/>
                <c:pt idx="0">
                  <c:v>DNB Liv</c:v>
                </c:pt>
                <c:pt idx="1">
                  <c:v>Gjensidige Pensj</c:v>
                </c:pt>
                <c:pt idx="2">
                  <c:v>KLP</c:v>
                </c:pt>
                <c:pt idx="3">
                  <c:v>Nordea Liv</c:v>
                </c:pt>
                <c:pt idx="4">
                  <c:v>SpareBank 1 Forsikring</c:v>
                </c:pt>
                <c:pt idx="5">
                  <c:v>Storebrand Liv</c:v>
                </c:pt>
              </c:strCache>
            </c:strRef>
          </c:cat>
          <c:val>
            <c:numRef>
              <c:f>Figurer!$N$35:$N$40</c:f>
              <c:numCache>
                <c:formatCode>#,##0</c:formatCode>
                <c:ptCount val="6"/>
                <c:pt idx="0">
                  <c:v>3528916.9929999998</c:v>
                </c:pt>
                <c:pt idx="1">
                  <c:v>1641372</c:v>
                </c:pt>
                <c:pt idx="2">
                  <c:v>22688.987000000001</c:v>
                </c:pt>
                <c:pt idx="3">
                  <c:v>5311313.3681499995</c:v>
                </c:pt>
                <c:pt idx="4">
                  <c:v>1839822.98065</c:v>
                </c:pt>
                <c:pt idx="5">
                  <c:v>4520753.1736900005</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Figurer!$M$52</c:f>
              <c:strCache>
                <c:ptCount val="1"/>
                <c:pt idx="0">
                  <c:v>2023</c:v>
                </c:pt>
              </c:strCache>
            </c:strRef>
          </c:tx>
          <c:invertIfNegative val="0"/>
          <c:cat>
            <c:strRef>
              <c:f>Figurer!$L$53:$L$73</c:f>
              <c:strCache>
                <c:ptCount val="21"/>
                <c:pt idx="0">
                  <c:v>DNB Liv</c:v>
                </c:pt>
                <c:pt idx="1">
                  <c:v>Eika Forsikring</c:v>
                </c:pt>
                <c:pt idx="2">
                  <c:v>Euro Accident</c:v>
                </c:pt>
                <c:pt idx="3">
                  <c:v>Fremtind Livsfors</c:v>
                </c:pt>
                <c:pt idx="4">
                  <c:v>Frende Livsfors</c:v>
                </c:pt>
                <c:pt idx="5">
                  <c:v>Gjensidige Fors</c:v>
                </c:pt>
                <c:pt idx="6">
                  <c:v>Gjensidige Pensj</c:v>
                </c:pt>
                <c:pt idx="7">
                  <c:v>If Skadefors</c:v>
                </c:pt>
                <c:pt idx="8">
                  <c:v>KLP</c:v>
                </c:pt>
                <c:pt idx="9">
                  <c:v>KLP Skadef</c:v>
                </c:pt>
                <c:pt idx="10">
                  <c:v>Landkreditt Fors</c:v>
                </c:pt>
                <c:pt idx="11">
                  <c:v>Ly Forsikring</c:v>
                </c:pt>
                <c:pt idx="12">
                  <c:v>Nordea Liv</c:v>
                </c:pt>
                <c:pt idx="13">
                  <c:v>Oslo Forsikring</c:v>
                </c:pt>
                <c:pt idx="14">
                  <c:v>OPF</c:v>
                </c:pt>
                <c:pt idx="15">
                  <c:v>SpareBank 1 Forsikring</c:v>
                </c:pt>
                <c:pt idx="16">
                  <c:v>Storebrand Liv</c:v>
                </c:pt>
                <c:pt idx="17">
                  <c:v>Telenor Forsikring</c:v>
                </c:pt>
                <c:pt idx="18">
                  <c:v>Tryg Forsikring</c:v>
                </c:pt>
                <c:pt idx="19">
                  <c:v>WaterCicles Fors.</c:v>
                </c:pt>
                <c:pt idx="20">
                  <c:v>Youplus Livsf</c:v>
                </c:pt>
              </c:strCache>
            </c:strRef>
          </c:cat>
          <c:val>
            <c:numRef>
              <c:f>Figurer!$M$53:$M$73</c:f>
              <c:numCache>
                <c:formatCode>#,##0</c:formatCode>
                <c:ptCount val="21"/>
                <c:pt idx="0">
                  <c:v>185707519.94522351</c:v>
                </c:pt>
                <c:pt idx="1">
                  <c:v>0</c:v>
                </c:pt>
                <c:pt idx="2">
                  <c:v>0</c:v>
                </c:pt>
                <c:pt idx="3">
                  <c:v>4951045.9075499997</c:v>
                </c:pt>
                <c:pt idx="4">
                  <c:v>1734604</c:v>
                </c:pt>
                <c:pt idx="5">
                  <c:v>0</c:v>
                </c:pt>
                <c:pt idx="6">
                  <c:v>9094615</c:v>
                </c:pt>
                <c:pt idx="7">
                  <c:v>0</c:v>
                </c:pt>
                <c:pt idx="8">
                  <c:v>665564510.55555999</c:v>
                </c:pt>
                <c:pt idx="9">
                  <c:v>114338.397</c:v>
                </c:pt>
                <c:pt idx="10">
                  <c:v>0</c:v>
                </c:pt>
                <c:pt idx="11">
                  <c:v>0</c:v>
                </c:pt>
                <c:pt idx="12">
                  <c:v>54987610.000009887</c:v>
                </c:pt>
                <c:pt idx="13">
                  <c:v>0</c:v>
                </c:pt>
                <c:pt idx="14">
                  <c:v>88090907</c:v>
                </c:pt>
                <c:pt idx="15">
                  <c:v>19424412.876610003</c:v>
                </c:pt>
                <c:pt idx="16">
                  <c:v>201474818.16530001</c:v>
                </c:pt>
                <c:pt idx="17">
                  <c:v>0</c:v>
                </c:pt>
                <c:pt idx="18">
                  <c:v>0</c:v>
                </c:pt>
                <c:pt idx="19">
                  <c:v>0</c:v>
                </c:pt>
                <c:pt idx="20">
                  <c:v>7107</c:v>
                </c:pt>
              </c:numCache>
            </c:numRef>
          </c:val>
          <c:extLst>
            <c:ext xmlns:c16="http://schemas.microsoft.com/office/drawing/2014/chart" uri="{C3380CC4-5D6E-409C-BE32-E72D297353CC}">
              <c16:uniqueId val="{00000000-F5D7-4882-A9B6-45C2F0317A05}"/>
            </c:ext>
          </c:extLst>
        </c:ser>
        <c:ser>
          <c:idx val="1"/>
          <c:order val="1"/>
          <c:tx>
            <c:strRef>
              <c:f>Figurer!$N$52</c:f>
              <c:strCache>
                <c:ptCount val="1"/>
                <c:pt idx="0">
                  <c:v>2024</c:v>
                </c:pt>
              </c:strCache>
            </c:strRef>
          </c:tx>
          <c:invertIfNegative val="0"/>
          <c:cat>
            <c:strRef>
              <c:f>Figurer!$L$53:$L$73</c:f>
              <c:strCache>
                <c:ptCount val="21"/>
                <c:pt idx="0">
                  <c:v>DNB Liv</c:v>
                </c:pt>
                <c:pt idx="1">
                  <c:v>Eika Forsikring</c:v>
                </c:pt>
                <c:pt idx="2">
                  <c:v>Euro Accident</c:v>
                </c:pt>
                <c:pt idx="3">
                  <c:v>Fremtind Livsfors</c:v>
                </c:pt>
                <c:pt idx="4">
                  <c:v>Frende Livsfors</c:v>
                </c:pt>
                <c:pt idx="5">
                  <c:v>Gjensidige Fors</c:v>
                </c:pt>
                <c:pt idx="6">
                  <c:v>Gjensidige Pensj</c:v>
                </c:pt>
                <c:pt idx="7">
                  <c:v>If Skadefors</c:v>
                </c:pt>
                <c:pt idx="8">
                  <c:v>KLP</c:v>
                </c:pt>
                <c:pt idx="9">
                  <c:v>KLP Skadef</c:v>
                </c:pt>
                <c:pt idx="10">
                  <c:v>Landkreditt Fors</c:v>
                </c:pt>
                <c:pt idx="11">
                  <c:v>Ly Forsikring</c:v>
                </c:pt>
                <c:pt idx="12">
                  <c:v>Nordea Liv</c:v>
                </c:pt>
                <c:pt idx="13">
                  <c:v>Oslo Forsikring</c:v>
                </c:pt>
                <c:pt idx="14">
                  <c:v>OPF</c:v>
                </c:pt>
                <c:pt idx="15">
                  <c:v>SpareBank 1 Forsikring</c:v>
                </c:pt>
                <c:pt idx="16">
                  <c:v>Storebrand Liv</c:v>
                </c:pt>
                <c:pt idx="17">
                  <c:v>Telenor Forsikring</c:v>
                </c:pt>
                <c:pt idx="18">
                  <c:v>Tryg Forsikring</c:v>
                </c:pt>
                <c:pt idx="19">
                  <c:v>WaterCicles Fors.</c:v>
                </c:pt>
                <c:pt idx="20">
                  <c:v>Youplus Livsf</c:v>
                </c:pt>
              </c:strCache>
            </c:strRef>
          </c:cat>
          <c:val>
            <c:numRef>
              <c:f>Figurer!$N$53:$N$73</c:f>
              <c:numCache>
                <c:formatCode>#,##0</c:formatCode>
                <c:ptCount val="21"/>
                <c:pt idx="0">
                  <c:v>182678854</c:v>
                </c:pt>
                <c:pt idx="1">
                  <c:v>0</c:v>
                </c:pt>
                <c:pt idx="2">
                  <c:v>0</c:v>
                </c:pt>
                <c:pt idx="3">
                  <c:v>5524479.2054099999</c:v>
                </c:pt>
                <c:pt idx="4">
                  <c:v>2088315</c:v>
                </c:pt>
                <c:pt idx="5">
                  <c:v>0</c:v>
                </c:pt>
                <c:pt idx="6">
                  <c:v>10139234</c:v>
                </c:pt>
                <c:pt idx="7">
                  <c:v>0</c:v>
                </c:pt>
                <c:pt idx="8">
                  <c:v>742435451.03683996</c:v>
                </c:pt>
                <c:pt idx="9">
                  <c:v>148316.739</c:v>
                </c:pt>
                <c:pt idx="10">
                  <c:v>0</c:v>
                </c:pt>
                <c:pt idx="11">
                  <c:v>0</c:v>
                </c:pt>
                <c:pt idx="12">
                  <c:v>54599980.000004023</c:v>
                </c:pt>
                <c:pt idx="13">
                  <c:v>0</c:v>
                </c:pt>
                <c:pt idx="14">
                  <c:v>94317675</c:v>
                </c:pt>
                <c:pt idx="15">
                  <c:v>21904980.821390003</c:v>
                </c:pt>
                <c:pt idx="16">
                  <c:v>208594525.58670002</c:v>
                </c:pt>
                <c:pt idx="17">
                  <c:v>0</c:v>
                </c:pt>
                <c:pt idx="18">
                  <c:v>0</c:v>
                </c:pt>
                <c:pt idx="19">
                  <c:v>0</c:v>
                </c:pt>
                <c:pt idx="20">
                  <c:v>34208</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Figurer!$M$77</c:f>
              <c:strCache>
                <c:ptCount val="1"/>
                <c:pt idx="0">
                  <c:v>2023</c:v>
                </c:pt>
              </c:strCache>
            </c:strRef>
          </c:tx>
          <c:invertIfNegative val="0"/>
          <c:cat>
            <c:strRef>
              <c:f>Figurer!$L$78:$L$83</c:f>
              <c:strCache>
                <c:ptCount val="6"/>
                <c:pt idx="0">
                  <c:v>DNB Liv</c:v>
                </c:pt>
                <c:pt idx="1">
                  <c:v>Gjensidige Pensj</c:v>
                </c:pt>
                <c:pt idx="2">
                  <c:v>KLP</c:v>
                </c:pt>
                <c:pt idx="3">
                  <c:v>Nordea Liv</c:v>
                </c:pt>
                <c:pt idx="4">
                  <c:v>SpareBank 1 Forsikring</c:v>
                </c:pt>
                <c:pt idx="5">
                  <c:v>Storebrand Liv</c:v>
                </c:pt>
              </c:strCache>
            </c:strRef>
          </c:cat>
          <c:val>
            <c:numRef>
              <c:f>Figurer!$M$78:$M$83</c:f>
              <c:numCache>
                <c:formatCode>#,##0</c:formatCode>
                <c:ptCount val="6"/>
                <c:pt idx="0">
                  <c:v>146459867.64199999</c:v>
                </c:pt>
                <c:pt idx="1">
                  <c:v>51422836</c:v>
                </c:pt>
                <c:pt idx="2">
                  <c:v>2609059.09693</c:v>
                </c:pt>
                <c:pt idx="3">
                  <c:v>126457560</c:v>
                </c:pt>
                <c:pt idx="4">
                  <c:v>60413574.038189903</c:v>
                </c:pt>
                <c:pt idx="5">
                  <c:v>191251233.176</c:v>
                </c:pt>
              </c:numCache>
            </c:numRef>
          </c:val>
          <c:extLst>
            <c:ext xmlns:c16="http://schemas.microsoft.com/office/drawing/2014/chart" uri="{C3380CC4-5D6E-409C-BE32-E72D297353CC}">
              <c16:uniqueId val="{00000000-62B1-4395-80F9-424B1553CC96}"/>
            </c:ext>
          </c:extLst>
        </c:ser>
        <c:ser>
          <c:idx val="1"/>
          <c:order val="1"/>
          <c:tx>
            <c:strRef>
              <c:f>Figurer!$N$77</c:f>
              <c:strCache>
                <c:ptCount val="1"/>
                <c:pt idx="0">
                  <c:v>2024</c:v>
                </c:pt>
              </c:strCache>
            </c:strRef>
          </c:tx>
          <c:invertIfNegative val="0"/>
          <c:cat>
            <c:strRef>
              <c:f>Figurer!$L$78:$L$83</c:f>
              <c:strCache>
                <c:ptCount val="6"/>
                <c:pt idx="0">
                  <c:v>DNB Liv</c:v>
                </c:pt>
                <c:pt idx="1">
                  <c:v>Gjensidige Pensj</c:v>
                </c:pt>
                <c:pt idx="2">
                  <c:v>KLP</c:v>
                </c:pt>
                <c:pt idx="3">
                  <c:v>Nordea Liv</c:v>
                </c:pt>
                <c:pt idx="4">
                  <c:v>SpareBank 1 Forsikring</c:v>
                </c:pt>
                <c:pt idx="5">
                  <c:v>Storebrand Liv</c:v>
                </c:pt>
              </c:strCache>
            </c:strRef>
          </c:cat>
          <c:val>
            <c:numRef>
              <c:f>Figurer!$N$78:$N$83</c:f>
              <c:numCache>
                <c:formatCode>#,##0</c:formatCode>
                <c:ptCount val="6"/>
                <c:pt idx="0">
                  <c:v>179449570.928</c:v>
                </c:pt>
                <c:pt idx="1">
                  <c:v>65817579</c:v>
                </c:pt>
                <c:pt idx="2">
                  <c:v>2764463.4104599999</c:v>
                </c:pt>
                <c:pt idx="3">
                  <c:v>159130080</c:v>
                </c:pt>
                <c:pt idx="4">
                  <c:v>75514311.198369905</c:v>
                </c:pt>
                <c:pt idx="5">
                  <c:v>226481801.93450999</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Figurer!$M$99</c:f>
              <c:strCache>
                <c:ptCount val="1"/>
                <c:pt idx="0">
                  <c:v>2023</c:v>
                </c:pt>
              </c:strCache>
            </c:strRef>
          </c:tx>
          <c:invertIfNegative val="0"/>
          <c:cat>
            <c:strRef>
              <c:f>Figurer!$L$100:$L$105</c:f>
              <c:strCache>
                <c:ptCount val="6"/>
                <c:pt idx="0">
                  <c:v>DNB Liv</c:v>
                </c:pt>
                <c:pt idx="1">
                  <c:v>Gjensidige Pensj</c:v>
                </c:pt>
                <c:pt idx="2">
                  <c:v>KLP</c:v>
                </c:pt>
                <c:pt idx="3">
                  <c:v>Nordea Liv</c:v>
                </c:pt>
                <c:pt idx="4">
                  <c:v>SpareBank 1 Forsikring</c:v>
                </c:pt>
                <c:pt idx="5">
                  <c:v>Storebrand Liv</c:v>
                </c:pt>
              </c:strCache>
            </c:strRef>
          </c:cat>
          <c:val>
            <c:numRef>
              <c:f>Figurer!$M$100:$M$105</c:f>
              <c:numCache>
                <c:formatCode>#,##0</c:formatCode>
                <c:ptCount val="6"/>
                <c:pt idx="0">
                  <c:v>46187</c:v>
                </c:pt>
                <c:pt idx="1">
                  <c:v>36306</c:v>
                </c:pt>
                <c:pt idx="2">
                  <c:v>-2034368.132</c:v>
                </c:pt>
                <c:pt idx="3">
                  <c:v>-1911.31200000015</c:v>
                </c:pt>
                <c:pt idx="4">
                  <c:v>-28538.81914</c:v>
                </c:pt>
                <c:pt idx="5">
                  <c:v>819261.93400000001</c:v>
                </c:pt>
              </c:numCache>
            </c:numRef>
          </c:val>
          <c:extLst>
            <c:ext xmlns:c16="http://schemas.microsoft.com/office/drawing/2014/chart" uri="{C3380CC4-5D6E-409C-BE32-E72D297353CC}">
              <c16:uniqueId val="{00000000-2BF8-4278-857F-91A0E7196849}"/>
            </c:ext>
          </c:extLst>
        </c:ser>
        <c:ser>
          <c:idx val="1"/>
          <c:order val="1"/>
          <c:tx>
            <c:strRef>
              <c:f>Figurer!$N$99</c:f>
              <c:strCache>
                <c:ptCount val="1"/>
                <c:pt idx="0">
                  <c:v>2024</c:v>
                </c:pt>
              </c:strCache>
            </c:strRef>
          </c:tx>
          <c:invertIfNegative val="0"/>
          <c:cat>
            <c:strRef>
              <c:f>Figurer!$L$100:$L$105</c:f>
              <c:strCache>
                <c:ptCount val="6"/>
                <c:pt idx="0">
                  <c:v>DNB Liv</c:v>
                </c:pt>
                <c:pt idx="1">
                  <c:v>Gjensidige Pensj</c:v>
                </c:pt>
                <c:pt idx="2">
                  <c:v>KLP</c:v>
                </c:pt>
                <c:pt idx="3">
                  <c:v>Nordea Liv</c:v>
                </c:pt>
                <c:pt idx="4">
                  <c:v>SpareBank 1 Forsikring</c:v>
                </c:pt>
                <c:pt idx="5">
                  <c:v>Storebrand Liv</c:v>
                </c:pt>
              </c:strCache>
            </c:strRef>
          </c:cat>
          <c:val>
            <c:numRef>
              <c:f>Figurer!$N$100:$N$105</c:f>
              <c:numCache>
                <c:formatCode>#,##0</c:formatCode>
                <c:ptCount val="6"/>
                <c:pt idx="0">
                  <c:v>142093</c:v>
                </c:pt>
                <c:pt idx="1">
                  <c:v>22481</c:v>
                </c:pt>
                <c:pt idx="2">
                  <c:v>-2455267.2319999998</c:v>
                </c:pt>
                <c:pt idx="3">
                  <c:v>-1336.18390000006</c:v>
                </c:pt>
                <c:pt idx="4">
                  <c:v>-7141.412620000001</c:v>
                </c:pt>
                <c:pt idx="5">
                  <c:v>2416464.1535</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Figurer!$M$121</c:f>
              <c:strCache>
                <c:ptCount val="1"/>
                <c:pt idx="0">
                  <c:v>2023</c:v>
                </c:pt>
              </c:strCache>
            </c:strRef>
          </c:tx>
          <c:invertIfNegative val="0"/>
          <c:cat>
            <c:strRef>
              <c:f>Figurer!$L$122:$L$127</c:f>
              <c:strCache>
                <c:ptCount val="6"/>
                <c:pt idx="0">
                  <c:v>DNB Liv</c:v>
                </c:pt>
                <c:pt idx="1">
                  <c:v>Gjensidige Pensj</c:v>
                </c:pt>
                <c:pt idx="2">
                  <c:v>KLP</c:v>
                </c:pt>
                <c:pt idx="3">
                  <c:v>Nordea Liv</c:v>
                </c:pt>
                <c:pt idx="4">
                  <c:v>SpareBank 1 Forsikring</c:v>
                </c:pt>
                <c:pt idx="5">
                  <c:v>Storebrand Liv</c:v>
                </c:pt>
              </c:strCache>
            </c:strRef>
          </c:cat>
          <c:val>
            <c:numRef>
              <c:f>Figurer!$M$122:$M$127</c:f>
              <c:numCache>
                <c:formatCode>#,##0</c:formatCode>
                <c:ptCount val="6"/>
                <c:pt idx="0">
                  <c:v>-951646</c:v>
                </c:pt>
                <c:pt idx="1">
                  <c:v>1621849</c:v>
                </c:pt>
                <c:pt idx="2">
                  <c:v>0</c:v>
                </c:pt>
                <c:pt idx="3">
                  <c:v>-618652.85990000004</c:v>
                </c:pt>
                <c:pt idx="4">
                  <c:v>-493333.32088000001</c:v>
                </c:pt>
                <c:pt idx="5">
                  <c:v>-297882.16838000016</c:v>
                </c:pt>
              </c:numCache>
            </c:numRef>
          </c:val>
          <c:extLst>
            <c:ext xmlns:c16="http://schemas.microsoft.com/office/drawing/2014/chart" uri="{C3380CC4-5D6E-409C-BE32-E72D297353CC}">
              <c16:uniqueId val="{00000000-B400-4C26-965B-0553A4A37873}"/>
            </c:ext>
          </c:extLst>
        </c:ser>
        <c:ser>
          <c:idx val="1"/>
          <c:order val="1"/>
          <c:tx>
            <c:strRef>
              <c:f>Figurer!$N$121</c:f>
              <c:strCache>
                <c:ptCount val="1"/>
                <c:pt idx="0">
                  <c:v>2024</c:v>
                </c:pt>
              </c:strCache>
            </c:strRef>
          </c:tx>
          <c:invertIfNegative val="0"/>
          <c:cat>
            <c:strRef>
              <c:f>Figurer!$L$122:$L$127</c:f>
              <c:strCache>
                <c:ptCount val="6"/>
                <c:pt idx="0">
                  <c:v>DNB Liv</c:v>
                </c:pt>
                <c:pt idx="1">
                  <c:v>Gjensidige Pensj</c:v>
                </c:pt>
                <c:pt idx="2">
                  <c:v>KLP</c:v>
                </c:pt>
                <c:pt idx="3">
                  <c:v>Nordea Liv</c:v>
                </c:pt>
                <c:pt idx="4">
                  <c:v>SpareBank 1 Forsikring</c:v>
                </c:pt>
                <c:pt idx="5">
                  <c:v>Storebrand Liv</c:v>
                </c:pt>
              </c:strCache>
            </c:strRef>
          </c:cat>
          <c:val>
            <c:numRef>
              <c:f>Figurer!$N$122:$N$127</c:f>
              <c:numCache>
                <c:formatCode>#,##0</c:formatCode>
                <c:ptCount val="6"/>
                <c:pt idx="0">
                  <c:v>-900203</c:v>
                </c:pt>
                <c:pt idx="1">
                  <c:v>432876</c:v>
                </c:pt>
                <c:pt idx="2">
                  <c:v>-182.05500000000001</c:v>
                </c:pt>
                <c:pt idx="3">
                  <c:v>-799067.74282999989</c:v>
                </c:pt>
                <c:pt idx="4">
                  <c:v>-297184.52006999985</c:v>
                </c:pt>
                <c:pt idx="5">
                  <c:v>59260.881069999654</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389792</xdr:colOff>
      <xdr:row>15</xdr:row>
      <xdr:rowOff>381000</xdr:rowOff>
    </xdr:from>
    <xdr:to>
      <xdr:col>4</xdr:col>
      <xdr:colOff>598714</xdr:colOff>
      <xdr:row>17</xdr:row>
      <xdr:rowOff>137745</xdr:rowOff>
    </xdr:to>
    <xdr:sp macro="" textlink="">
      <xdr:nvSpPr>
        <xdr:cNvPr id="2" name="Text Box 6">
          <a:extLst>
            <a:ext uri="{FF2B5EF4-FFF2-40B4-BE49-F238E27FC236}">
              <a16:creationId xmlns:a16="http://schemas.microsoft.com/office/drawing/2014/main" id="{499D6C09-8686-4BF0-B91B-3858981A64B8}"/>
            </a:ext>
          </a:extLst>
        </xdr:cNvPr>
        <xdr:cNvSpPr txBox="1"/>
      </xdr:nvSpPr>
      <xdr:spPr>
        <a:xfrm>
          <a:off x="389792" y="3343275"/>
          <a:ext cx="3256922" cy="61399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2024 </a:t>
          </a:r>
          <a:r>
            <a:rPr lang="nb-NO" sz="1200">
              <a:effectLst/>
              <a:latin typeface="Arial"/>
              <a:ea typeface="ＭＳ 明朝"/>
              <a:cs typeface="Times New Roman"/>
            </a:rPr>
            <a:t>(31</a:t>
          </a:r>
          <a:r>
            <a:rPr lang="nb-NO" sz="1200">
              <a:solidFill>
                <a:schemeClr val="dk1"/>
              </a:solidFill>
              <a:effectLst/>
              <a:latin typeface="Arial"/>
              <a:ea typeface="ＭＳ 明朝"/>
              <a:cs typeface="Times New Roman"/>
            </a:rPr>
            <a:t>.05.2024</a:t>
          </a:r>
          <a:r>
            <a:rPr lang="nb-NO" sz="12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306161</xdr:colOff>
      <xdr:row>11</xdr:row>
      <xdr:rowOff>31750</xdr:rowOff>
    </xdr:from>
    <xdr:to>
      <xdr:col>12</xdr:col>
      <xdr:colOff>677636</xdr:colOff>
      <xdr:row>15</xdr:row>
      <xdr:rowOff>391583</xdr:rowOff>
    </xdr:to>
    <xdr:sp macro="" textlink="">
      <xdr:nvSpPr>
        <xdr:cNvPr id="3" name="Text Box 4">
          <a:extLst>
            <a:ext uri="{FF2B5EF4-FFF2-40B4-BE49-F238E27FC236}">
              <a16:creationId xmlns:a16="http://schemas.microsoft.com/office/drawing/2014/main" id="{4B1AAB3F-EC6D-47A5-BFC8-57614BB19A63}"/>
            </a:ext>
          </a:extLst>
        </xdr:cNvPr>
        <xdr:cNvSpPr txBox="1"/>
      </xdr:nvSpPr>
      <xdr:spPr>
        <a:xfrm>
          <a:off x="306161" y="2053167"/>
          <a:ext cx="9515475" cy="126999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Markedsandeler</a:t>
          </a:r>
        </a:p>
        <a:p>
          <a:pPr>
            <a:spcAft>
              <a:spcPts val="0"/>
            </a:spcAft>
          </a:pPr>
          <a:r>
            <a:rPr lang="nb-NO" sz="2200" b="0" baseline="0">
              <a:solidFill>
                <a:srgbClr val="005670"/>
              </a:solidFill>
              <a:effectLst/>
              <a:latin typeface="Arial"/>
              <a:ea typeface="ＭＳ 明朝"/>
              <a:cs typeface="Times New Roman"/>
            </a:rPr>
            <a:t> </a:t>
          </a:r>
          <a:r>
            <a:rPr lang="nb-NO" sz="2600" b="0" baseline="0">
              <a:solidFill>
                <a:srgbClr val="005670"/>
              </a:solidFill>
              <a:effectLst/>
              <a:latin typeface="Arial"/>
              <a:ea typeface="ＭＳ 明朝"/>
              <a:cs typeface="Times New Roman"/>
            </a:rPr>
            <a:t>- endelige tall og regnskapsstatistikk</a:t>
          </a:r>
          <a:r>
            <a:rPr lang="nb-NO" sz="2800" b="0">
              <a:solidFill>
                <a:srgbClr val="005670"/>
              </a:solidFill>
              <a:effectLst/>
              <a:latin typeface="Arial"/>
              <a:ea typeface="ＭＳ 明朝"/>
              <a:cs typeface="Times New Roman"/>
            </a:rPr>
            <a:t>	</a:t>
          </a:r>
          <a:endParaRPr lang="nb-NO" sz="1200" b="0">
            <a:solidFill>
              <a:srgbClr val="005670"/>
            </a:solidFill>
            <a:effectLst/>
            <a:ea typeface="ＭＳ 明朝"/>
            <a:cs typeface="Times New Roman"/>
          </a:endParaRPr>
        </a:p>
      </xdr:txBody>
    </xdr:sp>
    <xdr:clientData/>
  </xdr:twoCellAnchor>
  <xdr:twoCellAnchor editAs="oneCell">
    <xdr:from>
      <xdr:col>0</xdr:col>
      <xdr:colOff>419099</xdr:colOff>
      <xdr:row>4</xdr:row>
      <xdr:rowOff>127000</xdr:rowOff>
    </xdr:from>
    <xdr:to>
      <xdr:col>7</xdr:col>
      <xdr:colOff>21167</xdr:colOff>
      <xdr:row>9</xdr:row>
      <xdr:rowOff>197909</xdr:rowOff>
    </xdr:to>
    <xdr:pic>
      <xdr:nvPicPr>
        <xdr:cNvPr id="4" name="Bilde 7">
          <a:extLst>
            <a:ext uri="{FF2B5EF4-FFF2-40B4-BE49-F238E27FC236}">
              <a16:creationId xmlns:a16="http://schemas.microsoft.com/office/drawing/2014/main" id="{1A0320DA-F81B-48DC-A876-A2AA50D0DB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099" y="762000"/>
          <a:ext cx="4936068" cy="1002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137583</xdr:rowOff>
    </xdr:from>
    <xdr:to>
      <xdr:col>0</xdr:col>
      <xdr:colOff>4064000</xdr:colOff>
      <xdr:row>40</xdr:row>
      <xdr:rowOff>84666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7258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p>
        <a:p>
          <a:pPr algn="l" rtl="0">
            <a:lnSpc>
              <a:spcPts val="1600"/>
            </a:lnSpc>
            <a:defRPr sz="1000"/>
          </a:pPr>
          <a:r>
            <a:rPr lang="nb-NO" sz="1200" b="0" i="0" strike="noStrike" baseline="0">
              <a:solidFill>
                <a:srgbClr val="000000"/>
              </a:solidFill>
              <a:latin typeface="Times New Roman"/>
              <a:cs typeface="Times New Roman"/>
            </a:rPr>
            <a:t>Euro Accident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Ly Forsikring (skadeselskap)</a:t>
          </a:r>
        </a:p>
        <a:p>
          <a:pPr algn="l" rtl="0">
            <a:lnSpc>
              <a:spcPts val="1600"/>
            </a:lnSpc>
            <a:defRPr sz="1000"/>
          </a:pPr>
          <a:r>
            <a:rPr lang="nb-NO" sz="1200" b="0" i="0" strike="noStrike">
              <a:solidFill>
                <a:srgbClr val="000000"/>
              </a:solidFill>
              <a:latin typeface="Times New Roman"/>
              <a:cs typeface="Times New Roman"/>
            </a:rPr>
            <a:t>Oslo Forsikring (skadeselskap)</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 (skadeselskap)</a:t>
          </a:r>
        </a:p>
        <a:p>
          <a:pPr algn="l" rtl="0">
            <a:lnSpc>
              <a:spcPts val="1700"/>
            </a:lnSpc>
            <a:defRPr sz="1000"/>
          </a:pPr>
          <a:r>
            <a:rPr lang="nb-NO" sz="1200" b="0" i="0" strike="noStrike">
              <a:solidFill>
                <a:srgbClr val="000000"/>
              </a:solidFill>
              <a:latin typeface="Times New Roman"/>
              <a:cs typeface="Times New Roman"/>
            </a:rPr>
            <a:t>SpareBank 1 Forsikring</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WaterCircles Forsikring (Skadeforsikring)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Youplus Livsforsikring nuf</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pPr rtl="0" eaLnBrk="1" fontAlgn="auto" latinLnBrk="0" hangingPunct="1"/>
          <a:r>
            <a:rPr lang="nb-NO" sz="1100" u="sng">
              <a:solidFill>
                <a:schemeClr val="dk1"/>
              </a:solidFill>
              <a:effectLst/>
              <a:latin typeface="+mn-lt"/>
              <a:ea typeface="+mn-ea"/>
              <a:cs typeface="+mn-cs"/>
            </a:rPr>
            <a:t>Oslo Forsikring :</a:t>
          </a:r>
          <a:endParaRPr lang="nb-NO">
            <a:effectLst/>
          </a:endParaRPr>
        </a:p>
        <a:p>
          <a:pPr rtl="0" eaLnBrk="1" fontAlgn="auto" latinLnBrk="0" hangingPunct="1"/>
          <a:r>
            <a:rPr lang="nb-NO" sz="1100" baseline="0">
              <a:solidFill>
                <a:schemeClr val="dk1"/>
              </a:solidFill>
              <a:effectLst/>
              <a:latin typeface="+mn-lt"/>
              <a:ea typeface="+mn-ea"/>
              <a:cs typeface="+mn-cs"/>
            </a:rPr>
            <a:t>Selskapet inngår i statistikken </a:t>
          </a:r>
          <a:r>
            <a:rPr lang="nb-NO" sz="1100">
              <a:solidFill>
                <a:schemeClr val="dk1"/>
              </a:solidFill>
              <a:effectLst/>
              <a:latin typeface="+mn-lt"/>
              <a:ea typeface="+mn-ea"/>
              <a:cs typeface="+mn-cs"/>
            </a:rPr>
            <a:t>fra 1.kvartal 2024</a:t>
          </a:r>
          <a:r>
            <a:rPr lang="nb-NO" sz="1100" baseline="0">
              <a:solidFill>
                <a:schemeClr val="dk1"/>
              </a:solidFill>
              <a:effectLst/>
              <a:latin typeface="+mn-lt"/>
              <a:ea typeface="+mn-ea"/>
              <a:cs typeface="+mn-cs"/>
            </a:rPr>
            <a:t>.</a:t>
          </a:r>
          <a:endParaRPr lang="nb-NO" sz="1100" u="none">
            <a:solidFill>
              <a:schemeClr val="dk1"/>
            </a:solidFill>
            <a:latin typeface="Times New Roman" panose="02020603050405020304" pitchFamily="18" charset="0"/>
            <a:ea typeface="+mn-ea"/>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F6A5-CA05-4275-B867-34D92981BF97}">
  <dimension ref="A1:M38"/>
  <sheetViews>
    <sheetView showGridLines="0" zoomScale="90" zoomScaleNormal="90" workbookViewId="0">
      <selection activeCell="D23" sqref="D23"/>
    </sheetView>
  </sheetViews>
  <sheetFormatPr baseColWidth="10" defaultColWidth="11.42578125" defaultRowHeight="12.75" x14ac:dyDescent="0.2"/>
  <cols>
    <col min="1" max="16384" width="11.42578125" style="125"/>
  </cols>
  <sheetData>
    <row r="1" spans="1:13" x14ac:dyDescent="0.2">
      <c r="A1" s="572"/>
      <c r="B1" s="572"/>
      <c r="C1" s="572"/>
      <c r="D1" s="572"/>
      <c r="E1" s="572"/>
      <c r="F1" s="572"/>
      <c r="G1" s="572"/>
      <c r="H1" s="572"/>
      <c r="I1" s="572"/>
      <c r="J1" s="572"/>
      <c r="K1" s="572"/>
      <c r="L1" s="572"/>
      <c r="M1" s="572"/>
    </row>
    <row r="2" spans="1:13" x14ac:dyDescent="0.2">
      <c r="A2" s="572"/>
      <c r="B2" s="572"/>
      <c r="C2" s="572"/>
      <c r="D2" s="572"/>
      <c r="E2" s="572"/>
      <c r="F2" s="572"/>
      <c r="G2" s="572"/>
      <c r="H2" s="572"/>
      <c r="I2" s="572"/>
      <c r="J2" s="572"/>
      <c r="K2" s="572"/>
      <c r="L2" s="572"/>
      <c r="M2" s="572"/>
    </row>
    <row r="3" spans="1:13" x14ac:dyDescent="0.2">
      <c r="A3" s="572"/>
      <c r="B3" s="572"/>
      <c r="C3" s="572"/>
      <c r="D3" s="572"/>
      <c r="E3" s="572"/>
      <c r="F3" s="572"/>
      <c r="G3" s="572"/>
      <c r="H3" s="572"/>
      <c r="I3" s="572"/>
      <c r="J3" s="572"/>
      <c r="K3" s="572"/>
      <c r="L3" s="572"/>
      <c r="M3" s="572"/>
    </row>
    <row r="4" spans="1:13" x14ac:dyDescent="0.2">
      <c r="A4" s="572"/>
      <c r="B4" s="572"/>
      <c r="C4" s="572"/>
      <c r="D4" s="572"/>
      <c r="E4" s="572"/>
      <c r="F4" s="572"/>
      <c r="G4" s="572"/>
      <c r="H4" s="572"/>
      <c r="I4" s="572"/>
      <c r="J4" s="572"/>
      <c r="K4" s="572"/>
      <c r="L4" s="572"/>
      <c r="M4" s="572"/>
    </row>
    <row r="5" spans="1:13" x14ac:dyDescent="0.2">
      <c r="A5" s="572"/>
      <c r="B5" s="573"/>
      <c r="C5" s="573"/>
      <c r="D5" s="573"/>
      <c r="E5" s="573"/>
      <c r="F5" s="573"/>
      <c r="G5" s="573"/>
      <c r="H5" s="573"/>
      <c r="I5" s="572"/>
      <c r="J5" s="572"/>
      <c r="K5" s="572"/>
      <c r="L5" s="572"/>
      <c r="M5" s="572"/>
    </row>
    <row r="6" spans="1:13" ht="23.25" x14ac:dyDescent="0.35">
      <c r="A6" s="572"/>
      <c r="B6" s="574"/>
      <c r="C6" s="573"/>
      <c r="D6" s="573"/>
      <c r="E6" s="573"/>
      <c r="F6" s="573"/>
      <c r="G6" s="573"/>
      <c r="H6" s="573"/>
      <c r="I6" s="575"/>
      <c r="J6" s="572"/>
      <c r="K6" s="572"/>
      <c r="L6" s="572"/>
      <c r="M6" s="572"/>
    </row>
    <row r="7" spans="1:13" x14ac:dyDescent="0.2">
      <c r="A7" s="572"/>
      <c r="B7" s="573"/>
      <c r="C7" s="573"/>
      <c r="D7" s="573"/>
      <c r="E7" s="573"/>
      <c r="F7" s="573"/>
      <c r="G7" s="573"/>
      <c r="H7" s="573"/>
      <c r="I7" s="573"/>
      <c r="J7" s="572"/>
      <c r="K7" s="572"/>
      <c r="L7" s="572"/>
      <c r="M7" s="572"/>
    </row>
    <row r="8" spans="1:13" x14ac:dyDescent="0.2">
      <c r="A8" s="572"/>
      <c r="B8" s="573"/>
      <c r="C8" s="573"/>
      <c r="D8" s="573"/>
      <c r="E8" s="572"/>
      <c r="F8" s="573"/>
      <c r="G8" s="573"/>
      <c r="H8" s="573"/>
      <c r="I8" s="572"/>
      <c r="J8" s="572"/>
      <c r="K8" s="572"/>
      <c r="L8" s="572"/>
      <c r="M8" s="572"/>
    </row>
    <row r="9" spans="1:13" x14ac:dyDescent="0.2">
      <c r="A9" s="572"/>
      <c r="B9" s="573"/>
      <c r="C9" s="573"/>
      <c r="D9" s="573"/>
      <c r="E9" s="573"/>
      <c r="F9" s="573"/>
      <c r="G9" s="573"/>
      <c r="H9" s="573"/>
      <c r="I9" s="572"/>
      <c r="J9" s="572"/>
      <c r="K9" s="572"/>
      <c r="L9" s="572"/>
      <c r="M9" s="572"/>
    </row>
    <row r="10" spans="1:13" ht="23.25" x14ac:dyDescent="0.35">
      <c r="A10" s="572"/>
      <c r="B10" s="573"/>
      <c r="C10" s="573"/>
      <c r="D10" s="573"/>
      <c r="E10" s="572"/>
      <c r="F10" s="572"/>
      <c r="G10" s="572"/>
      <c r="H10" s="572"/>
      <c r="I10" s="575"/>
      <c r="J10" s="572"/>
      <c r="K10" s="572"/>
      <c r="L10" s="572"/>
      <c r="M10" s="572"/>
    </row>
    <row r="11" spans="1:13" x14ac:dyDescent="0.2">
      <c r="A11" s="572"/>
      <c r="B11" s="573"/>
      <c r="C11" s="573"/>
      <c r="D11" s="573"/>
      <c r="E11" s="572"/>
      <c r="F11" s="572"/>
      <c r="G11" s="572"/>
      <c r="H11" s="572"/>
      <c r="I11" s="572"/>
      <c r="J11" s="572"/>
      <c r="K11" s="572"/>
      <c r="L11" s="572"/>
      <c r="M11" s="572"/>
    </row>
    <row r="12" spans="1:13" ht="23.25" x14ac:dyDescent="0.35">
      <c r="A12" s="572"/>
      <c r="B12" s="573"/>
      <c r="C12" s="573"/>
      <c r="D12" s="573"/>
      <c r="E12" s="573"/>
      <c r="F12" s="573"/>
      <c r="G12" s="573"/>
      <c r="H12" s="573"/>
      <c r="I12" s="575"/>
      <c r="J12" s="572"/>
      <c r="K12" s="572"/>
      <c r="L12" s="572"/>
      <c r="M12" s="572"/>
    </row>
    <row r="13" spans="1:13" ht="23.25" x14ac:dyDescent="0.35">
      <c r="A13" s="572"/>
      <c r="B13" s="573"/>
      <c r="C13" s="576"/>
      <c r="D13" s="576"/>
      <c r="E13" s="576"/>
      <c r="F13" s="576"/>
      <c r="G13" s="576"/>
      <c r="H13" s="576"/>
      <c r="I13" s="575"/>
      <c r="J13" s="572"/>
      <c r="K13" s="572"/>
      <c r="L13" s="572"/>
      <c r="M13" s="572"/>
    </row>
    <row r="14" spans="1:13" x14ac:dyDescent="0.2">
      <c r="A14" s="572"/>
      <c r="B14" s="573"/>
      <c r="C14" s="573"/>
      <c r="D14" s="573"/>
      <c r="E14" s="572"/>
      <c r="F14" s="573"/>
      <c r="G14" s="573"/>
      <c r="H14" s="573"/>
      <c r="I14" s="572"/>
      <c r="J14" s="572"/>
      <c r="K14" s="572"/>
      <c r="L14" s="572"/>
      <c r="M14" s="572"/>
    </row>
    <row r="15" spans="1:13" x14ac:dyDescent="0.2">
      <c r="A15" s="572"/>
      <c r="B15" s="573"/>
      <c r="C15" s="573"/>
      <c r="D15" s="573"/>
      <c r="E15" s="572"/>
      <c r="F15" s="573"/>
      <c r="G15" s="573"/>
      <c r="H15" s="573"/>
      <c r="I15" s="573"/>
      <c r="J15" s="572"/>
      <c r="K15" s="572"/>
      <c r="L15" s="572"/>
      <c r="M15" s="572"/>
    </row>
    <row r="16" spans="1:13" ht="34.5" x14ac:dyDescent="0.45">
      <c r="A16" s="572"/>
      <c r="B16" s="573"/>
      <c r="C16" s="573"/>
      <c r="D16" s="573"/>
      <c r="E16" s="577"/>
      <c r="F16" s="573"/>
      <c r="G16" s="573"/>
      <c r="H16" s="573"/>
      <c r="I16" s="573"/>
      <c r="J16" s="572"/>
      <c r="K16" s="572"/>
      <c r="L16" s="572"/>
      <c r="M16" s="572"/>
    </row>
    <row r="17" spans="1:13" ht="33" x14ac:dyDescent="0.45">
      <c r="A17" s="572"/>
      <c r="B17" s="573"/>
      <c r="C17" s="573"/>
      <c r="D17" s="573"/>
      <c r="E17" s="578"/>
      <c r="F17" s="573"/>
      <c r="G17" s="573"/>
      <c r="H17" s="573"/>
      <c r="I17" s="573"/>
      <c r="J17" s="572"/>
      <c r="K17" s="572"/>
      <c r="L17" s="572"/>
      <c r="M17" s="572"/>
    </row>
    <row r="18" spans="1:13" ht="33" x14ac:dyDescent="0.45">
      <c r="A18" s="572"/>
      <c r="B18" s="572"/>
      <c r="C18" s="572"/>
      <c r="D18" s="578"/>
      <c r="E18" s="572"/>
      <c r="F18" s="572"/>
      <c r="G18" s="572"/>
      <c r="H18" s="572"/>
      <c r="I18" s="572"/>
      <c r="J18" s="572"/>
      <c r="K18" s="572"/>
      <c r="L18" s="572"/>
      <c r="M18" s="572"/>
    </row>
    <row r="19" spans="1:13" ht="18.75" x14ac:dyDescent="0.3">
      <c r="A19" s="572"/>
      <c r="B19" s="572"/>
      <c r="C19" s="572"/>
      <c r="D19" s="572"/>
      <c r="E19" s="579"/>
      <c r="F19" s="572"/>
      <c r="G19" s="572"/>
      <c r="H19" s="572"/>
      <c r="I19" s="580"/>
      <c r="J19" s="572"/>
      <c r="K19" s="572"/>
      <c r="L19" s="572"/>
      <c r="M19" s="572"/>
    </row>
    <row r="20" spans="1:13" x14ac:dyDescent="0.2">
      <c r="A20" s="572"/>
      <c r="B20" s="572"/>
      <c r="C20" s="572"/>
      <c r="D20" s="572"/>
      <c r="E20" s="572"/>
      <c r="F20" s="572"/>
      <c r="G20" s="572"/>
      <c r="H20" s="572"/>
      <c r="I20" s="572"/>
      <c r="J20" s="572"/>
      <c r="K20" s="572"/>
      <c r="L20" s="572"/>
      <c r="M20" s="572"/>
    </row>
    <row r="21" spans="1:13" x14ac:dyDescent="0.2">
      <c r="A21" s="572"/>
      <c r="B21" s="572"/>
      <c r="C21" s="572"/>
      <c r="D21" s="572"/>
      <c r="E21" s="581"/>
      <c r="F21" s="572"/>
      <c r="G21" s="572"/>
      <c r="H21" s="572"/>
      <c r="I21" s="572"/>
      <c r="J21" s="572"/>
      <c r="K21" s="572"/>
      <c r="L21" s="572"/>
      <c r="M21" s="572"/>
    </row>
    <row r="22" spans="1:13" ht="26.25" x14ac:dyDescent="0.4">
      <c r="A22" s="572"/>
      <c r="B22" s="572"/>
      <c r="C22" s="572"/>
      <c r="D22" s="572"/>
      <c r="E22" s="582"/>
      <c r="F22" s="572"/>
      <c r="G22" s="572"/>
      <c r="H22" s="572"/>
      <c r="I22" s="572"/>
      <c r="J22" s="572"/>
      <c r="K22" s="572"/>
      <c r="L22" s="572"/>
      <c r="M22" s="572"/>
    </row>
    <row r="23" spans="1:13" x14ac:dyDescent="0.2">
      <c r="A23" s="572"/>
      <c r="B23" s="572"/>
      <c r="C23" s="572"/>
      <c r="D23" s="572"/>
      <c r="E23" s="572"/>
      <c r="F23" s="572"/>
      <c r="G23" s="572"/>
      <c r="H23" s="572"/>
      <c r="I23" s="572"/>
      <c r="J23" s="572"/>
      <c r="K23" s="572"/>
      <c r="L23" s="572"/>
      <c r="M23" s="572"/>
    </row>
    <row r="24" spans="1:13" x14ac:dyDescent="0.2">
      <c r="A24" s="572"/>
      <c r="B24" s="572"/>
      <c r="C24" s="572"/>
      <c r="D24" s="572"/>
      <c r="E24" s="572"/>
      <c r="F24" s="572"/>
      <c r="G24" s="572"/>
      <c r="H24" s="572"/>
      <c r="I24" s="572"/>
      <c r="J24" s="572"/>
      <c r="K24" s="572"/>
      <c r="L24" s="572"/>
      <c r="M24" s="572"/>
    </row>
    <row r="25" spans="1:13" ht="18.75" x14ac:dyDescent="0.3">
      <c r="A25" s="572"/>
      <c r="B25" s="572"/>
      <c r="C25" s="572"/>
      <c r="D25" s="572"/>
      <c r="E25" s="583"/>
      <c r="F25" s="572"/>
      <c r="G25" s="572"/>
      <c r="H25" s="572"/>
      <c r="I25" s="572"/>
      <c r="J25" s="572"/>
      <c r="K25" s="572"/>
      <c r="L25" s="572"/>
      <c r="M25" s="572"/>
    </row>
    <row r="26" spans="1:13" ht="18.75" x14ac:dyDescent="0.3">
      <c r="A26" s="572"/>
      <c r="B26" s="572"/>
      <c r="C26" s="572"/>
      <c r="D26" s="572"/>
      <c r="E26" s="584"/>
      <c r="F26" s="572"/>
      <c r="G26" s="572"/>
      <c r="H26" s="572"/>
      <c r="I26" s="572"/>
      <c r="J26" s="572"/>
      <c r="K26" s="572"/>
      <c r="L26" s="572"/>
      <c r="M26" s="572"/>
    </row>
    <row r="27" spans="1:13" x14ac:dyDescent="0.2">
      <c r="A27" s="572"/>
      <c r="B27" s="572"/>
      <c r="C27" s="572"/>
      <c r="D27" s="572"/>
      <c r="E27" s="572"/>
      <c r="F27" s="572"/>
      <c r="G27" s="572"/>
      <c r="H27" s="572"/>
      <c r="I27" s="572"/>
      <c r="J27" s="572"/>
      <c r="K27" s="572"/>
      <c r="L27" s="572"/>
      <c r="M27" s="572"/>
    </row>
    <row r="28" spans="1:13" x14ac:dyDescent="0.2">
      <c r="A28" s="572"/>
      <c r="B28" s="572"/>
      <c r="C28" s="572"/>
      <c r="D28" s="576"/>
      <c r="E28" s="576"/>
      <c r="F28" s="576"/>
      <c r="G28" s="576"/>
      <c r="H28" s="576"/>
      <c r="I28" s="572"/>
      <c r="J28" s="572"/>
      <c r="K28" s="572"/>
      <c r="L28" s="572"/>
      <c r="M28" s="572"/>
    </row>
    <row r="29" spans="1:13" x14ac:dyDescent="0.2">
      <c r="A29" s="572"/>
      <c r="B29" s="572"/>
      <c r="C29" s="572"/>
      <c r="D29" s="572"/>
      <c r="E29" s="572"/>
      <c r="F29" s="572"/>
      <c r="G29" s="572"/>
      <c r="H29" s="572"/>
      <c r="I29" s="572"/>
      <c r="J29" s="572"/>
      <c r="K29" s="572"/>
      <c r="L29" s="572"/>
      <c r="M29" s="572"/>
    </row>
    <row r="30" spans="1:13" x14ac:dyDescent="0.2">
      <c r="A30" s="572"/>
      <c r="B30" s="572"/>
      <c r="C30" s="572"/>
      <c r="D30" s="572"/>
      <c r="E30" s="572"/>
      <c r="F30" s="572"/>
      <c r="G30" s="572"/>
      <c r="H30" s="572"/>
      <c r="I30" s="572"/>
      <c r="J30" s="572"/>
      <c r="K30" s="572"/>
      <c r="L30" s="572"/>
      <c r="M30" s="572"/>
    </row>
    <row r="31" spans="1:13" x14ac:dyDescent="0.2">
      <c r="A31" s="572"/>
      <c r="B31" s="572"/>
      <c r="C31" s="572"/>
      <c r="D31" s="572"/>
      <c r="E31" s="572"/>
      <c r="F31" s="572"/>
      <c r="G31" s="572"/>
      <c r="H31" s="572"/>
      <c r="I31" s="572"/>
      <c r="J31" s="572"/>
      <c r="K31" s="572"/>
      <c r="L31" s="572"/>
      <c r="M31" s="572"/>
    </row>
    <row r="32" spans="1:13" x14ac:dyDescent="0.2">
      <c r="A32" s="572"/>
      <c r="B32" s="572"/>
      <c r="C32" s="572"/>
      <c r="D32" s="572"/>
      <c r="E32" s="572"/>
      <c r="F32" s="572"/>
      <c r="G32" s="572"/>
      <c r="H32" s="572"/>
      <c r="I32" s="572"/>
      <c r="J32" s="572"/>
      <c r="K32" s="572"/>
      <c r="L32" s="572"/>
      <c r="M32" s="572"/>
    </row>
    <row r="33" spans="1:13" ht="35.25" x14ac:dyDescent="0.2">
      <c r="A33" s="585"/>
      <c r="B33" s="572"/>
      <c r="C33" s="572"/>
      <c r="D33" s="572"/>
      <c r="E33" s="572"/>
      <c r="F33" s="572"/>
      <c r="G33" s="572"/>
      <c r="H33" s="572"/>
      <c r="I33" s="572"/>
      <c r="J33" s="572"/>
      <c r="K33" s="572"/>
      <c r="L33" s="572"/>
      <c r="M33" s="572"/>
    </row>
    <row r="34" spans="1:13" x14ac:dyDescent="0.2">
      <c r="A34" s="572"/>
      <c r="B34" s="572"/>
      <c r="C34" s="572"/>
      <c r="D34" s="572"/>
      <c r="E34" s="572"/>
      <c r="F34" s="572"/>
      <c r="G34" s="572"/>
      <c r="H34" s="572"/>
      <c r="I34" s="572"/>
      <c r="J34" s="572"/>
      <c r="K34" s="572"/>
      <c r="L34" s="572"/>
      <c r="M34" s="572"/>
    </row>
    <row r="35" spans="1:13" x14ac:dyDescent="0.2">
      <c r="A35" s="572"/>
      <c r="B35" s="572"/>
      <c r="C35" s="572"/>
      <c r="D35" s="572"/>
      <c r="E35" s="572"/>
      <c r="F35" s="572"/>
      <c r="G35" s="572"/>
      <c r="H35" s="572"/>
      <c r="I35" s="572"/>
      <c r="J35" s="572"/>
      <c r="K35" s="572"/>
      <c r="L35" s="572"/>
      <c r="M35" s="572"/>
    </row>
    <row r="36" spans="1:13" ht="33" x14ac:dyDescent="0.2">
      <c r="A36" s="572"/>
      <c r="B36" s="586"/>
      <c r="C36" s="572"/>
      <c r="D36" s="572"/>
      <c r="E36" s="572"/>
      <c r="F36" s="572"/>
      <c r="G36" s="572"/>
      <c r="H36" s="572"/>
      <c r="I36" s="572"/>
      <c r="J36" s="572"/>
      <c r="K36" s="572"/>
      <c r="L36" s="572"/>
      <c r="M36" s="572"/>
    </row>
    <row r="37" spans="1:13" x14ac:dyDescent="0.2">
      <c r="A37" s="572"/>
      <c r="B37" s="572"/>
      <c r="C37" s="572"/>
      <c r="D37" s="572"/>
      <c r="E37" s="572"/>
      <c r="F37" s="572"/>
      <c r="G37" s="572"/>
      <c r="H37" s="572"/>
      <c r="I37" s="572"/>
      <c r="J37" s="572"/>
      <c r="K37" s="572"/>
      <c r="L37" s="572"/>
      <c r="M37" s="572"/>
    </row>
    <row r="38" spans="1:13" x14ac:dyDescent="0.2">
      <c r="A38" s="572"/>
      <c r="B38" s="572"/>
      <c r="C38" s="572"/>
      <c r="D38" s="572"/>
      <c r="E38" s="572"/>
      <c r="F38" s="572"/>
      <c r="G38" s="572"/>
      <c r="H38" s="572"/>
      <c r="I38" s="572"/>
      <c r="J38" s="572"/>
      <c r="K38" s="572"/>
      <c r="L38" s="572"/>
      <c r="M38" s="57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N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365</v>
      </c>
      <c r="D1" s="26"/>
      <c r="E1" s="26"/>
      <c r="F1" s="26"/>
      <c r="G1" s="26"/>
      <c r="H1" s="26"/>
      <c r="I1" s="26"/>
      <c r="J1" s="26"/>
      <c r="K1" s="26"/>
      <c r="L1" s="26"/>
      <c r="M1" s="26"/>
    </row>
    <row r="2" spans="1:14" ht="15.75" x14ac:dyDescent="0.25">
      <c r="A2" s="149" t="s">
        <v>28</v>
      </c>
      <c r="B2" s="707"/>
      <c r="C2" s="707"/>
      <c r="D2" s="707"/>
      <c r="E2" s="514"/>
      <c r="F2" s="707"/>
      <c r="G2" s="707"/>
      <c r="H2" s="707"/>
      <c r="I2" s="514"/>
      <c r="J2" s="707"/>
      <c r="K2" s="707"/>
      <c r="L2" s="707"/>
      <c r="M2" s="514"/>
    </row>
    <row r="3" spans="1:14" ht="15.75" x14ac:dyDescent="0.25">
      <c r="A3" s="147"/>
      <c r="B3" s="514"/>
      <c r="C3" s="514"/>
      <c r="D3" s="514"/>
      <c r="E3" s="514"/>
      <c r="F3" s="514"/>
      <c r="G3" s="514"/>
      <c r="H3" s="514"/>
      <c r="I3" s="514"/>
      <c r="J3" s="514"/>
      <c r="K3" s="514"/>
      <c r="L3" s="514"/>
      <c r="M3" s="514"/>
    </row>
    <row r="4" spans="1:14" x14ac:dyDescent="0.2">
      <c r="A4" s="128"/>
      <c r="B4" s="705" t="s">
        <v>0</v>
      </c>
      <c r="C4" s="706"/>
      <c r="D4" s="706"/>
      <c r="E4" s="512"/>
      <c r="F4" s="705" t="s">
        <v>1</v>
      </c>
      <c r="G4" s="706"/>
      <c r="H4" s="706"/>
      <c r="I4" s="513"/>
      <c r="J4" s="705" t="s">
        <v>2</v>
      </c>
      <c r="K4" s="706"/>
      <c r="L4" s="706"/>
      <c r="M4" s="513"/>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4"/>
      <c r="M7" s="11"/>
    </row>
    <row r="8" spans="1:14" ht="15.75" x14ac:dyDescent="0.2">
      <c r="A8" s="21" t="s">
        <v>25</v>
      </c>
      <c r="B8" s="266"/>
      <c r="C8" s="267"/>
      <c r="D8" s="150"/>
      <c r="E8" s="27"/>
      <c r="F8" s="270"/>
      <c r="G8" s="271"/>
      <c r="H8" s="150"/>
      <c r="I8" s="160"/>
      <c r="J8" s="217"/>
      <c r="K8" s="272"/>
      <c r="L8" s="150"/>
      <c r="M8" s="27"/>
    </row>
    <row r="9" spans="1:14" ht="15.75" x14ac:dyDescent="0.2">
      <c r="A9" s="21" t="s">
        <v>24</v>
      </c>
      <c r="B9" s="266"/>
      <c r="C9" s="267"/>
      <c r="D9" s="150"/>
      <c r="E9" s="27"/>
      <c r="F9" s="270"/>
      <c r="G9" s="271"/>
      <c r="H9" s="150"/>
      <c r="I9" s="160"/>
      <c r="J9" s="217"/>
      <c r="K9" s="272"/>
      <c r="L9" s="150"/>
      <c r="M9" s="27"/>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514"/>
      <c r="F18" s="704"/>
      <c r="G18" s="704"/>
      <c r="H18" s="704"/>
      <c r="I18" s="514"/>
      <c r="J18" s="704"/>
      <c r="K18" s="704"/>
      <c r="L18" s="704"/>
      <c r="M18" s="514"/>
    </row>
    <row r="19" spans="1:14" x14ac:dyDescent="0.2">
      <c r="A19" s="128"/>
      <c r="B19" s="705" t="s">
        <v>0</v>
      </c>
      <c r="C19" s="706"/>
      <c r="D19" s="706"/>
      <c r="E19" s="512"/>
      <c r="F19" s="705" t="s">
        <v>1</v>
      </c>
      <c r="G19" s="706"/>
      <c r="H19" s="706"/>
      <c r="I19" s="513"/>
      <c r="J19" s="705" t="s">
        <v>2</v>
      </c>
      <c r="K19" s="706"/>
      <c r="L19" s="706"/>
      <c r="M19" s="513"/>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393"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44"/>
      <c r="J22" s="301"/>
      <c r="K22" s="301"/>
      <c r="L22" s="404"/>
      <c r="M22" s="24"/>
    </row>
    <row r="23" spans="1:14" ht="15.75" x14ac:dyDescent="0.2">
      <c r="A23" s="454" t="s">
        <v>324</v>
      </c>
      <c r="B23" s="266"/>
      <c r="C23" s="266"/>
      <c r="D23" s="150"/>
      <c r="E23" s="11"/>
      <c r="F23" s="275"/>
      <c r="G23" s="275"/>
      <c r="H23" s="150"/>
      <c r="I23" s="223"/>
      <c r="J23" s="275"/>
      <c r="K23" s="275"/>
      <c r="L23" s="150"/>
      <c r="M23" s="23"/>
    </row>
    <row r="24" spans="1:14" ht="15.75" x14ac:dyDescent="0.2">
      <c r="A24" s="454" t="s">
        <v>325</v>
      </c>
      <c r="B24" s="266"/>
      <c r="C24" s="266"/>
      <c r="D24" s="150"/>
      <c r="E24" s="11"/>
      <c r="F24" s="275"/>
      <c r="G24" s="275"/>
      <c r="H24" s="150"/>
      <c r="I24" s="223"/>
      <c r="J24" s="275"/>
      <c r="K24" s="275"/>
      <c r="L24" s="150"/>
      <c r="M24" s="23"/>
    </row>
    <row r="25" spans="1:14" ht="15.75" x14ac:dyDescent="0.2">
      <c r="A25" s="454" t="s">
        <v>326</v>
      </c>
      <c r="B25" s="266"/>
      <c r="C25" s="266"/>
      <c r="D25" s="150"/>
      <c r="E25" s="11"/>
      <c r="F25" s="275"/>
      <c r="G25" s="275"/>
      <c r="H25" s="150"/>
      <c r="I25" s="223"/>
      <c r="J25" s="275"/>
      <c r="K25" s="275"/>
      <c r="L25" s="150"/>
      <c r="M25" s="23"/>
    </row>
    <row r="26" spans="1:14" ht="15.75" x14ac:dyDescent="0.2">
      <c r="A26" s="454" t="s">
        <v>327</v>
      </c>
      <c r="B26" s="266"/>
      <c r="C26" s="266"/>
      <c r="D26" s="150"/>
      <c r="E26" s="11"/>
      <c r="F26" s="275"/>
      <c r="G26" s="275"/>
      <c r="H26" s="150"/>
      <c r="I26" s="223"/>
      <c r="J26" s="275"/>
      <c r="K26" s="275"/>
      <c r="L26" s="150"/>
      <c r="M26" s="23"/>
    </row>
    <row r="27" spans="1:14" x14ac:dyDescent="0.2">
      <c r="A27" s="454" t="s">
        <v>11</v>
      </c>
      <c r="B27" s="266"/>
      <c r="C27" s="266"/>
      <c r="D27" s="150"/>
      <c r="E27" s="11"/>
      <c r="F27" s="275"/>
      <c r="G27" s="275"/>
      <c r="H27" s="150"/>
      <c r="I27" s="223"/>
      <c r="J27" s="275"/>
      <c r="K27" s="275"/>
      <c r="L27" s="150"/>
      <c r="M27" s="23"/>
    </row>
    <row r="28" spans="1:14" ht="15.75" x14ac:dyDescent="0.2">
      <c r="A28" s="49" t="s">
        <v>246</v>
      </c>
      <c r="B28" s="44"/>
      <c r="C28" s="272"/>
      <c r="D28" s="150"/>
      <c r="E28" s="11"/>
      <c r="F28" s="217"/>
      <c r="G28" s="272"/>
      <c r="H28" s="150"/>
      <c r="I28" s="160"/>
      <c r="J28" s="44"/>
      <c r="K28" s="44"/>
      <c r="L28" s="242"/>
      <c r="M28" s="23"/>
    </row>
    <row r="29" spans="1:14" s="3" customFormat="1" ht="15.75" x14ac:dyDescent="0.2">
      <c r="A29" s="13" t="s">
        <v>321</v>
      </c>
      <c r="B29" s="219"/>
      <c r="C29" s="219"/>
      <c r="D29" s="155"/>
      <c r="E29" s="11"/>
      <c r="F29" s="293"/>
      <c r="G29" s="293"/>
      <c r="H29" s="155"/>
      <c r="I29" s="144"/>
      <c r="J29" s="219"/>
      <c r="K29" s="219"/>
      <c r="L29" s="405"/>
      <c r="M29" s="24"/>
      <c r="N29" s="132"/>
    </row>
    <row r="30" spans="1:14" s="3" customFormat="1" ht="15.75" x14ac:dyDescent="0.2">
      <c r="A30" s="454" t="s">
        <v>324</v>
      </c>
      <c r="B30" s="266"/>
      <c r="C30" s="266"/>
      <c r="D30" s="150"/>
      <c r="E30" s="11"/>
      <c r="F30" s="275"/>
      <c r="G30" s="275"/>
      <c r="H30" s="150"/>
      <c r="I30" s="223"/>
      <c r="J30" s="275"/>
      <c r="K30" s="275"/>
      <c r="L30" s="150"/>
      <c r="M30" s="23"/>
      <c r="N30" s="132"/>
    </row>
    <row r="31" spans="1:14" s="3" customFormat="1" ht="15.75" x14ac:dyDescent="0.2">
      <c r="A31" s="454" t="s">
        <v>325</v>
      </c>
      <c r="B31" s="266"/>
      <c r="C31" s="266"/>
      <c r="D31" s="150"/>
      <c r="E31" s="11"/>
      <c r="F31" s="275"/>
      <c r="G31" s="275"/>
      <c r="H31" s="150"/>
      <c r="I31" s="223"/>
      <c r="J31" s="275"/>
      <c r="K31" s="275"/>
      <c r="L31" s="150"/>
      <c r="M31" s="23"/>
      <c r="N31" s="132"/>
    </row>
    <row r="32" spans="1:14" ht="15.75" x14ac:dyDescent="0.2">
      <c r="A32" s="454" t="s">
        <v>326</v>
      </c>
      <c r="B32" s="266"/>
      <c r="C32" s="266"/>
      <c r="D32" s="150"/>
      <c r="E32" s="11"/>
      <c r="F32" s="275"/>
      <c r="G32" s="275"/>
      <c r="H32" s="150"/>
      <c r="I32" s="223"/>
      <c r="J32" s="275"/>
      <c r="K32" s="275"/>
      <c r="L32" s="150"/>
      <c r="M32" s="23"/>
    </row>
    <row r="33" spans="1:14" ht="15.75" x14ac:dyDescent="0.2">
      <c r="A33" s="454" t="s">
        <v>327</v>
      </c>
      <c r="B33" s="266"/>
      <c r="C33" s="266"/>
      <c r="D33" s="150"/>
      <c r="E33" s="11"/>
      <c r="F33" s="275"/>
      <c r="G33" s="275"/>
      <c r="H33" s="150"/>
      <c r="I33" s="223"/>
      <c r="J33" s="275"/>
      <c r="K33" s="275"/>
      <c r="L33" s="150"/>
      <c r="M33" s="23"/>
    </row>
    <row r="34" spans="1:14" ht="15.75" x14ac:dyDescent="0.2">
      <c r="A34" s="13" t="s">
        <v>322</v>
      </c>
      <c r="B34" s="219"/>
      <c r="C34" s="294"/>
      <c r="D34" s="155"/>
      <c r="E34" s="11"/>
      <c r="F34" s="293"/>
      <c r="G34" s="294"/>
      <c r="H34" s="155"/>
      <c r="I34" s="144"/>
      <c r="J34" s="219"/>
      <c r="K34" s="219"/>
      <c r="L34" s="405"/>
      <c r="M34" s="24"/>
    </row>
    <row r="35" spans="1:14" ht="15.75" x14ac:dyDescent="0.2">
      <c r="A35" s="13" t="s">
        <v>323</v>
      </c>
      <c r="B35" s="219"/>
      <c r="C35" s="294"/>
      <c r="D35" s="155"/>
      <c r="E35" s="11"/>
      <c r="F35" s="293"/>
      <c r="G35" s="294"/>
      <c r="H35" s="155"/>
      <c r="I35" s="144"/>
      <c r="J35" s="219"/>
      <c r="K35" s="219"/>
      <c r="L35" s="405"/>
      <c r="M35" s="24"/>
    </row>
    <row r="36" spans="1:14" ht="15.75" x14ac:dyDescent="0.2">
      <c r="A36" s="12" t="s">
        <v>253</v>
      </c>
      <c r="B36" s="219"/>
      <c r="C36" s="294"/>
      <c r="D36" s="155"/>
      <c r="E36" s="11"/>
      <c r="F36" s="304"/>
      <c r="G36" s="305"/>
      <c r="H36" s="155"/>
      <c r="I36" s="407"/>
      <c r="J36" s="219"/>
      <c r="K36" s="219"/>
      <c r="L36" s="405"/>
      <c r="M36" s="24"/>
    </row>
    <row r="37" spans="1:14" ht="15.75" x14ac:dyDescent="0.2">
      <c r="A37" s="12" t="s">
        <v>329</v>
      </c>
      <c r="B37" s="219"/>
      <c r="C37" s="294"/>
      <c r="D37" s="155"/>
      <c r="E37" s="11"/>
      <c r="F37" s="304"/>
      <c r="G37" s="306"/>
      <c r="H37" s="155"/>
      <c r="I37" s="407"/>
      <c r="J37" s="219"/>
      <c r="K37" s="219"/>
      <c r="L37" s="405"/>
      <c r="M37" s="24"/>
    </row>
    <row r="38" spans="1:14" ht="15.75" x14ac:dyDescent="0.2">
      <c r="A38" s="12" t="s">
        <v>330</v>
      </c>
      <c r="B38" s="219"/>
      <c r="C38" s="294"/>
      <c r="D38" s="155"/>
      <c r="E38" s="24"/>
      <c r="F38" s="304"/>
      <c r="G38" s="305"/>
      <c r="H38" s="155"/>
      <c r="I38" s="407"/>
      <c r="J38" s="219"/>
      <c r="K38" s="219"/>
      <c r="L38" s="405"/>
      <c r="M38" s="24"/>
    </row>
    <row r="39" spans="1:14" ht="15.75" x14ac:dyDescent="0.2">
      <c r="A39" s="18" t="s">
        <v>331</v>
      </c>
      <c r="B39" s="261"/>
      <c r="C39" s="300"/>
      <c r="D39" s="153"/>
      <c r="E39" s="36"/>
      <c r="F39" s="307"/>
      <c r="G39" s="308"/>
      <c r="H39" s="153"/>
      <c r="I39" s="153"/>
      <c r="J39" s="219"/>
      <c r="K39" s="219"/>
      <c r="L39" s="406"/>
      <c r="M39" s="36"/>
    </row>
    <row r="40" spans="1:14" ht="15.75" x14ac:dyDescent="0.25">
      <c r="A40" s="47"/>
      <c r="B40" s="241"/>
      <c r="C40" s="241"/>
      <c r="D40" s="708"/>
      <c r="E40" s="708"/>
      <c r="F40" s="708"/>
      <c r="G40" s="708"/>
      <c r="H40" s="708"/>
      <c r="I40" s="708"/>
      <c r="J40" s="708"/>
      <c r="K40" s="708"/>
      <c r="L40" s="708"/>
      <c r="M40" s="515"/>
    </row>
    <row r="41" spans="1:14" x14ac:dyDescent="0.2">
      <c r="A41" s="139"/>
    </row>
    <row r="42" spans="1:14" ht="15.75" x14ac:dyDescent="0.25">
      <c r="A42" s="131" t="s">
        <v>243</v>
      </c>
      <c r="B42" s="707"/>
      <c r="C42" s="707"/>
      <c r="D42" s="707"/>
      <c r="E42" s="514"/>
      <c r="F42" s="709"/>
      <c r="G42" s="709"/>
      <c r="H42" s="709"/>
      <c r="I42" s="515"/>
      <c r="J42" s="709"/>
      <c r="K42" s="709"/>
      <c r="L42" s="709"/>
      <c r="M42" s="515"/>
    </row>
    <row r="43" spans="1:14" ht="15.75" x14ac:dyDescent="0.25">
      <c r="A43" s="147"/>
      <c r="B43" s="510"/>
      <c r="C43" s="510"/>
      <c r="D43" s="510"/>
      <c r="E43" s="510"/>
      <c r="F43" s="515"/>
      <c r="G43" s="515"/>
      <c r="H43" s="515"/>
      <c r="I43" s="515"/>
      <c r="J43" s="515"/>
      <c r="K43" s="515"/>
      <c r="L43" s="515"/>
      <c r="M43" s="515"/>
    </row>
    <row r="44" spans="1:14" ht="15.75" x14ac:dyDescent="0.25">
      <c r="A44" s="232"/>
      <c r="B44" s="705" t="s">
        <v>0</v>
      </c>
      <c r="C44" s="706"/>
      <c r="D44" s="706"/>
      <c r="E44" s="227"/>
      <c r="F44" s="515"/>
      <c r="G44" s="515"/>
      <c r="H44" s="515"/>
      <c r="I44" s="515"/>
      <c r="J44" s="515"/>
      <c r="K44" s="515"/>
      <c r="L44" s="515"/>
      <c r="M44" s="515"/>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36616</v>
      </c>
      <c r="C47" s="296">
        <v>51311</v>
      </c>
      <c r="D47" s="404">
        <f t="shared" ref="D47:D55" si="0">IF(B47=0, "    ---- ", IF(ABS(ROUND(100/B47*C47-100,1))&lt;999,ROUND(100/B47*C47-100,1),IF(ROUND(100/B47*C47-100,1)&gt;999,999,-999)))</f>
        <v>40.1</v>
      </c>
      <c r="E47" s="11">
        <f>IFERROR(100/'Skjema total MA'!C47*C47,0)</f>
        <v>1.2458879443962338</v>
      </c>
      <c r="F47" s="129"/>
      <c r="G47" s="33"/>
      <c r="H47" s="143"/>
      <c r="I47" s="143"/>
      <c r="J47" s="37"/>
      <c r="K47" s="37"/>
      <c r="L47" s="143"/>
      <c r="M47" s="143"/>
      <c r="N47" s="132"/>
    </row>
    <row r="48" spans="1:14" s="3" customFormat="1" ht="15.75" x14ac:dyDescent="0.2">
      <c r="A48" s="38" t="s">
        <v>332</v>
      </c>
      <c r="B48" s="266">
        <v>35670</v>
      </c>
      <c r="C48" s="267">
        <v>50322</v>
      </c>
      <c r="D48" s="242">
        <f t="shared" si="0"/>
        <v>41.1</v>
      </c>
      <c r="E48" s="27">
        <f>IFERROR(100/'Skjema total MA'!C48*C48,0)</f>
        <v>2.2866680789146661</v>
      </c>
      <c r="F48" s="129"/>
      <c r="G48" s="33"/>
      <c r="H48" s="129"/>
      <c r="I48" s="129"/>
      <c r="J48" s="33"/>
      <c r="K48" s="33"/>
      <c r="L48" s="143"/>
      <c r="M48" s="143"/>
      <c r="N48" s="132"/>
    </row>
    <row r="49" spans="1:14" s="3" customFormat="1" ht="15.75" x14ac:dyDescent="0.2">
      <c r="A49" s="38" t="s">
        <v>333</v>
      </c>
      <c r="B49" s="44">
        <v>946</v>
      </c>
      <c r="C49" s="272">
        <v>989</v>
      </c>
      <c r="D49" s="242">
        <f>IF(B49=0, "    ---- ", IF(ABS(ROUND(100/B49*C49-100,1))&lt;999,ROUND(100/B49*C49-100,1),IF(ROUND(100/B49*C49-100,1)&gt;999,999,-999)))</f>
        <v>4.5</v>
      </c>
      <c r="E49" s="27">
        <f>IFERROR(100/'Skjema total MA'!C49*C49,0)</f>
        <v>5.1570610052204258E-2</v>
      </c>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v>36616</v>
      </c>
      <c r="C53" s="296">
        <v>51311</v>
      </c>
      <c r="D53" s="405">
        <f t="shared" si="0"/>
        <v>40.1</v>
      </c>
      <c r="E53" s="11">
        <f>IFERROR(100/'Skjema total MA'!C53*C53,0)</f>
        <v>50.251950692074182</v>
      </c>
      <c r="F53" s="129"/>
      <c r="G53" s="33"/>
      <c r="H53" s="129"/>
      <c r="I53" s="129"/>
      <c r="J53" s="33"/>
      <c r="K53" s="33"/>
      <c r="L53" s="143"/>
      <c r="M53" s="143"/>
      <c r="N53" s="132"/>
    </row>
    <row r="54" spans="1:14" s="3" customFormat="1" ht="15.75" x14ac:dyDescent="0.2">
      <c r="A54" s="38" t="s">
        <v>332</v>
      </c>
      <c r="B54" s="266">
        <v>35670</v>
      </c>
      <c r="C54" s="267">
        <v>50322</v>
      </c>
      <c r="D54" s="242">
        <f t="shared" si="0"/>
        <v>41.1</v>
      </c>
      <c r="E54" s="27">
        <f>IFERROR(100/'Skjema total MA'!C54*C54,0)</f>
        <v>49.765384623714525</v>
      </c>
      <c r="F54" s="129"/>
      <c r="G54" s="33"/>
      <c r="H54" s="129"/>
      <c r="I54" s="129"/>
      <c r="J54" s="33"/>
      <c r="K54" s="33"/>
      <c r="L54" s="143"/>
      <c r="M54" s="143"/>
      <c r="N54" s="132"/>
    </row>
    <row r="55" spans="1:14" s="3" customFormat="1" ht="15.75" x14ac:dyDescent="0.2">
      <c r="A55" s="38" t="s">
        <v>333</v>
      </c>
      <c r="B55" s="266">
        <v>946</v>
      </c>
      <c r="C55" s="267">
        <v>989</v>
      </c>
      <c r="D55" s="242">
        <f t="shared" si="0"/>
        <v>4.5</v>
      </c>
      <c r="E55" s="27">
        <f>IFERROR(100/'Skjema total MA'!C55*C55,0)</f>
        <v>100</v>
      </c>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514"/>
      <c r="F62" s="704"/>
      <c r="G62" s="704"/>
      <c r="H62" s="704"/>
      <c r="I62" s="514"/>
      <c r="J62" s="704"/>
      <c r="K62" s="704"/>
      <c r="L62" s="704"/>
      <c r="M62" s="514"/>
    </row>
    <row r="63" spans="1:14" x14ac:dyDescent="0.2">
      <c r="A63" s="128"/>
      <c r="B63" s="705" t="s">
        <v>0</v>
      </c>
      <c r="C63" s="706"/>
      <c r="D63" s="710"/>
      <c r="E63" s="511"/>
      <c r="F63" s="706" t="s">
        <v>1</v>
      </c>
      <c r="G63" s="706"/>
      <c r="H63" s="706"/>
      <c r="I63" s="513"/>
      <c r="J63" s="705" t="s">
        <v>2</v>
      </c>
      <c r="K63" s="706"/>
      <c r="L63" s="706"/>
      <c r="M63" s="513"/>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21"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514"/>
      <c r="F130" s="704"/>
      <c r="G130" s="704"/>
      <c r="H130" s="704"/>
      <c r="I130" s="514"/>
      <c r="J130" s="704"/>
      <c r="K130" s="704"/>
      <c r="L130" s="704"/>
      <c r="M130" s="514"/>
    </row>
    <row r="131" spans="1:14" s="3" customFormat="1" x14ac:dyDescent="0.2">
      <c r="A131" s="128"/>
      <c r="B131" s="705" t="s">
        <v>0</v>
      </c>
      <c r="C131" s="706"/>
      <c r="D131" s="706"/>
      <c r="E131" s="512"/>
      <c r="F131" s="705" t="s">
        <v>1</v>
      </c>
      <c r="G131" s="706"/>
      <c r="H131" s="706"/>
      <c r="I131" s="513"/>
      <c r="J131" s="705" t="s">
        <v>2</v>
      </c>
      <c r="K131" s="706"/>
      <c r="L131" s="706"/>
      <c r="M131" s="513"/>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1389" priority="59">
      <formula>kvartal &lt; 4</formula>
    </cfRule>
  </conditionalFormatting>
  <conditionalFormatting sqref="B69">
    <cfRule type="expression" dxfId="1388" priority="58">
      <formula>kvartal &lt; 4</formula>
    </cfRule>
  </conditionalFormatting>
  <conditionalFormatting sqref="C69">
    <cfRule type="expression" dxfId="1387" priority="57">
      <formula>kvartal &lt; 4</formula>
    </cfRule>
  </conditionalFormatting>
  <conditionalFormatting sqref="B72">
    <cfRule type="expression" dxfId="1386" priority="56">
      <formula>kvartal &lt; 4</formula>
    </cfRule>
  </conditionalFormatting>
  <conditionalFormatting sqref="C72">
    <cfRule type="expression" dxfId="1385" priority="55">
      <formula>kvartal &lt; 4</formula>
    </cfRule>
  </conditionalFormatting>
  <conditionalFormatting sqref="B80">
    <cfRule type="expression" dxfId="1384" priority="54">
      <formula>kvartal &lt; 4</formula>
    </cfRule>
  </conditionalFormatting>
  <conditionalFormatting sqref="C80">
    <cfRule type="expression" dxfId="1383" priority="53">
      <formula>kvartal &lt; 4</formula>
    </cfRule>
  </conditionalFormatting>
  <conditionalFormatting sqref="B83">
    <cfRule type="expression" dxfId="1382" priority="52">
      <formula>kvartal &lt; 4</formula>
    </cfRule>
  </conditionalFormatting>
  <conditionalFormatting sqref="C83">
    <cfRule type="expression" dxfId="1381" priority="51">
      <formula>kvartal &lt; 4</formula>
    </cfRule>
  </conditionalFormatting>
  <conditionalFormatting sqref="B90">
    <cfRule type="expression" dxfId="1380" priority="50">
      <formula>kvartal &lt; 4</formula>
    </cfRule>
  </conditionalFormatting>
  <conditionalFormatting sqref="C90">
    <cfRule type="expression" dxfId="1379" priority="49">
      <formula>kvartal &lt; 4</formula>
    </cfRule>
  </conditionalFormatting>
  <conditionalFormatting sqref="B93">
    <cfRule type="expression" dxfId="1378" priority="48">
      <formula>kvartal &lt; 4</formula>
    </cfRule>
  </conditionalFormatting>
  <conditionalFormatting sqref="C93">
    <cfRule type="expression" dxfId="1377" priority="47">
      <formula>kvartal &lt; 4</formula>
    </cfRule>
  </conditionalFormatting>
  <conditionalFormatting sqref="B101">
    <cfRule type="expression" dxfId="1376" priority="46">
      <formula>kvartal &lt; 4</formula>
    </cfRule>
  </conditionalFormatting>
  <conditionalFormatting sqref="C101">
    <cfRule type="expression" dxfId="1375" priority="45">
      <formula>kvartal &lt; 4</formula>
    </cfRule>
  </conditionalFormatting>
  <conditionalFormatting sqref="B104">
    <cfRule type="expression" dxfId="1374" priority="44">
      <formula>kvartal &lt; 4</formula>
    </cfRule>
  </conditionalFormatting>
  <conditionalFormatting sqref="C104">
    <cfRule type="expression" dxfId="1373" priority="43">
      <formula>kvartal &lt; 4</formula>
    </cfRule>
  </conditionalFormatting>
  <conditionalFormatting sqref="B115">
    <cfRule type="expression" dxfId="1372" priority="42">
      <formula>kvartal &lt; 4</formula>
    </cfRule>
  </conditionalFormatting>
  <conditionalFormatting sqref="C115">
    <cfRule type="expression" dxfId="1371" priority="41">
      <formula>kvartal &lt; 4</formula>
    </cfRule>
  </conditionalFormatting>
  <conditionalFormatting sqref="B123">
    <cfRule type="expression" dxfId="1370" priority="40">
      <formula>kvartal &lt; 4</formula>
    </cfRule>
  </conditionalFormatting>
  <conditionalFormatting sqref="C123">
    <cfRule type="expression" dxfId="1369" priority="39">
      <formula>kvartal &lt; 4</formula>
    </cfRule>
  </conditionalFormatting>
  <conditionalFormatting sqref="F70">
    <cfRule type="expression" dxfId="1368" priority="38">
      <formula>kvartal &lt; 4</formula>
    </cfRule>
  </conditionalFormatting>
  <conditionalFormatting sqref="G70">
    <cfRule type="expression" dxfId="1367" priority="37">
      <formula>kvartal &lt; 4</formula>
    </cfRule>
  </conditionalFormatting>
  <conditionalFormatting sqref="F71:G71">
    <cfRule type="expression" dxfId="1366" priority="36">
      <formula>kvartal &lt; 4</formula>
    </cfRule>
  </conditionalFormatting>
  <conditionalFormatting sqref="F73:G74">
    <cfRule type="expression" dxfId="1365" priority="35">
      <formula>kvartal &lt; 4</formula>
    </cfRule>
  </conditionalFormatting>
  <conditionalFormatting sqref="F81:G82">
    <cfRule type="expression" dxfId="1364" priority="34">
      <formula>kvartal &lt; 4</formula>
    </cfRule>
  </conditionalFormatting>
  <conditionalFormatting sqref="F84:G85">
    <cfRule type="expression" dxfId="1363" priority="33">
      <formula>kvartal &lt; 4</formula>
    </cfRule>
  </conditionalFormatting>
  <conditionalFormatting sqref="F91:G92">
    <cfRule type="expression" dxfId="1362" priority="32">
      <formula>kvartal &lt; 4</formula>
    </cfRule>
  </conditionalFormatting>
  <conditionalFormatting sqref="F94:G95">
    <cfRule type="expression" dxfId="1361" priority="31">
      <formula>kvartal &lt; 4</formula>
    </cfRule>
  </conditionalFormatting>
  <conditionalFormatting sqref="F102:G103">
    <cfRule type="expression" dxfId="1360" priority="30">
      <formula>kvartal &lt; 4</formula>
    </cfRule>
  </conditionalFormatting>
  <conditionalFormatting sqref="F105:G106">
    <cfRule type="expression" dxfId="1359" priority="29">
      <formula>kvartal &lt; 4</formula>
    </cfRule>
  </conditionalFormatting>
  <conditionalFormatting sqref="F115">
    <cfRule type="expression" dxfId="1358" priority="28">
      <formula>kvartal &lt; 4</formula>
    </cfRule>
  </conditionalFormatting>
  <conditionalFormatting sqref="G115">
    <cfRule type="expression" dxfId="1357" priority="27">
      <formula>kvartal &lt; 4</formula>
    </cfRule>
  </conditionalFormatting>
  <conditionalFormatting sqref="F123:G123">
    <cfRule type="expression" dxfId="1356" priority="26">
      <formula>kvartal &lt; 4</formula>
    </cfRule>
  </conditionalFormatting>
  <conditionalFormatting sqref="F69:G69">
    <cfRule type="expression" dxfId="1355" priority="25">
      <formula>kvartal &lt; 4</formula>
    </cfRule>
  </conditionalFormatting>
  <conditionalFormatting sqref="F72:G72">
    <cfRule type="expression" dxfId="1354" priority="24">
      <formula>kvartal &lt; 4</formula>
    </cfRule>
  </conditionalFormatting>
  <conditionalFormatting sqref="F80:G80">
    <cfRule type="expression" dxfId="1353" priority="23">
      <formula>kvartal &lt; 4</formula>
    </cfRule>
  </conditionalFormatting>
  <conditionalFormatting sqref="F83:G83">
    <cfRule type="expression" dxfId="1352" priority="22">
      <formula>kvartal &lt; 4</formula>
    </cfRule>
  </conditionalFormatting>
  <conditionalFormatting sqref="F90:G90">
    <cfRule type="expression" dxfId="1351" priority="21">
      <formula>kvartal &lt; 4</formula>
    </cfRule>
  </conditionalFormatting>
  <conditionalFormatting sqref="F93">
    <cfRule type="expression" dxfId="1350" priority="20">
      <formula>kvartal &lt; 4</formula>
    </cfRule>
  </conditionalFormatting>
  <conditionalFormatting sqref="G93">
    <cfRule type="expression" dxfId="1349" priority="19">
      <formula>kvartal &lt; 4</formula>
    </cfRule>
  </conditionalFormatting>
  <conditionalFormatting sqref="F101">
    <cfRule type="expression" dxfId="1348" priority="18">
      <formula>kvartal &lt; 4</formula>
    </cfRule>
  </conditionalFormatting>
  <conditionalFormatting sqref="G101">
    <cfRule type="expression" dxfId="1347" priority="17">
      <formula>kvartal &lt; 4</formula>
    </cfRule>
  </conditionalFormatting>
  <conditionalFormatting sqref="G104">
    <cfRule type="expression" dxfId="1346" priority="16">
      <formula>kvartal &lt; 4</formula>
    </cfRule>
  </conditionalFormatting>
  <conditionalFormatting sqref="F104">
    <cfRule type="expression" dxfId="1345" priority="15">
      <formula>kvartal &lt; 4</formula>
    </cfRule>
  </conditionalFormatting>
  <conditionalFormatting sqref="J69:K73">
    <cfRule type="expression" dxfId="1344" priority="14">
      <formula>kvartal &lt; 4</formula>
    </cfRule>
  </conditionalFormatting>
  <conditionalFormatting sqref="J74:K74">
    <cfRule type="expression" dxfId="1343" priority="13">
      <formula>kvartal &lt; 4</formula>
    </cfRule>
  </conditionalFormatting>
  <conditionalFormatting sqref="J80:K85">
    <cfRule type="expression" dxfId="1342" priority="12">
      <formula>kvartal &lt; 4</formula>
    </cfRule>
  </conditionalFormatting>
  <conditionalFormatting sqref="J90:K95">
    <cfRule type="expression" dxfId="1341" priority="11">
      <formula>kvartal &lt; 4</formula>
    </cfRule>
  </conditionalFormatting>
  <conditionalFormatting sqref="J101:K106">
    <cfRule type="expression" dxfId="1340" priority="10">
      <formula>kvartal &lt; 4</formula>
    </cfRule>
  </conditionalFormatting>
  <conditionalFormatting sqref="J115:K115">
    <cfRule type="expression" dxfId="1339" priority="9">
      <formula>kvartal &lt; 4</formula>
    </cfRule>
  </conditionalFormatting>
  <conditionalFormatting sqref="J123:K123">
    <cfRule type="expression" dxfId="1338" priority="8">
      <formula>kvartal &lt; 4</formula>
    </cfRule>
  </conditionalFormatting>
  <conditionalFormatting sqref="A50:A52">
    <cfRule type="expression" dxfId="1337" priority="7">
      <formula>kvartal &lt; 4</formula>
    </cfRule>
  </conditionalFormatting>
  <conditionalFormatting sqref="A69:A74">
    <cfRule type="expression" dxfId="1336" priority="6">
      <formula>kvartal &lt; 4</formula>
    </cfRule>
  </conditionalFormatting>
  <conditionalFormatting sqref="A80:A85">
    <cfRule type="expression" dxfId="1335" priority="5">
      <formula>kvartal &lt; 4</formula>
    </cfRule>
  </conditionalFormatting>
  <conditionalFormatting sqref="A90:A95">
    <cfRule type="expression" dxfId="1334" priority="4">
      <formula>kvartal &lt; 4</formula>
    </cfRule>
  </conditionalFormatting>
  <conditionalFormatting sqref="A101:A106">
    <cfRule type="expression" dxfId="1333" priority="3">
      <formula>kvartal &lt; 4</formula>
    </cfRule>
  </conditionalFormatting>
  <conditionalFormatting sqref="A115">
    <cfRule type="expression" dxfId="1332" priority="2">
      <formula>kvartal &lt; 4</formula>
    </cfRule>
  </conditionalFormatting>
  <conditionalFormatting sqref="A123">
    <cfRule type="expression" dxfId="1331" priority="1">
      <formula>kvartal &lt; 4</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Normal="100" workbookViewId="0">
      <pane xSplit="1" topLeftCell="B1" activePane="topRight" state="frozen"/>
      <selection pane="topRight"/>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352</v>
      </c>
      <c r="D1" s="26"/>
      <c r="E1" s="26"/>
      <c r="F1" s="26"/>
      <c r="G1" s="26"/>
      <c r="H1" s="26"/>
      <c r="I1" s="26"/>
      <c r="J1" s="26"/>
      <c r="K1" s="26"/>
      <c r="L1" s="26"/>
      <c r="M1" s="26"/>
    </row>
    <row r="2" spans="1:14" ht="15.75" x14ac:dyDescent="0.25">
      <c r="A2" s="149" t="s">
        <v>28</v>
      </c>
      <c r="B2" s="342"/>
      <c r="C2" s="342"/>
      <c r="D2" s="342"/>
      <c r="E2" s="342"/>
      <c r="F2" s="342"/>
      <c r="G2" s="342"/>
      <c r="H2" s="342"/>
      <c r="I2" s="342"/>
      <c r="J2" s="342"/>
      <c r="K2" s="342"/>
      <c r="L2" s="342"/>
      <c r="M2" s="342"/>
    </row>
    <row r="3" spans="1:14" ht="15.75" x14ac:dyDescent="0.25">
      <c r="A3" s="147"/>
      <c r="B3" s="342"/>
      <c r="C3" s="342"/>
      <c r="D3" s="342"/>
      <c r="E3" s="342"/>
      <c r="F3" s="342"/>
      <c r="G3" s="342"/>
      <c r="H3" s="342"/>
      <c r="I3" s="342"/>
      <c r="J3" s="342"/>
      <c r="K3" s="342"/>
      <c r="L3" s="342"/>
      <c r="M3" s="342"/>
    </row>
    <row r="4" spans="1:14" x14ac:dyDescent="0.2">
      <c r="A4" s="128"/>
      <c r="B4" s="705" t="s">
        <v>0</v>
      </c>
      <c r="C4" s="706"/>
      <c r="D4" s="706"/>
      <c r="E4" s="339"/>
      <c r="F4" s="705" t="s">
        <v>1</v>
      </c>
      <c r="G4" s="706"/>
      <c r="H4" s="706"/>
      <c r="I4" s="340"/>
      <c r="J4" s="705" t="s">
        <v>2</v>
      </c>
      <c r="K4" s="706"/>
      <c r="L4" s="706"/>
      <c r="M4" s="340"/>
    </row>
    <row r="5" spans="1:14" x14ac:dyDescent="0.2">
      <c r="A5" s="142"/>
      <c r="B5" s="136" t="s">
        <v>421</v>
      </c>
      <c r="C5" s="136" t="s">
        <v>422</v>
      </c>
      <c r="D5" s="229" t="s">
        <v>3</v>
      </c>
      <c r="E5" s="290" t="s">
        <v>29</v>
      </c>
      <c r="F5" s="136" t="s">
        <v>421</v>
      </c>
      <c r="G5" s="136" t="s">
        <v>422</v>
      </c>
      <c r="H5" s="229" t="s">
        <v>3</v>
      </c>
      <c r="I5" s="290"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345">
        <v>335745.48225</v>
      </c>
      <c r="C7" s="346">
        <v>358575.89009</v>
      </c>
      <c r="D7" s="354">
        <f t="shared" ref="D7:D10" si="0">IF(AND(_xlfn.NUMBERVALUE(B7)=0,_xlfn.NUMBERVALUE(C7)=0),,IF(B7=0, "    ---- ", IF(ABS(ROUND(100/B7*C7-100,1))&lt;999,IF(ROUND(100/B7*C7-100,1)=0,"    ---- ",ROUND(100/B7*C7-100,1)),IF(ROUND(100/B7*C7-100,1)&gt;999,999,-999))))</f>
        <v>6.8</v>
      </c>
      <c r="E7" s="11">
        <f>IFERROR(100/'Skjema total MA'!C7*C7,0)</f>
        <v>18.713041746504242</v>
      </c>
      <c r="F7" s="345"/>
      <c r="G7" s="346"/>
      <c r="H7" s="354"/>
      <c r="I7" s="355"/>
      <c r="J7" s="356">
        <f t="shared" ref="J7:K10" si="1">SUM(B7,F7)</f>
        <v>335745.48225</v>
      </c>
      <c r="K7" s="351">
        <f t="shared" si="1"/>
        <v>358575.89009</v>
      </c>
      <c r="L7" s="401">
        <f t="shared" ref="L7:L10" si="2">IF(AND(_xlfn.NUMBERVALUE(J7)=0,_xlfn.NUMBERVALUE(K7)=0),,IF(J7=0, "    ---- ", IF(ABS(ROUND(100/J7*K7-100,1))&lt;999,IF(ROUND(100/J7*K7-100,1)=0,"    ---- ",ROUND(100/J7*K7-100,1)),IF(ROUND(100/J7*K7-100,1)&gt;999,999,-999))))</f>
        <v>6.8</v>
      </c>
      <c r="M7" s="11">
        <f>IFERROR(100/'Skjema total MA'!I7*K7,0)</f>
        <v>6.1511382066627549</v>
      </c>
    </row>
    <row r="8" spans="1:14" ht="15.75" x14ac:dyDescent="0.2">
      <c r="A8" s="21" t="s">
        <v>25</v>
      </c>
      <c r="B8" s="348">
        <v>298262.47953000001</v>
      </c>
      <c r="C8" s="349">
        <v>319313.12981000001</v>
      </c>
      <c r="D8" s="357">
        <f t="shared" si="0"/>
        <v>7.1</v>
      </c>
      <c r="E8" s="27">
        <f>IFERROR(100/'Skjema total MA'!C8*C8,0)</f>
        <v>24.680608835501165</v>
      </c>
      <c r="F8" s="358"/>
      <c r="G8" s="359"/>
      <c r="H8" s="357"/>
      <c r="I8" s="355"/>
      <c r="J8" s="360">
        <f t="shared" si="1"/>
        <v>298262.47953000001</v>
      </c>
      <c r="K8" s="349">
        <f t="shared" si="1"/>
        <v>319313.12981000001</v>
      </c>
      <c r="L8" s="357">
        <f t="shared" si="2"/>
        <v>7.1</v>
      </c>
      <c r="M8" s="27">
        <f>IFERROR(100/'Skjema total MA'!I8*K8,0)</f>
        <v>24.680608835501165</v>
      </c>
    </row>
    <row r="9" spans="1:14" ht="15.75" x14ac:dyDescent="0.2">
      <c r="A9" s="21" t="s">
        <v>24</v>
      </c>
      <c r="B9" s="348">
        <v>37483.002719999997</v>
      </c>
      <c r="C9" s="349">
        <v>39262.760280000002</v>
      </c>
      <c r="D9" s="357">
        <f t="shared" si="0"/>
        <v>4.7</v>
      </c>
      <c r="E9" s="27">
        <f>IFERROR(100/'Skjema total MA'!C9*C9,0)</f>
        <v>9.181103680225279</v>
      </c>
      <c r="F9" s="358"/>
      <c r="G9" s="359"/>
      <c r="H9" s="357"/>
      <c r="I9" s="355"/>
      <c r="J9" s="360">
        <f t="shared" si="1"/>
        <v>37483.002719999997</v>
      </c>
      <c r="K9" s="349">
        <f t="shared" si="1"/>
        <v>39262.760280000002</v>
      </c>
      <c r="L9" s="357">
        <f t="shared" si="2"/>
        <v>4.7</v>
      </c>
      <c r="M9" s="27">
        <f>IFERROR(100/'Skjema total MA'!I9*K9,0)</f>
        <v>9.181103680225279</v>
      </c>
    </row>
    <row r="10" spans="1:14" ht="15.75" x14ac:dyDescent="0.2">
      <c r="A10" s="13" t="s">
        <v>321</v>
      </c>
      <c r="B10" s="350">
        <v>672397.01667000004</v>
      </c>
      <c r="C10" s="351">
        <v>674158.23285999999</v>
      </c>
      <c r="D10" s="357">
        <f t="shared" si="0"/>
        <v>0.3</v>
      </c>
      <c r="E10" s="11">
        <f>IFERROR(100/'Skjema total MA'!C10*C10,0)</f>
        <v>4.9828053457272699</v>
      </c>
      <c r="F10" s="350"/>
      <c r="G10" s="351"/>
      <c r="H10" s="357"/>
      <c r="I10" s="355"/>
      <c r="J10" s="356">
        <f t="shared" si="1"/>
        <v>672397.01667000004</v>
      </c>
      <c r="K10" s="351">
        <f t="shared" si="1"/>
        <v>674158.23285999999</v>
      </c>
      <c r="L10" s="357">
        <f t="shared" si="2"/>
        <v>0.3</v>
      </c>
      <c r="M10" s="11">
        <f>IFERROR(100/'Skjema total MA'!I10*K10,0)</f>
        <v>0.64945367721447544</v>
      </c>
    </row>
    <row r="11" spans="1:14" s="43" customFormat="1" ht="15.75" x14ac:dyDescent="0.2">
      <c r="A11" s="13" t="s">
        <v>322</v>
      </c>
      <c r="B11" s="350"/>
      <c r="C11" s="351"/>
      <c r="D11" s="357"/>
      <c r="E11" s="355"/>
      <c r="F11" s="350"/>
      <c r="G11" s="351"/>
      <c r="H11" s="357"/>
      <c r="I11" s="355"/>
      <c r="J11" s="356"/>
      <c r="K11" s="351"/>
      <c r="L11" s="357"/>
      <c r="M11" s="355"/>
      <c r="N11" s="127"/>
    </row>
    <row r="12" spans="1:14" s="43" customFormat="1" ht="15.75" x14ac:dyDescent="0.2">
      <c r="A12" s="41" t="s">
        <v>323</v>
      </c>
      <c r="B12" s="352"/>
      <c r="C12" s="353"/>
      <c r="D12" s="361"/>
      <c r="E12" s="361"/>
      <c r="F12" s="352"/>
      <c r="G12" s="353"/>
      <c r="H12" s="361"/>
      <c r="I12" s="361"/>
      <c r="J12" s="362"/>
      <c r="K12" s="353"/>
      <c r="L12" s="361"/>
      <c r="M12" s="361"/>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341"/>
      <c r="C18" s="341"/>
      <c r="D18" s="341"/>
      <c r="E18" s="342"/>
      <c r="F18" s="341"/>
      <c r="G18" s="341"/>
      <c r="H18" s="341"/>
      <c r="I18" s="342"/>
      <c r="J18" s="341"/>
      <c r="K18" s="341"/>
      <c r="L18" s="341"/>
      <c r="M18" s="342"/>
    </row>
    <row r="19" spans="1:14" x14ac:dyDescent="0.2">
      <c r="A19" s="128"/>
      <c r="B19" s="705" t="s">
        <v>0</v>
      </c>
      <c r="C19" s="706"/>
      <c r="D19" s="706"/>
      <c r="E19" s="339"/>
      <c r="F19" s="705" t="s">
        <v>1</v>
      </c>
      <c r="G19" s="706"/>
      <c r="H19" s="706"/>
      <c r="I19" s="340"/>
      <c r="J19" s="705" t="s">
        <v>2</v>
      </c>
      <c r="K19" s="706"/>
      <c r="L19" s="706"/>
      <c r="M19" s="340"/>
    </row>
    <row r="20" spans="1:14" x14ac:dyDescent="0.2">
      <c r="A20" s="124" t="s">
        <v>5</v>
      </c>
      <c r="B20" s="226" t="s">
        <v>421</v>
      </c>
      <c r="C20" s="226" t="s">
        <v>422</v>
      </c>
      <c r="D20" s="146" t="s">
        <v>3</v>
      </c>
      <c r="E20" s="290" t="s">
        <v>29</v>
      </c>
      <c r="F20" s="226" t="s">
        <v>421</v>
      </c>
      <c r="G20" s="226" t="s">
        <v>422</v>
      </c>
      <c r="H20" s="146" t="s">
        <v>3</v>
      </c>
      <c r="I20" s="290"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469">
        <v>216264.1447</v>
      </c>
      <c r="C22" s="469">
        <v>230185.95908</v>
      </c>
      <c r="D22" s="354">
        <f t="shared" ref="D22:D30" si="3">IF(AND(_xlfn.NUMBERVALUE(B22)=0,_xlfn.NUMBERVALUE(C22)=0),,IF(B22=0, "    ---- ", IF(ABS(ROUND(100/B22*C22-100,1))&lt;999,IF(ROUND(100/B22*C22-100,1)=0,"    ---- ",ROUND(100/B22*C22-100,1)),IF(ROUND(100/B22*C22-100,1)&gt;999,999,-999))))</f>
        <v>6.4</v>
      </c>
      <c r="E22" s="11">
        <f>IFERROR(100/'Skjema total MA'!C22*C22,0)</f>
        <v>26.044030684610362</v>
      </c>
      <c r="F22" s="363"/>
      <c r="G22" s="363"/>
      <c r="H22" s="354"/>
      <c r="I22" s="355"/>
      <c r="J22" s="345">
        <f t="shared" ref="J22:K29" si="4">SUM(B22,F22)</f>
        <v>216264.1447</v>
      </c>
      <c r="K22" s="345">
        <f t="shared" si="4"/>
        <v>230185.95908</v>
      </c>
      <c r="L22" s="354">
        <f t="shared" ref="L22:L30" si="5">IF(AND(_xlfn.NUMBERVALUE(J22)=0,_xlfn.NUMBERVALUE(K22)=0),,IF(J22=0, "    ---- ", IF(ABS(ROUND(100/J22*K22-100,1))&lt;999,IF(ROUND(100/J22*K22-100,1)=0,"    ---- ",ROUND(100/J22*K22-100,1)),IF(ROUND(100/J22*K22-100,1)&gt;999,999,-999))))</f>
        <v>6.4</v>
      </c>
      <c r="M22" s="11">
        <f>IFERROR(100/'Skjema total MA'!I22*K22,0)</f>
        <v>20.226247422393822</v>
      </c>
    </row>
    <row r="23" spans="1:14" ht="15.75" x14ac:dyDescent="0.2">
      <c r="A23" s="454" t="s">
        <v>324</v>
      </c>
      <c r="B23" s="347"/>
      <c r="C23" s="347"/>
      <c r="D23" s="357"/>
      <c r="E23" s="355"/>
      <c r="F23" s="347"/>
      <c r="G23" s="347"/>
      <c r="H23" s="357"/>
      <c r="I23" s="355"/>
      <c r="J23" s="347"/>
      <c r="K23" s="347"/>
      <c r="L23" s="357"/>
      <c r="M23" s="355"/>
    </row>
    <row r="24" spans="1:14" ht="15.75" x14ac:dyDescent="0.2">
      <c r="A24" s="454" t="s">
        <v>325</v>
      </c>
      <c r="B24" s="347"/>
      <c r="C24" s="347"/>
      <c r="D24" s="357"/>
      <c r="E24" s="355"/>
      <c r="F24" s="347"/>
      <c r="G24" s="347"/>
      <c r="H24" s="357"/>
      <c r="I24" s="355"/>
      <c r="J24" s="347"/>
      <c r="K24" s="347"/>
      <c r="L24" s="357"/>
      <c r="M24" s="355"/>
    </row>
    <row r="25" spans="1:14" ht="15.75" x14ac:dyDescent="0.2">
      <c r="A25" s="454" t="s">
        <v>326</v>
      </c>
      <c r="B25" s="347"/>
      <c r="C25" s="347"/>
      <c r="D25" s="357"/>
      <c r="E25" s="355"/>
      <c r="F25" s="347"/>
      <c r="G25" s="347"/>
      <c r="H25" s="357"/>
      <c r="I25" s="355"/>
      <c r="J25" s="347"/>
      <c r="K25" s="347"/>
      <c r="L25" s="357"/>
      <c r="M25" s="355"/>
    </row>
    <row r="26" spans="1:14" ht="15.75" x14ac:dyDescent="0.2">
      <c r="A26" s="454" t="s">
        <v>327</v>
      </c>
      <c r="B26" s="347"/>
      <c r="C26" s="347"/>
      <c r="D26" s="357"/>
      <c r="E26" s="355"/>
      <c r="F26" s="347"/>
      <c r="G26" s="347"/>
      <c r="H26" s="357"/>
      <c r="I26" s="355"/>
      <c r="J26" s="347"/>
      <c r="K26" s="347"/>
      <c r="L26" s="357"/>
      <c r="M26" s="355"/>
    </row>
    <row r="27" spans="1:14" x14ac:dyDescent="0.2">
      <c r="A27" s="454" t="s">
        <v>11</v>
      </c>
      <c r="B27" s="347"/>
      <c r="C27" s="347"/>
      <c r="D27" s="357"/>
      <c r="E27" s="355"/>
      <c r="F27" s="347"/>
      <c r="G27" s="347"/>
      <c r="H27" s="357"/>
      <c r="I27" s="355"/>
      <c r="J27" s="347"/>
      <c r="K27" s="347"/>
      <c r="L27" s="357"/>
      <c r="M27" s="355"/>
    </row>
    <row r="28" spans="1:14" ht="15.75" x14ac:dyDescent="0.2">
      <c r="A28" s="49" t="s">
        <v>246</v>
      </c>
      <c r="B28" s="347">
        <v>216264.1447</v>
      </c>
      <c r="C28" s="347">
        <v>230185.95908</v>
      </c>
      <c r="D28" s="357">
        <f t="shared" si="3"/>
        <v>6.4</v>
      </c>
      <c r="E28" s="27">
        <f>IFERROR(100/'Skjema total MA'!C28*C28,0)</f>
        <v>21.809869972076402</v>
      </c>
      <c r="F28" s="360"/>
      <c r="G28" s="349"/>
      <c r="H28" s="357"/>
      <c r="I28" s="355"/>
      <c r="J28" s="348">
        <f t="shared" si="4"/>
        <v>216264.1447</v>
      </c>
      <c r="K28" s="348">
        <f t="shared" si="4"/>
        <v>230185.95908</v>
      </c>
      <c r="L28" s="357">
        <f t="shared" si="5"/>
        <v>6.4</v>
      </c>
      <c r="M28" s="27">
        <f>IFERROR(100/'Skjema total MA'!I28*K28,0)</f>
        <v>21.809869972076402</v>
      </c>
    </row>
    <row r="29" spans="1:14" s="3" customFormat="1" ht="15.75" x14ac:dyDescent="0.2">
      <c r="A29" s="13" t="s">
        <v>321</v>
      </c>
      <c r="B29" s="350">
        <v>4278648.8908799998</v>
      </c>
      <c r="C29" s="350">
        <v>4850320.9725500001</v>
      </c>
      <c r="D29" s="357">
        <f t="shared" si="3"/>
        <v>13.4</v>
      </c>
      <c r="E29" s="27">
        <f>IFERROR(100/'Skjema total MA'!C29*C29,0)</f>
        <v>11.018792266253419</v>
      </c>
      <c r="F29" s="356"/>
      <c r="G29" s="356"/>
      <c r="H29" s="357"/>
      <c r="I29" s="355"/>
      <c r="J29" s="350">
        <f t="shared" si="4"/>
        <v>4278648.8908799998</v>
      </c>
      <c r="K29" s="350">
        <f t="shared" si="4"/>
        <v>4850320.9725500001</v>
      </c>
      <c r="L29" s="357">
        <f t="shared" si="5"/>
        <v>13.4</v>
      </c>
      <c r="M29" s="27">
        <f>IFERROR(100/'Skjema total MA'!I29*K29,0)</f>
        <v>6.7253891848687326</v>
      </c>
      <c r="N29" s="132"/>
    </row>
    <row r="30" spans="1:14" s="3" customFormat="1" ht="15.75" x14ac:dyDescent="0.2">
      <c r="A30" s="454" t="s">
        <v>324</v>
      </c>
      <c r="B30" s="347">
        <v>4278648.8908799998</v>
      </c>
      <c r="C30" s="347">
        <v>4850320.9725500001</v>
      </c>
      <c r="D30" s="357">
        <f t="shared" si="3"/>
        <v>13.4</v>
      </c>
      <c r="E30" s="27">
        <f>IFERROR(100/'Skjema total MA'!C30*C30,0)</f>
        <v>27.126860266397607</v>
      </c>
      <c r="F30" s="347"/>
      <c r="G30" s="347"/>
      <c r="H30" s="357"/>
      <c r="I30" s="355"/>
      <c r="J30" s="347">
        <f t="shared" ref="J30" si="6">SUM(B30,F30)</f>
        <v>4278648.8908799998</v>
      </c>
      <c r="K30" s="347">
        <f t="shared" ref="K30" si="7">SUM(C30,G30)</f>
        <v>4850320.9725500001</v>
      </c>
      <c r="L30" s="357">
        <f t="shared" si="5"/>
        <v>13.4</v>
      </c>
      <c r="M30" s="27">
        <f>IFERROR(100/'Skjema total MA'!I30*K30,0)</f>
        <v>22.397337234205647</v>
      </c>
      <c r="N30" s="132"/>
    </row>
    <row r="31" spans="1:14" s="3" customFormat="1" ht="15.75" x14ac:dyDescent="0.2">
      <c r="A31" s="454" t="s">
        <v>325</v>
      </c>
      <c r="B31" s="347"/>
      <c r="C31" s="347"/>
      <c r="D31" s="357"/>
      <c r="E31" s="355"/>
      <c r="F31" s="347"/>
      <c r="G31" s="347"/>
      <c r="H31" s="357"/>
      <c r="I31" s="355"/>
      <c r="J31" s="347"/>
      <c r="K31" s="347"/>
      <c r="L31" s="357"/>
      <c r="M31" s="355"/>
      <c r="N31" s="132"/>
    </row>
    <row r="32" spans="1:14" ht="15.75" x14ac:dyDescent="0.2">
      <c r="A32" s="454" t="s">
        <v>326</v>
      </c>
      <c r="B32" s="347"/>
      <c r="C32" s="347"/>
      <c r="D32" s="357"/>
      <c r="E32" s="355"/>
      <c r="F32" s="347"/>
      <c r="G32" s="347"/>
      <c r="H32" s="357"/>
      <c r="I32" s="355"/>
      <c r="J32" s="347"/>
      <c r="K32" s="347"/>
      <c r="L32" s="357"/>
      <c r="M32" s="355"/>
    </row>
    <row r="33" spans="1:14" ht="15.75" x14ac:dyDescent="0.2">
      <c r="A33" s="454" t="s">
        <v>327</v>
      </c>
      <c r="B33" s="347"/>
      <c r="C33" s="347"/>
      <c r="D33" s="357"/>
      <c r="E33" s="355"/>
      <c r="F33" s="347"/>
      <c r="G33" s="347"/>
      <c r="H33" s="357"/>
      <c r="I33" s="355"/>
      <c r="J33" s="347"/>
      <c r="K33" s="347"/>
      <c r="L33" s="357"/>
      <c r="M33" s="355"/>
    </row>
    <row r="34" spans="1:14" ht="15.75" x14ac:dyDescent="0.2">
      <c r="A34" s="13" t="s">
        <v>322</v>
      </c>
      <c r="B34" s="350"/>
      <c r="C34" s="351"/>
      <c r="D34" s="357"/>
      <c r="E34" s="355"/>
      <c r="F34" s="356"/>
      <c r="G34" s="351"/>
      <c r="H34" s="357"/>
      <c r="I34" s="355"/>
      <c r="J34" s="350"/>
      <c r="K34" s="350"/>
      <c r="L34" s="357"/>
      <c r="M34" s="355"/>
    </row>
    <row r="35" spans="1:14" ht="15.75" x14ac:dyDescent="0.2">
      <c r="A35" s="13" t="s">
        <v>323</v>
      </c>
      <c r="B35" s="350"/>
      <c r="C35" s="351"/>
      <c r="D35" s="357"/>
      <c r="E35" s="355"/>
      <c r="F35" s="356"/>
      <c r="G35" s="351"/>
      <c r="H35" s="357"/>
      <c r="I35" s="355"/>
      <c r="J35" s="350"/>
      <c r="K35" s="350"/>
      <c r="L35" s="357"/>
      <c r="M35" s="355"/>
    </row>
    <row r="36" spans="1:14" ht="15.75" x14ac:dyDescent="0.2">
      <c r="A36" s="12" t="s">
        <v>253</v>
      </c>
      <c r="B36" s="350"/>
      <c r="C36" s="351"/>
      <c r="D36" s="357"/>
      <c r="E36" s="355"/>
      <c r="F36" s="364"/>
      <c r="G36" s="365"/>
      <c r="H36" s="357"/>
      <c r="I36" s="355"/>
      <c r="J36" s="350"/>
      <c r="K36" s="350"/>
      <c r="L36" s="357"/>
      <c r="M36" s="355"/>
    </row>
    <row r="37" spans="1:14" ht="15.75" x14ac:dyDescent="0.2">
      <c r="A37" s="12" t="s">
        <v>329</v>
      </c>
      <c r="B37" s="350"/>
      <c r="C37" s="351"/>
      <c r="D37" s="357"/>
      <c r="E37" s="355"/>
      <c r="F37" s="364"/>
      <c r="G37" s="366"/>
      <c r="H37" s="357"/>
      <c r="I37" s="355"/>
      <c r="J37" s="350"/>
      <c r="K37" s="350"/>
      <c r="L37" s="357"/>
      <c r="M37" s="355"/>
    </row>
    <row r="38" spans="1:14" ht="15.75" x14ac:dyDescent="0.2">
      <c r="A38" s="12" t="s">
        <v>330</v>
      </c>
      <c r="B38" s="350"/>
      <c r="C38" s="351"/>
      <c r="D38" s="357"/>
      <c r="E38" s="150"/>
      <c r="F38" s="364"/>
      <c r="G38" s="365"/>
      <c r="H38" s="357"/>
      <c r="I38" s="355"/>
      <c r="J38" s="350"/>
      <c r="K38" s="350"/>
      <c r="L38" s="357"/>
      <c r="M38" s="355"/>
    </row>
    <row r="39" spans="1:14" ht="15.75" x14ac:dyDescent="0.2">
      <c r="A39" s="18" t="s">
        <v>331</v>
      </c>
      <c r="B39" s="352"/>
      <c r="C39" s="353"/>
      <c r="D39" s="361"/>
      <c r="E39" s="151"/>
      <c r="F39" s="367"/>
      <c r="G39" s="368"/>
      <c r="H39" s="361"/>
      <c r="I39" s="355"/>
      <c r="J39" s="350"/>
      <c r="K39" s="350"/>
      <c r="L39" s="361"/>
      <c r="M39" s="361"/>
    </row>
    <row r="40" spans="1:14" ht="15.75" x14ac:dyDescent="0.25">
      <c r="A40" s="47"/>
      <c r="B40" s="241"/>
      <c r="C40" s="241"/>
      <c r="D40" s="344"/>
      <c r="E40" s="344"/>
      <c r="F40" s="344"/>
      <c r="G40" s="344"/>
      <c r="H40" s="344"/>
      <c r="I40" s="344"/>
      <c r="J40" s="344"/>
      <c r="K40" s="344"/>
      <c r="L40" s="344"/>
      <c r="M40" s="343"/>
    </row>
    <row r="41" spans="1:14" x14ac:dyDescent="0.2">
      <c r="A41" s="139"/>
    </row>
    <row r="42" spans="1:14" ht="15.75" x14ac:dyDescent="0.25">
      <c r="A42" s="131" t="s">
        <v>243</v>
      </c>
      <c r="B42" s="342"/>
      <c r="C42" s="342"/>
      <c r="D42" s="342"/>
      <c r="E42" s="342"/>
      <c r="F42" s="343"/>
      <c r="G42" s="343"/>
      <c r="H42" s="343"/>
      <c r="I42" s="343"/>
      <c r="J42" s="343"/>
      <c r="K42" s="343"/>
      <c r="L42" s="343"/>
      <c r="M42" s="343"/>
    </row>
    <row r="43" spans="1:14" ht="15.75" x14ac:dyDescent="0.25">
      <c r="A43" s="147"/>
      <c r="B43" s="341"/>
      <c r="C43" s="341"/>
      <c r="D43" s="341"/>
      <c r="E43" s="341"/>
      <c r="F43" s="343"/>
      <c r="G43" s="343"/>
      <c r="H43" s="343"/>
      <c r="I43" s="343"/>
      <c r="J43" s="343"/>
      <c r="K43" s="343"/>
      <c r="L43" s="343"/>
      <c r="M43" s="343"/>
    </row>
    <row r="44" spans="1:14" ht="15.75" x14ac:dyDescent="0.25">
      <c r="A44" s="232"/>
      <c r="B44" s="705" t="s">
        <v>0</v>
      </c>
      <c r="C44" s="706"/>
      <c r="D44" s="706"/>
      <c r="E44" s="227"/>
      <c r="F44" s="343"/>
      <c r="G44" s="343"/>
      <c r="H44" s="343"/>
      <c r="I44" s="343"/>
      <c r="J44" s="343"/>
      <c r="K44" s="343"/>
      <c r="L44" s="343"/>
      <c r="M44" s="343"/>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97" customFormat="1" ht="15.75" x14ac:dyDescent="0.2">
      <c r="A47" s="14" t="s">
        <v>23</v>
      </c>
      <c r="B47" s="350">
        <v>379747.93596999999</v>
      </c>
      <c r="C47" s="351">
        <v>409499.46918000001</v>
      </c>
      <c r="D47" s="401">
        <f>IF(AND(_xlfn.NUMBERVALUE(B47)=0,_xlfn.NUMBERVALUE(C47)=0),,IF(B47=0, "    ---- ", IF(ABS(ROUND(100/B47*C47-100,1))&lt;999,IF(ROUND(100/B47*C47-100,1)=0,"    ---- ",ROUND(100/B47*C47-100,1)),IF(ROUND(100/B47*C47-100,1)&gt;999,999,-999))))</f>
        <v>7.8</v>
      </c>
      <c r="E47" s="402">
        <f>IFERROR(100/'Skjema total MA'!C47*C47,0)</f>
        <v>9.9431009313406307</v>
      </c>
      <c r="F47" s="143"/>
      <c r="G47" s="158"/>
      <c r="H47" s="143"/>
      <c r="I47" s="143"/>
      <c r="J47" s="400"/>
      <c r="K47" s="400"/>
      <c r="L47" s="143"/>
      <c r="M47" s="143"/>
      <c r="N47" s="403"/>
    </row>
    <row r="48" spans="1:14" s="3" customFormat="1" ht="15.75" x14ac:dyDescent="0.2">
      <c r="A48" s="38" t="s">
        <v>332</v>
      </c>
      <c r="B48" s="348">
        <v>88238.48328</v>
      </c>
      <c r="C48" s="349">
        <v>96589.098110000006</v>
      </c>
      <c r="D48" s="357">
        <f t="shared" ref="D48:D58" si="8">IF(AND(_xlfn.NUMBERVALUE(B48)=0,_xlfn.NUMBERVALUE(C48)=0),,IF(B48=0, "    ---- ", IF(ABS(ROUND(100/B48*C48-100,1))&lt;999,IF(ROUND(100/B48*C48-100,1)=0,"    ---- ",ROUND(100/B48*C48-100,1)),IF(ROUND(100/B48*C48-100,1)&gt;999,999,-999))))</f>
        <v>9.5</v>
      </c>
      <c r="E48" s="27">
        <f>IFERROR(100/'Skjema total MA'!C48*C48,0)</f>
        <v>4.389078482955644</v>
      </c>
      <c r="F48" s="129"/>
      <c r="G48" s="33"/>
      <c r="H48" s="129"/>
      <c r="I48" s="129"/>
      <c r="J48" s="33"/>
      <c r="K48" s="33"/>
      <c r="L48" s="143"/>
      <c r="M48" s="143"/>
      <c r="N48" s="132"/>
    </row>
    <row r="49" spans="1:14" s="3" customFormat="1" ht="15.75" x14ac:dyDescent="0.2">
      <c r="A49" s="38" t="s">
        <v>333</v>
      </c>
      <c r="B49" s="348">
        <v>291509.45269000001</v>
      </c>
      <c r="C49" s="349">
        <v>312910.37106999999</v>
      </c>
      <c r="D49" s="357">
        <f t="shared" si="8"/>
        <v>7.3</v>
      </c>
      <c r="E49" s="27">
        <f>IFERROR(100/'Skjema total MA'!C49*C49,0)</f>
        <v>16.316459785380694</v>
      </c>
      <c r="F49" s="129"/>
      <c r="G49" s="33"/>
      <c r="H49" s="129"/>
      <c r="I49" s="129"/>
      <c r="J49" s="37"/>
      <c r="K49" s="37"/>
      <c r="L49" s="143"/>
      <c r="M49" s="143"/>
      <c r="N49" s="132"/>
    </row>
    <row r="50" spans="1:14" s="3" customFormat="1" x14ac:dyDescent="0.2">
      <c r="A50" s="281" t="s">
        <v>6</v>
      </c>
      <c r="B50" s="347" t="s">
        <v>401</v>
      </c>
      <c r="C50" s="369" t="s">
        <v>401</v>
      </c>
      <c r="D50" s="357">
        <f t="shared" si="8"/>
        <v>0</v>
      </c>
      <c r="E50" s="391" t="e">
        <f>IF(kvartal=4,IFERROR(100/'Skjema total MA'!B50*C50,0),"")</f>
        <v>#REF!</v>
      </c>
      <c r="F50" s="129"/>
      <c r="G50" s="33"/>
      <c r="H50" s="129"/>
      <c r="I50" s="129"/>
      <c r="J50" s="33"/>
      <c r="K50" s="33"/>
      <c r="L50" s="143"/>
      <c r="M50" s="143"/>
      <c r="N50" s="132"/>
    </row>
    <row r="51" spans="1:14" s="3" customFormat="1" x14ac:dyDescent="0.2">
      <c r="A51" s="281" t="s">
        <v>7</v>
      </c>
      <c r="B51" s="347" t="s">
        <v>401</v>
      </c>
      <c r="C51" s="369" t="s">
        <v>401</v>
      </c>
      <c r="D51" s="357">
        <f t="shared" si="8"/>
        <v>0</v>
      </c>
      <c r="E51" s="391" t="e">
        <f>IF(kvartal=4,IFERROR(100/'Skjema total MA'!B51*C51,0),"")</f>
        <v>#REF!</v>
      </c>
      <c r="F51" s="129"/>
      <c r="G51" s="33"/>
      <c r="H51" s="129"/>
      <c r="I51" s="129"/>
      <c r="J51" s="33"/>
      <c r="K51" s="33"/>
      <c r="L51" s="143"/>
      <c r="M51" s="143"/>
      <c r="N51" s="132"/>
    </row>
    <row r="52" spans="1:14" s="3" customFormat="1" x14ac:dyDescent="0.2">
      <c r="A52" s="281" t="s">
        <v>8</v>
      </c>
      <c r="B52" s="347" t="s">
        <v>401</v>
      </c>
      <c r="C52" s="369" t="s">
        <v>401</v>
      </c>
      <c r="D52" s="357">
        <f t="shared" si="8"/>
        <v>0</v>
      </c>
      <c r="E52" s="391" t="e">
        <f>IF(kvartal=4,IFERROR(100/'Skjema total MA'!B52*C52,0),"")</f>
        <v>#REF!</v>
      </c>
      <c r="F52" s="129"/>
      <c r="G52" s="33"/>
      <c r="H52" s="129"/>
      <c r="I52" s="129"/>
      <c r="J52" s="33"/>
      <c r="K52" s="33"/>
      <c r="L52" s="143"/>
      <c r="M52" s="143"/>
      <c r="N52" s="132"/>
    </row>
    <row r="53" spans="1:14" s="3" customFormat="1" ht="15.75" x14ac:dyDescent="0.2">
      <c r="A53" s="39" t="s">
        <v>334</v>
      </c>
      <c r="B53" s="350">
        <v>1895.201</v>
      </c>
      <c r="C53" s="351">
        <v>263</v>
      </c>
      <c r="D53" s="357">
        <f t="shared" si="8"/>
        <v>-86.1</v>
      </c>
      <c r="E53" s="390">
        <f>IFERROR(100/'Skjema total MA'!C53*C53,0)</f>
        <v>0.2575717298827836</v>
      </c>
      <c r="F53" s="129"/>
      <c r="G53" s="33"/>
      <c r="H53" s="129"/>
      <c r="I53" s="129"/>
      <c r="J53" s="33"/>
      <c r="K53" s="33"/>
      <c r="L53" s="143"/>
      <c r="M53" s="143"/>
      <c r="N53" s="132"/>
    </row>
    <row r="54" spans="1:14" s="3" customFormat="1" ht="15.75" x14ac:dyDescent="0.2">
      <c r="A54" s="38" t="s">
        <v>332</v>
      </c>
      <c r="B54" s="348">
        <v>1895.201</v>
      </c>
      <c r="C54" s="349">
        <v>263</v>
      </c>
      <c r="D54" s="357">
        <f t="shared" si="8"/>
        <v>-86.1</v>
      </c>
      <c r="E54" s="27">
        <f>IFERROR(100/'Skjema total MA'!C54*C54,0)</f>
        <v>0.26009093748334566</v>
      </c>
      <c r="F54" s="129"/>
      <c r="G54" s="33"/>
      <c r="H54" s="129"/>
      <c r="I54" s="129"/>
      <c r="J54" s="33"/>
      <c r="K54" s="33"/>
      <c r="L54" s="143"/>
      <c r="M54" s="143"/>
      <c r="N54" s="132"/>
    </row>
    <row r="55" spans="1:14" s="3" customFormat="1" ht="15.75" x14ac:dyDescent="0.2">
      <c r="A55" s="38" t="s">
        <v>333</v>
      </c>
      <c r="B55" s="348">
        <v>0</v>
      </c>
      <c r="C55" s="349">
        <v>0</v>
      </c>
      <c r="D55" s="357">
        <f t="shared" si="8"/>
        <v>0</v>
      </c>
      <c r="E55" s="390">
        <f>IFERROR(100/'Skjema total MA'!C55*C55,0)</f>
        <v>0</v>
      </c>
      <c r="F55" s="129"/>
      <c r="G55" s="33"/>
      <c r="H55" s="129"/>
      <c r="I55" s="129"/>
      <c r="J55" s="33"/>
      <c r="K55" s="33"/>
      <c r="L55" s="143"/>
      <c r="M55" s="143"/>
      <c r="N55" s="132"/>
    </row>
    <row r="56" spans="1:14" s="3" customFormat="1" ht="15.75" x14ac:dyDescent="0.2">
      <c r="A56" s="39" t="s">
        <v>335</v>
      </c>
      <c r="B56" s="350">
        <v>2701.4580000000001</v>
      </c>
      <c r="C56" s="351">
        <v>1592</v>
      </c>
      <c r="D56" s="357">
        <f t="shared" si="8"/>
        <v>-41.1</v>
      </c>
      <c r="E56" s="390">
        <f>IFERROR(100/'Skjema total MA'!C56*C56,0)</f>
        <v>1.6581108873945967</v>
      </c>
      <c r="F56" s="129"/>
      <c r="G56" s="33"/>
      <c r="H56" s="129"/>
      <c r="I56" s="129"/>
      <c r="J56" s="33"/>
      <c r="K56" s="33"/>
      <c r="L56" s="143"/>
      <c r="M56" s="143"/>
      <c r="N56" s="132"/>
    </row>
    <row r="57" spans="1:14" s="3" customFormat="1" ht="15.75" x14ac:dyDescent="0.2">
      <c r="A57" s="38" t="s">
        <v>332</v>
      </c>
      <c r="B57" s="348">
        <v>2701.4580000000001</v>
      </c>
      <c r="C57" s="349">
        <v>1592</v>
      </c>
      <c r="D57" s="357">
        <f t="shared" si="8"/>
        <v>-41.1</v>
      </c>
      <c r="E57" s="27">
        <f>IFERROR(100/'Skjema total MA'!C57*C57,0)</f>
        <v>1.6581108873945967</v>
      </c>
      <c r="F57" s="129"/>
      <c r="G57" s="33"/>
      <c r="H57" s="129"/>
      <c r="I57" s="129"/>
      <c r="J57" s="33"/>
      <c r="K57" s="33"/>
      <c r="L57" s="143"/>
      <c r="M57" s="143"/>
      <c r="N57" s="132"/>
    </row>
    <row r="58" spans="1:14" s="3" customFormat="1" ht="15.75" x14ac:dyDescent="0.2">
      <c r="A58" s="46" t="s">
        <v>333</v>
      </c>
      <c r="B58" s="370">
        <v>0</v>
      </c>
      <c r="C58" s="371">
        <v>0</v>
      </c>
      <c r="D58" s="361">
        <f t="shared" si="8"/>
        <v>0</v>
      </c>
      <c r="E58" s="392">
        <f>IFERROR(100/'Skjema total MA'!C58*C58,0)</f>
        <v>0</v>
      </c>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341"/>
      <c r="C62" s="341"/>
      <c r="D62" s="341"/>
      <c r="E62" s="342"/>
      <c r="F62" s="341"/>
      <c r="G62" s="341"/>
      <c r="H62" s="341"/>
      <c r="I62" s="342"/>
      <c r="J62" s="341"/>
      <c r="K62" s="341"/>
      <c r="L62" s="341"/>
      <c r="M62" s="342"/>
    </row>
    <row r="63" spans="1:14" x14ac:dyDescent="0.2">
      <c r="A63" s="128"/>
      <c r="B63" s="705" t="s">
        <v>0</v>
      </c>
      <c r="C63" s="706"/>
      <c r="D63" s="710"/>
      <c r="E63" s="338"/>
      <c r="F63" s="706" t="s">
        <v>1</v>
      </c>
      <c r="G63" s="706"/>
      <c r="H63" s="706"/>
      <c r="I63" s="340"/>
      <c r="J63" s="705" t="s">
        <v>2</v>
      </c>
      <c r="K63" s="706"/>
      <c r="L63" s="706"/>
      <c r="M63" s="340"/>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72"/>
      <c r="C66" s="372"/>
      <c r="D66" s="354"/>
      <c r="E66" s="355"/>
      <c r="F66" s="372"/>
      <c r="G66" s="372"/>
      <c r="H66" s="354"/>
      <c r="I66" s="355"/>
      <c r="J66" s="351"/>
      <c r="K66" s="345"/>
      <c r="L66" s="357"/>
      <c r="M66" s="355"/>
    </row>
    <row r="67" spans="1:14" x14ac:dyDescent="0.2">
      <c r="A67" s="21" t="s">
        <v>9</v>
      </c>
      <c r="B67" s="348"/>
      <c r="C67" s="373"/>
      <c r="D67" s="357"/>
      <c r="E67" s="355"/>
      <c r="F67" s="360"/>
      <c r="G67" s="373"/>
      <c r="H67" s="357"/>
      <c r="I67" s="355"/>
      <c r="J67" s="349"/>
      <c r="K67" s="348"/>
      <c r="L67" s="357"/>
      <c r="M67" s="355"/>
    </row>
    <row r="68" spans="1:14" x14ac:dyDescent="0.2">
      <c r="A68" s="21" t="s">
        <v>10</v>
      </c>
      <c r="B68" s="374"/>
      <c r="C68" s="375"/>
      <c r="D68" s="357"/>
      <c r="E68" s="355"/>
      <c r="F68" s="374"/>
      <c r="G68" s="375"/>
      <c r="H68" s="357"/>
      <c r="I68" s="355"/>
      <c r="J68" s="349"/>
      <c r="K68" s="348"/>
      <c r="L68" s="357"/>
      <c r="M68" s="355"/>
    </row>
    <row r="69" spans="1:14" ht="15.75" x14ac:dyDescent="0.2">
      <c r="A69" s="281" t="s">
        <v>336</v>
      </c>
      <c r="B69" s="348"/>
      <c r="C69" s="348"/>
      <c r="D69" s="357"/>
      <c r="E69" s="382"/>
      <c r="F69" s="348"/>
      <c r="G69" s="348"/>
      <c r="H69" s="357"/>
      <c r="I69" s="355"/>
      <c r="J69" s="347"/>
      <c r="K69" s="347"/>
      <c r="L69" s="357"/>
      <c r="M69" s="355"/>
    </row>
    <row r="70" spans="1:14" x14ac:dyDescent="0.2">
      <c r="A70" s="281" t="s">
        <v>12</v>
      </c>
      <c r="B70" s="376"/>
      <c r="C70" s="377"/>
      <c r="D70" s="357"/>
      <c r="E70" s="382"/>
      <c r="F70" s="348"/>
      <c r="G70" s="348"/>
      <c r="H70" s="357"/>
      <c r="I70" s="355"/>
      <c r="J70" s="347"/>
      <c r="K70" s="347"/>
      <c r="L70" s="357"/>
      <c r="M70" s="355"/>
    </row>
    <row r="71" spans="1:14" x14ac:dyDescent="0.2">
      <c r="A71" s="281" t="s">
        <v>13</v>
      </c>
      <c r="B71" s="378"/>
      <c r="C71" s="379"/>
      <c r="D71" s="357"/>
      <c r="E71" s="382"/>
      <c r="F71" s="348"/>
      <c r="G71" s="348"/>
      <c r="H71" s="357"/>
      <c r="I71" s="355"/>
      <c r="J71" s="347"/>
      <c r="K71" s="347"/>
      <c r="L71" s="357"/>
      <c r="M71" s="355"/>
    </row>
    <row r="72" spans="1:14" ht="15.75" x14ac:dyDescent="0.2">
      <c r="A72" s="281" t="s">
        <v>337</v>
      </c>
      <c r="B72" s="348"/>
      <c r="C72" s="348"/>
      <c r="D72" s="357"/>
      <c r="E72" s="382"/>
      <c r="F72" s="348"/>
      <c r="G72" s="348"/>
      <c r="H72" s="357"/>
      <c r="I72" s="355"/>
      <c r="J72" s="347"/>
      <c r="K72" s="347"/>
      <c r="L72" s="357"/>
      <c r="M72" s="355"/>
    </row>
    <row r="73" spans="1:14" x14ac:dyDescent="0.2">
      <c r="A73" s="281" t="s">
        <v>12</v>
      </c>
      <c r="B73" s="378"/>
      <c r="C73" s="379"/>
      <c r="D73" s="357"/>
      <c r="E73" s="382"/>
      <c r="F73" s="348"/>
      <c r="G73" s="348"/>
      <c r="H73" s="357"/>
      <c r="I73" s="355"/>
      <c r="J73" s="347"/>
      <c r="K73" s="347"/>
      <c r="L73" s="357"/>
      <c r="M73" s="355"/>
    </row>
    <row r="74" spans="1:14" s="3" customFormat="1" x14ac:dyDescent="0.2">
      <c r="A74" s="281" t="s">
        <v>13</v>
      </c>
      <c r="B74" s="378"/>
      <c r="C74" s="379"/>
      <c r="D74" s="357"/>
      <c r="E74" s="382"/>
      <c r="F74" s="348"/>
      <c r="G74" s="348"/>
      <c r="H74" s="357"/>
      <c r="I74" s="355"/>
      <c r="J74" s="347"/>
      <c r="K74" s="347"/>
      <c r="L74" s="357"/>
      <c r="M74" s="355"/>
      <c r="N74" s="132"/>
    </row>
    <row r="75" spans="1:14" s="3" customFormat="1" x14ac:dyDescent="0.2">
      <c r="A75" s="21" t="s">
        <v>308</v>
      </c>
      <c r="B75" s="360"/>
      <c r="C75" s="373"/>
      <c r="D75" s="357"/>
      <c r="E75" s="355"/>
      <c r="F75" s="360"/>
      <c r="G75" s="373"/>
      <c r="H75" s="357"/>
      <c r="I75" s="355"/>
      <c r="J75" s="349"/>
      <c r="K75" s="348"/>
      <c r="L75" s="357"/>
      <c r="M75" s="355"/>
      <c r="N75" s="132"/>
    </row>
    <row r="76" spans="1:14" s="3" customFormat="1" x14ac:dyDescent="0.2">
      <c r="A76" s="21" t="s">
        <v>307</v>
      </c>
      <c r="B76" s="360"/>
      <c r="C76" s="373"/>
      <c r="D76" s="357"/>
      <c r="E76" s="355"/>
      <c r="F76" s="360"/>
      <c r="G76" s="373"/>
      <c r="H76" s="357"/>
      <c r="I76" s="355"/>
      <c r="J76" s="349"/>
      <c r="K76" s="348"/>
      <c r="L76" s="357"/>
      <c r="M76" s="355"/>
      <c r="N76" s="132"/>
    </row>
    <row r="77" spans="1:14" ht="15.75" x14ac:dyDescent="0.2">
      <c r="A77" s="21" t="s">
        <v>338</v>
      </c>
      <c r="B77" s="360"/>
      <c r="C77" s="360"/>
      <c r="D77" s="357"/>
      <c r="E77" s="355"/>
      <c r="F77" s="360"/>
      <c r="G77" s="373"/>
      <c r="H77" s="357"/>
      <c r="I77" s="355"/>
      <c r="J77" s="349"/>
      <c r="K77" s="348"/>
      <c r="L77" s="357"/>
      <c r="M77" s="355"/>
    </row>
    <row r="78" spans="1:14" x14ac:dyDescent="0.2">
      <c r="A78" s="21" t="s">
        <v>9</v>
      </c>
      <c r="B78" s="360"/>
      <c r="C78" s="373"/>
      <c r="D78" s="357"/>
      <c r="E78" s="355"/>
      <c r="F78" s="360"/>
      <c r="G78" s="373"/>
      <c r="H78" s="357"/>
      <c r="I78" s="355"/>
      <c r="J78" s="349"/>
      <c r="K78" s="348"/>
      <c r="L78" s="357"/>
      <c r="M78" s="355"/>
    </row>
    <row r="79" spans="1:14" x14ac:dyDescent="0.2">
      <c r="A79" s="38" t="s">
        <v>366</v>
      </c>
      <c r="B79" s="374"/>
      <c r="C79" s="375"/>
      <c r="D79" s="357"/>
      <c r="E79" s="355"/>
      <c r="F79" s="374"/>
      <c r="G79" s="375"/>
      <c r="H79" s="357"/>
      <c r="I79" s="355"/>
      <c r="J79" s="349"/>
      <c r="K79" s="348"/>
      <c r="L79" s="357"/>
      <c r="M79" s="355"/>
    </row>
    <row r="80" spans="1:14" ht="15.75" x14ac:dyDescent="0.2">
      <c r="A80" s="281" t="s">
        <v>336</v>
      </c>
      <c r="B80" s="348"/>
      <c r="C80" s="348"/>
      <c r="D80" s="357"/>
      <c r="E80" s="382"/>
      <c r="F80" s="348"/>
      <c r="G80" s="348"/>
      <c r="H80" s="357"/>
      <c r="I80" s="355"/>
      <c r="J80" s="347"/>
      <c r="K80" s="347"/>
      <c r="L80" s="357"/>
      <c r="M80" s="355"/>
    </row>
    <row r="81" spans="1:13" x14ac:dyDescent="0.2">
      <c r="A81" s="281" t="s">
        <v>12</v>
      </c>
      <c r="B81" s="378"/>
      <c r="C81" s="379"/>
      <c r="D81" s="357"/>
      <c r="E81" s="382"/>
      <c r="F81" s="348"/>
      <c r="G81" s="348"/>
      <c r="H81" s="357"/>
      <c r="I81" s="355"/>
      <c r="J81" s="347"/>
      <c r="K81" s="347"/>
      <c r="L81" s="357"/>
      <c r="M81" s="355"/>
    </row>
    <row r="82" spans="1:13" x14ac:dyDescent="0.2">
      <c r="A82" s="281" t="s">
        <v>13</v>
      </c>
      <c r="B82" s="378"/>
      <c r="C82" s="379"/>
      <c r="D82" s="357"/>
      <c r="E82" s="382"/>
      <c r="F82" s="348"/>
      <c r="G82" s="348"/>
      <c r="H82" s="357"/>
      <c r="I82" s="355"/>
      <c r="J82" s="347"/>
      <c r="K82" s="347"/>
      <c r="L82" s="357"/>
      <c r="M82" s="355"/>
    </row>
    <row r="83" spans="1:13" ht="15.75" x14ac:dyDescent="0.2">
      <c r="A83" s="281" t="s">
        <v>337</v>
      </c>
      <c r="B83" s="348"/>
      <c r="C83" s="348"/>
      <c r="D83" s="357"/>
      <c r="E83" s="382"/>
      <c r="F83" s="348"/>
      <c r="G83" s="348"/>
      <c r="H83" s="357"/>
      <c r="I83" s="355"/>
      <c r="J83" s="347"/>
      <c r="K83" s="347"/>
      <c r="L83" s="357"/>
      <c r="M83" s="355"/>
    </row>
    <row r="84" spans="1:13" x14ac:dyDescent="0.2">
      <c r="A84" s="281" t="s">
        <v>12</v>
      </c>
      <c r="B84" s="378"/>
      <c r="C84" s="379"/>
      <c r="D84" s="357"/>
      <c r="E84" s="382"/>
      <c r="F84" s="348"/>
      <c r="G84" s="348"/>
      <c r="H84" s="357"/>
      <c r="I84" s="355"/>
      <c r="J84" s="347"/>
      <c r="K84" s="347"/>
      <c r="L84" s="357"/>
      <c r="M84" s="355"/>
    </row>
    <row r="85" spans="1:13" x14ac:dyDescent="0.2">
      <c r="A85" s="281" t="s">
        <v>13</v>
      </c>
      <c r="B85" s="378"/>
      <c r="C85" s="379"/>
      <c r="D85" s="357"/>
      <c r="E85" s="382"/>
      <c r="F85" s="348"/>
      <c r="G85" s="348"/>
      <c r="H85" s="357"/>
      <c r="I85" s="355"/>
      <c r="J85" s="347"/>
      <c r="K85" s="347"/>
      <c r="L85" s="357"/>
      <c r="M85" s="355"/>
    </row>
    <row r="86" spans="1:13" ht="15.75" x14ac:dyDescent="0.2">
      <c r="A86" s="21" t="s">
        <v>339</v>
      </c>
      <c r="B86" s="360"/>
      <c r="C86" s="373"/>
      <c r="D86" s="357"/>
      <c r="E86" s="355"/>
      <c r="F86" s="360"/>
      <c r="G86" s="373"/>
      <c r="H86" s="357"/>
      <c r="I86" s="355"/>
      <c r="J86" s="349"/>
      <c r="K86" s="348"/>
      <c r="L86" s="357"/>
      <c r="M86" s="355"/>
    </row>
    <row r="87" spans="1:13" ht="15.75" x14ac:dyDescent="0.2">
      <c r="A87" s="13" t="s">
        <v>321</v>
      </c>
      <c r="B87" s="372"/>
      <c r="C87" s="372"/>
      <c r="D87" s="357"/>
      <c r="E87" s="355"/>
      <c r="F87" s="372"/>
      <c r="G87" s="372"/>
      <c r="H87" s="357"/>
      <c r="I87" s="355"/>
      <c r="J87" s="351"/>
      <c r="K87" s="350"/>
      <c r="L87" s="357"/>
      <c r="M87" s="355"/>
    </row>
    <row r="88" spans="1:13" x14ac:dyDescent="0.2">
      <c r="A88" s="21" t="s">
        <v>9</v>
      </c>
      <c r="B88" s="360"/>
      <c r="C88" s="373"/>
      <c r="D88" s="357"/>
      <c r="E88" s="355"/>
      <c r="F88" s="360"/>
      <c r="G88" s="373"/>
      <c r="H88" s="357"/>
      <c r="I88" s="355"/>
      <c r="J88" s="349"/>
      <c r="K88" s="348"/>
      <c r="L88" s="357"/>
      <c r="M88" s="355"/>
    </row>
    <row r="89" spans="1:13" x14ac:dyDescent="0.2">
      <c r="A89" s="21" t="s">
        <v>10</v>
      </c>
      <c r="B89" s="360"/>
      <c r="C89" s="373"/>
      <c r="D89" s="357"/>
      <c r="E89" s="355"/>
      <c r="F89" s="360"/>
      <c r="G89" s="373"/>
      <c r="H89" s="357"/>
      <c r="I89" s="355"/>
      <c r="J89" s="349"/>
      <c r="K89" s="348"/>
      <c r="L89" s="357"/>
      <c r="M89" s="355"/>
    </row>
    <row r="90" spans="1:13" ht="15.75" x14ac:dyDescent="0.2">
      <c r="A90" s="281" t="s">
        <v>336</v>
      </c>
      <c r="B90" s="348"/>
      <c r="C90" s="348"/>
      <c r="D90" s="357"/>
      <c r="E90" s="382"/>
      <c r="F90" s="348"/>
      <c r="G90" s="348"/>
      <c r="H90" s="357"/>
      <c r="I90" s="355"/>
      <c r="J90" s="347"/>
      <c r="K90" s="347"/>
      <c r="L90" s="357"/>
      <c r="M90" s="355"/>
    </row>
    <row r="91" spans="1:13" x14ac:dyDescent="0.2">
      <c r="A91" s="281" t="s">
        <v>12</v>
      </c>
      <c r="B91" s="378"/>
      <c r="C91" s="379"/>
      <c r="D91" s="357"/>
      <c r="E91" s="382"/>
      <c r="F91" s="348"/>
      <c r="G91" s="348"/>
      <c r="H91" s="357"/>
      <c r="I91" s="355"/>
      <c r="J91" s="347"/>
      <c r="K91" s="347"/>
      <c r="L91" s="357"/>
      <c r="M91" s="355"/>
    </row>
    <row r="92" spans="1:13" x14ac:dyDescent="0.2">
      <c r="A92" s="281" t="s">
        <v>13</v>
      </c>
      <c r="B92" s="378"/>
      <c r="C92" s="379"/>
      <c r="D92" s="357"/>
      <c r="E92" s="382"/>
      <c r="F92" s="348"/>
      <c r="G92" s="348"/>
      <c r="H92" s="357"/>
      <c r="I92" s="355"/>
      <c r="J92" s="347"/>
      <c r="K92" s="347"/>
      <c r="L92" s="357"/>
      <c r="M92" s="355"/>
    </row>
    <row r="93" spans="1:13" ht="15.75" x14ac:dyDescent="0.2">
      <c r="A93" s="281" t="s">
        <v>337</v>
      </c>
      <c r="B93" s="348"/>
      <c r="C93" s="348"/>
      <c r="D93" s="357"/>
      <c r="E93" s="382"/>
      <c r="F93" s="348"/>
      <c r="G93" s="348"/>
      <c r="H93" s="357"/>
      <c r="I93" s="355"/>
      <c r="J93" s="347"/>
      <c r="K93" s="347"/>
      <c r="L93" s="357"/>
      <c r="M93" s="355"/>
    </row>
    <row r="94" spans="1:13" x14ac:dyDescent="0.2">
      <c r="A94" s="281" t="s">
        <v>12</v>
      </c>
      <c r="B94" s="378"/>
      <c r="C94" s="379"/>
      <c r="D94" s="357"/>
      <c r="E94" s="382"/>
      <c r="F94" s="348"/>
      <c r="G94" s="348"/>
      <c r="H94" s="357"/>
      <c r="I94" s="355"/>
      <c r="J94" s="347"/>
      <c r="K94" s="347"/>
      <c r="L94" s="357"/>
      <c r="M94" s="355"/>
    </row>
    <row r="95" spans="1:13" x14ac:dyDescent="0.2">
      <c r="A95" s="281" t="s">
        <v>13</v>
      </c>
      <c r="B95" s="378"/>
      <c r="C95" s="379"/>
      <c r="D95" s="357"/>
      <c r="E95" s="382"/>
      <c r="F95" s="348"/>
      <c r="G95" s="348"/>
      <c r="H95" s="357"/>
      <c r="I95" s="355"/>
      <c r="J95" s="347"/>
      <c r="K95" s="347"/>
      <c r="L95" s="357"/>
      <c r="M95" s="355"/>
    </row>
    <row r="96" spans="1:13" x14ac:dyDescent="0.2">
      <c r="A96" s="21" t="s">
        <v>306</v>
      </c>
      <c r="B96" s="360"/>
      <c r="C96" s="373"/>
      <c r="D96" s="357"/>
      <c r="E96" s="355"/>
      <c r="F96" s="360"/>
      <c r="G96" s="373"/>
      <c r="H96" s="357"/>
      <c r="I96" s="355"/>
      <c r="J96" s="349"/>
      <c r="K96" s="348"/>
      <c r="L96" s="357"/>
      <c r="M96" s="355"/>
    </row>
    <row r="97" spans="1:13" x14ac:dyDescent="0.2">
      <c r="A97" s="21" t="s">
        <v>305</v>
      </c>
      <c r="B97" s="360"/>
      <c r="C97" s="373"/>
      <c r="D97" s="357"/>
      <c r="E97" s="355"/>
      <c r="F97" s="360"/>
      <c r="G97" s="373"/>
      <c r="H97" s="357"/>
      <c r="I97" s="355"/>
      <c r="J97" s="349"/>
      <c r="K97" s="348"/>
      <c r="L97" s="357"/>
      <c r="M97" s="355"/>
    </row>
    <row r="98" spans="1:13" ht="15.75" x14ac:dyDescent="0.2">
      <c r="A98" s="21" t="s">
        <v>338</v>
      </c>
      <c r="B98" s="360"/>
      <c r="C98" s="360"/>
      <c r="D98" s="357"/>
      <c r="E98" s="355"/>
      <c r="F98" s="374"/>
      <c r="G98" s="374"/>
      <c r="H98" s="357"/>
      <c r="I98" s="355"/>
      <c r="J98" s="349"/>
      <c r="K98" s="348"/>
      <c r="L98" s="357"/>
      <c r="M98" s="355"/>
    </row>
    <row r="99" spans="1:13" x14ac:dyDescent="0.2">
      <c r="A99" s="21" t="s">
        <v>9</v>
      </c>
      <c r="B99" s="374"/>
      <c r="C99" s="375"/>
      <c r="D99" s="357"/>
      <c r="E99" s="355"/>
      <c r="F99" s="360"/>
      <c r="G99" s="373"/>
      <c r="H99" s="357"/>
      <c r="I99" s="355"/>
      <c r="J99" s="349"/>
      <c r="K99" s="348"/>
      <c r="L99" s="357"/>
      <c r="M99" s="355"/>
    </row>
    <row r="100" spans="1:13" x14ac:dyDescent="0.2">
      <c r="A100" s="38" t="s">
        <v>366</v>
      </c>
      <c r="B100" s="374"/>
      <c r="C100" s="375"/>
      <c r="D100" s="357"/>
      <c r="E100" s="355"/>
      <c r="F100" s="360"/>
      <c r="G100" s="360"/>
      <c r="H100" s="357"/>
      <c r="I100" s="355"/>
      <c r="J100" s="349"/>
      <c r="K100" s="348"/>
      <c r="L100" s="357"/>
      <c r="M100" s="355"/>
    </row>
    <row r="101" spans="1:13" ht="15.75" x14ac:dyDescent="0.2">
      <c r="A101" s="281" t="s">
        <v>336</v>
      </c>
      <c r="B101" s="348"/>
      <c r="C101" s="348"/>
      <c r="D101" s="357"/>
      <c r="E101" s="382"/>
      <c r="F101" s="348"/>
      <c r="G101" s="348"/>
      <c r="H101" s="357"/>
      <c r="I101" s="355"/>
      <c r="J101" s="347"/>
      <c r="K101" s="347"/>
      <c r="L101" s="357"/>
      <c r="M101" s="355"/>
    </row>
    <row r="102" spans="1:13" x14ac:dyDescent="0.2">
      <c r="A102" s="281" t="s">
        <v>12</v>
      </c>
      <c r="B102" s="378"/>
      <c r="C102" s="379"/>
      <c r="D102" s="357"/>
      <c r="E102" s="382"/>
      <c r="F102" s="348"/>
      <c r="G102" s="348"/>
      <c r="H102" s="357"/>
      <c r="I102" s="355"/>
      <c r="J102" s="347"/>
      <c r="K102" s="347"/>
      <c r="L102" s="357"/>
      <c r="M102" s="355"/>
    </row>
    <row r="103" spans="1:13" x14ac:dyDescent="0.2">
      <c r="A103" s="281" t="s">
        <v>13</v>
      </c>
      <c r="B103" s="378"/>
      <c r="C103" s="379"/>
      <c r="D103" s="357"/>
      <c r="E103" s="382"/>
      <c r="F103" s="348"/>
      <c r="G103" s="348"/>
      <c r="H103" s="357"/>
      <c r="I103" s="355"/>
      <c r="J103" s="347"/>
      <c r="K103" s="347"/>
      <c r="L103" s="357"/>
      <c r="M103" s="355"/>
    </row>
    <row r="104" spans="1:13" ht="15.75" x14ac:dyDescent="0.2">
      <c r="A104" s="281" t="s">
        <v>337</v>
      </c>
      <c r="B104" s="348"/>
      <c r="C104" s="348"/>
      <c r="D104" s="357"/>
      <c r="E104" s="382"/>
      <c r="F104" s="348"/>
      <c r="G104" s="348"/>
      <c r="H104" s="357"/>
      <c r="I104" s="355"/>
      <c r="J104" s="347"/>
      <c r="K104" s="347"/>
      <c r="L104" s="357"/>
      <c r="M104" s="355"/>
    </row>
    <row r="105" spans="1:13" x14ac:dyDescent="0.2">
      <c r="A105" s="281" t="s">
        <v>12</v>
      </c>
      <c r="B105" s="378"/>
      <c r="C105" s="379"/>
      <c r="D105" s="357"/>
      <c r="E105" s="382"/>
      <c r="F105" s="348"/>
      <c r="G105" s="348"/>
      <c r="H105" s="357"/>
      <c r="I105" s="355"/>
      <c r="J105" s="347"/>
      <c r="K105" s="347"/>
      <c r="L105" s="357"/>
      <c r="M105" s="355"/>
    </row>
    <row r="106" spans="1:13" x14ac:dyDescent="0.2">
      <c r="A106" s="281" t="s">
        <v>13</v>
      </c>
      <c r="B106" s="378"/>
      <c r="C106" s="379"/>
      <c r="D106" s="357"/>
      <c r="E106" s="382"/>
      <c r="F106" s="348"/>
      <c r="G106" s="348"/>
      <c r="H106" s="357"/>
      <c r="I106" s="355"/>
      <c r="J106" s="347"/>
      <c r="K106" s="347"/>
      <c r="L106" s="357"/>
      <c r="M106" s="355"/>
    </row>
    <row r="107" spans="1:13" ht="15.75" x14ac:dyDescent="0.2">
      <c r="A107" s="21" t="s">
        <v>339</v>
      </c>
      <c r="B107" s="360"/>
      <c r="C107" s="373"/>
      <c r="D107" s="357"/>
      <c r="E107" s="355"/>
      <c r="F107" s="360"/>
      <c r="G107" s="373"/>
      <c r="H107" s="357"/>
      <c r="I107" s="355"/>
      <c r="J107" s="349"/>
      <c r="K107" s="348"/>
      <c r="L107" s="357"/>
      <c r="M107" s="355"/>
    </row>
    <row r="108" spans="1:13" ht="15.75" x14ac:dyDescent="0.2">
      <c r="A108" s="21" t="s">
        <v>340</v>
      </c>
      <c r="B108" s="360"/>
      <c r="C108" s="360"/>
      <c r="D108" s="357"/>
      <c r="E108" s="355"/>
      <c r="F108" s="360"/>
      <c r="G108" s="360"/>
      <c r="H108" s="357"/>
      <c r="I108" s="355"/>
      <c r="J108" s="349"/>
      <c r="K108" s="348"/>
      <c r="L108" s="357"/>
      <c r="M108" s="355"/>
    </row>
    <row r="109" spans="1:13" ht="15.75" x14ac:dyDescent="0.2">
      <c r="A109" s="38" t="s">
        <v>374</v>
      </c>
      <c r="B109" s="360"/>
      <c r="C109" s="360"/>
      <c r="D109" s="357"/>
      <c r="E109" s="355"/>
      <c r="F109" s="360"/>
      <c r="G109" s="360"/>
      <c r="H109" s="357"/>
      <c r="I109" s="355"/>
      <c r="J109" s="349"/>
      <c r="K109" s="348"/>
      <c r="L109" s="357"/>
      <c r="M109" s="355"/>
    </row>
    <row r="110" spans="1:13" ht="15.75" x14ac:dyDescent="0.2">
      <c r="A110" s="21" t="s">
        <v>341</v>
      </c>
      <c r="B110" s="360"/>
      <c r="C110" s="360"/>
      <c r="D110" s="357"/>
      <c r="E110" s="355"/>
      <c r="F110" s="360"/>
      <c r="G110" s="360"/>
      <c r="H110" s="357"/>
      <c r="I110" s="355"/>
      <c r="J110" s="349"/>
      <c r="K110" s="348"/>
      <c r="L110" s="357"/>
      <c r="M110" s="355"/>
    </row>
    <row r="111" spans="1:13" ht="15.75" x14ac:dyDescent="0.2">
      <c r="A111" s="13" t="s">
        <v>322</v>
      </c>
      <c r="B111" s="356"/>
      <c r="C111" s="380"/>
      <c r="D111" s="357"/>
      <c r="E111" s="355"/>
      <c r="F111" s="356"/>
      <c r="G111" s="380"/>
      <c r="H111" s="357"/>
      <c r="I111" s="355"/>
      <c r="J111" s="351"/>
      <c r="K111" s="350"/>
      <c r="L111" s="357"/>
      <c r="M111" s="355"/>
    </row>
    <row r="112" spans="1:13" x14ac:dyDescent="0.2">
      <c r="A112" s="21" t="s">
        <v>9</v>
      </c>
      <c r="B112" s="360"/>
      <c r="C112" s="373"/>
      <c r="D112" s="357"/>
      <c r="E112" s="355"/>
      <c r="F112" s="360"/>
      <c r="G112" s="373"/>
      <c r="H112" s="357"/>
      <c r="I112" s="355"/>
      <c r="J112" s="349"/>
      <c r="K112" s="348"/>
      <c r="L112" s="357"/>
      <c r="M112" s="355"/>
    </row>
    <row r="113" spans="1:14" x14ac:dyDescent="0.2">
      <c r="A113" s="21" t="s">
        <v>10</v>
      </c>
      <c r="B113" s="360"/>
      <c r="C113" s="373"/>
      <c r="D113" s="357"/>
      <c r="E113" s="355"/>
      <c r="F113" s="360"/>
      <c r="G113" s="373"/>
      <c r="H113" s="357"/>
      <c r="I113" s="355"/>
      <c r="J113" s="349"/>
      <c r="K113" s="348"/>
      <c r="L113" s="357"/>
      <c r="M113" s="355"/>
    </row>
    <row r="114" spans="1:14" x14ac:dyDescent="0.2">
      <c r="A114" s="21" t="s">
        <v>26</v>
      </c>
      <c r="B114" s="360"/>
      <c r="C114" s="373"/>
      <c r="D114" s="357"/>
      <c r="E114" s="355"/>
      <c r="F114" s="360"/>
      <c r="G114" s="373"/>
      <c r="H114" s="357"/>
      <c r="I114" s="355"/>
      <c r="J114" s="349"/>
      <c r="K114" s="348"/>
      <c r="L114" s="357"/>
      <c r="M114" s="355"/>
    </row>
    <row r="115" spans="1:14" x14ac:dyDescent="0.2">
      <c r="A115" s="281" t="s">
        <v>15</v>
      </c>
      <c r="B115" s="348"/>
      <c r="C115" s="348"/>
      <c r="D115" s="357"/>
      <c r="E115" s="382"/>
      <c r="F115" s="348"/>
      <c r="G115" s="348"/>
      <c r="H115" s="357"/>
      <c r="I115" s="355"/>
      <c r="J115" s="347"/>
      <c r="K115" s="347"/>
      <c r="L115" s="357"/>
      <c r="M115" s="355"/>
    </row>
    <row r="116" spans="1:14" ht="15.75" x14ac:dyDescent="0.2">
      <c r="A116" s="21" t="s">
        <v>342</v>
      </c>
      <c r="B116" s="360"/>
      <c r="C116" s="360"/>
      <c r="D116" s="357"/>
      <c r="E116" s="355"/>
      <c r="F116" s="360"/>
      <c r="G116" s="360"/>
      <c r="H116" s="357"/>
      <c r="I116" s="355"/>
      <c r="J116" s="349"/>
      <c r="K116" s="348"/>
      <c r="L116" s="357"/>
      <c r="M116" s="355"/>
    </row>
    <row r="117" spans="1:14" ht="15.75" x14ac:dyDescent="0.2">
      <c r="A117" s="38" t="s">
        <v>374</v>
      </c>
      <c r="B117" s="360"/>
      <c r="C117" s="360"/>
      <c r="D117" s="357"/>
      <c r="E117" s="355"/>
      <c r="F117" s="360"/>
      <c r="G117" s="360"/>
      <c r="H117" s="357"/>
      <c r="I117" s="355"/>
      <c r="J117" s="349"/>
      <c r="K117" s="348"/>
      <c r="L117" s="357"/>
      <c r="M117" s="355"/>
    </row>
    <row r="118" spans="1:14" ht="15.75" x14ac:dyDescent="0.2">
      <c r="A118" s="21" t="s">
        <v>341</v>
      </c>
      <c r="B118" s="360"/>
      <c r="C118" s="360"/>
      <c r="D118" s="357"/>
      <c r="E118" s="355"/>
      <c r="F118" s="360"/>
      <c r="G118" s="360"/>
      <c r="H118" s="357"/>
      <c r="I118" s="355"/>
      <c r="J118" s="349"/>
      <c r="K118" s="348"/>
      <c r="L118" s="357"/>
      <c r="M118" s="355"/>
    </row>
    <row r="119" spans="1:14" ht="15.75" x14ac:dyDescent="0.2">
      <c r="A119" s="13" t="s">
        <v>323</v>
      </c>
      <c r="B119" s="356"/>
      <c r="C119" s="380"/>
      <c r="D119" s="357"/>
      <c r="E119" s="355"/>
      <c r="F119" s="356"/>
      <c r="G119" s="380"/>
      <c r="H119" s="357"/>
      <c r="I119" s="355"/>
      <c r="J119" s="351"/>
      <c r="K119" s="350"/>
      <c r="L119" s="357"/>
      <c r="M119" s="355"/>
    </row>
    <row r="120" spans="1:14" x14ac:dyDescent="0.2">
      <c r="A120" s="21" t="s">
        <v>9</v>
      </c>
      <c r="B120" s="360"/>
      <c r="C120" s="373"/>
      <c r="D120" s="357"/>
      <c r="E120" s="355"/>
      <c r="F120" s="360"/>
      <c r="G120" s="373"/>
      <c r="H120" s="357"/>
      <c r="I120" s="355"/>
      <c r="J120" s="349"/>
      <c r="K120" s="348"/>
      <c r="L120" s="357"/>
      <c r="M120" s="355"/>
    </row>
    <row r="121" spans="1:14" x14ac:dyDescent="0.2">
      <c r="A121" s="21" t="s">
        <v>10</v>
      </c>
      <c r="B121" s="360"/>
      <c r="C121" s="373"/>
      <c r="D121" s="357"/>
      <c r="E121" s="355"/>
      <c r="F121" s="360"/>
      <c r="G121" s="373"/>
      <c r="H121" s="357"/>
      <c r="I121" s="355"/>
      <c r="J121" s="349"/>
      <c r="K121" s="348"/>
      <c r="L121" s="357"/>
      <c r="M121" s="355"/>
    </row>
    <row r="122" spans="1:14" x14ac:dyDescent="0.2">
      <c r="A122" s="21" t="s">
        <v>26</v>
      </c>
      <c r="B122" s="360"/>
      <c r="C122" s="373"/>
      <c r="D122" s="357"/>
      <c r="E122" s="355"/>
      <c r="F122" s="360"/>
      <c r="G122" s="373"/>
      <c r="H122" s="357"/>
      <c r="I122" s="355"/>
      <c r="J122" s="349"/>
      <c r="K122" s="348"/>
      <c r="L122" s="357"/>
      <c r="M122" s="355"/>
    </row>
    <row r="123" spans="1:14" x14ac:dyDescent="0.2">
      <c r="A123" s="281" t="s">
        <v>14</v>
      </c>
      <c r="B123" s="348"/>
      <c r="C123" s="348"/>
      <c r="D123" s="357"/>
      <c r="E123" s="382"/>
      <c r="F123" s="348"/>
      <c r="G123" s="348"/>
      <c r="H123" s="357"/>
      <c r="I123" s="355"/>
      <c r="J123" s="347"/>
      <c r="K123" s="347"/>
      <c r="L123" s="357"/>
      <c r="M123" s="355"/>
    </row>
    <row r="124" spans="1:14" ht="15.75" x14ac:dyDescent="0.2">
      <c r="A124" s="21" t="s">
        <v>347</v>
      </c>
      <c r="B124" s="360"/>
      <c r="C124" s="360"/>
      <c r="D124" s="357"/>
      <c r="E124" s="355"/>
      <c r="F124" s="360"/>
      <c r="G124" s="360"/>
      <c r="H124" s="357"/>
      <c r="I124" s="355"/>
      <c r="J124" s="349"/>
      <c r="K124" s="348"/>
      <c r="L124" s="357"/>
      <c r="M124" s="355"/>
    </row>
    <row r="125" spans="1:14" ht="15.75" x14ac:dyDescent="0.2">
      <c r="A125" s="38" t="s">
        <v>374</v>
      </c>
      <c r="B125" s="360"/>
      <c r="C125" s="360"/>
      <c r="D125" s="357"/>
      <c r="E125" s="355"/>
      <c r="F125" s="360"/>
      <c r="G125" s="360"/>
      <c r="H125" s="357"/>
      <c r="I125" s="355"/>
      <c r="J125" s="349"/>
      <c r="K125" s="348"/>
      <c r="L125" s="357"/>
      <c r="M125" s="355"/>
    </row>
    <row r="126" spans="1:14" ht="15.75" x14ac:dyDescent="0.2">
      <c r="A126" s="10" t="s">
        <v>341</v>
      </c>
      <c r="B126" s="370"/>
      <c r="C126" s="370"/>
      <c r="D126" s="361"/>
      <c r="E126" s="381"/>
      <c r="F126" s="370"/>
      <c r="G126" s="370"/>
      <c r="H126" s="361"/>
      <c r="I126" s="361"/>
      <c r="J126" s="371"/>
      <c r="K126" s="370"/>
      <c r="L126" s="361"/>
      <c r="M126" s="361"/>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341"/>
      <c r="C130" s="341"/>
      <c r="D130" s="341"/>
      <c r="E130" s="342"/>
      <c r="F130" s="341"/>
      <c r="G130" s="341"/>
      <c r="H130" s="341"/>
      <c r="I130" s="342"/>
      <c r="J130" s="341"/>
      <c r="K130" s="341"/>
      <c r="L130" s="341"/>
      <c r="M130" s="342"/>
    </row>
    <row r="131" spans="1:14" s="3" customFormat="1" x14ac:dyDescent="0.2">
      <c r="A131" s="128"/>
      <c r="B131" s="705" t="s">
        <v>0</v>
      </c>
      <c r="C131" s="706"/>
      <c r="D131" s="706"/>
      <c r="E131" s="339"/>
      <c r="F131" s="705" t="s">
        <v>1</v>
      </c>
      <c r="G131" s="706"/>
      <c r="H131" s="706"/>
      <c r="I131" s="340"/>
      <c r="J131" s="705" t="s">
        <v>2</v>
      </c>
      <c r="K131" s="706"/>
      <c r="L131" s="706"/>
      <c r="M131" s="340"/>
      <c r="N131" s="132"/>
    </row>
    <row r="132" spans="1:14" s="3" customFormat="1" x14ac:dyDescent="0.2">
      <c r="A132" s="124"/>
      <c r="B132" s="136" t="s">
        <v>421</v>
      </c>
      <c r="C132" s="136" t="s">
        <v>422</v>
      </c>
      <c r="D132" s="229" t="s">
        <v>3</v>
      </c>
      <c r="E132" s="290" t="s">
        <v>29</v>
      </c>
      <c r="F132" s="136" t="s">
        <v>421</v>
      </c>
      <c r="G132" s="136" t="s">
        <v>422</v>
      </c>
      <c r="H132" s="190" t="s">
        <v>3</v>
      </c>
      <c r="I132" s="290"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350"/>
      <c r="C134" s="351"/>
      <c r="D134" s="354"/>
      <c r="E134" s="355"/>
      <c r="F134" s="345"/>
      <c r="G134" s="346"/>
      <c r="H134" s="383"/>
      <c r="I134" s="355"/>
      <c r="J134" s="363"/>
      <c r="K134" s="363"/>
      <c r="L134" s="354"/>
      <c r="M134" s="355"/>
      <c r="N134" s="132"/>
    </row>
    <row r="135" spans="1:14" s="3" customFormat="1" ht="15.75" x14ac:dyDescent="0.2">
      <c r="A135" s="13" t="s">
        <v>348</v>
      </c>
      <c r="B135" s="350"/>
      <c r="C135" s="351"/>
      <c r="D135" s="357"/>
      <c r="E135" s="355"/>
      <c r="F135" s="350"/>
      <c r="G135" s="351"/>
      <c r="H135" s="384"/>
      <c r="I135" s="355"/>
      <c r="J135" s="356"/>
      <c r="K135" s="356"/>
      <c r="L135" s="357"/>
      <c r="M135" s="355"/>
      <c r="N135" s="132"/>
    </row>
    <row r="136" spans="1:14" s="3" customFormat="1" ht="15.75" x14ac:dyDescent="0.2">
      <c r="A136" s="13" t="s">
        <v>345</v>
      </c>
      <c r="B136" s="350"/>
      <c r="C136" s="351"/>
      <c r="D136" s="357"/>
      <c r="E136" s="355"/>
      <c r="F136" s="350"/>
      <c r="G136" s="351"/>
      <c r="H136" s="384"/>
      <c r="I136" s="355"/>
      <c r="J136" s="356"/>
      <c r="K136" s="356"/>
      <c r="L136" s="357"/>
      <c r="M136" s="355"/>
      <c r="N136" s="132"/>
    </row>
    <row r="137" spans="1:14" s="3" customFormat="1" ht="15.75" x14ac:dyDescent="0.2">
      <c r="A137" s="41" t="s">
        <v>346</v>
      </c>
      <c r="B137" s="352"/>
      <c r="C137" s="353"/>
      <c r="D137" s="361"/>
      <c r="E137" s="381"/>
      <c r="F137" s="352"/>
      <c r="G137" s="353"/>
      <c r="H137" s="385"/>
      <c r="I137" s="381"/>
      <c r="J137" s="362"/>
      <c r="K137" s="362"/>
      <c r="L137" s="361"/>
      <c r="M137" s="361"/>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13">
    <mergeCell ref="B44:D44"/>
    <mergeCell ref="J19:L19"/>
    <mergeCell ref="F19:H19"/>
    <mergeCell ref="B19:D19"/>
    <mergeCell ref="J4:L4"/>
    <mergeCell ref="F4:H4"/>
    <mergeCell ref="B4:D4"/>
    <mergeCell ref="J131:L131"/>
    <mergeCell ref="F131:H131"/>
    <mergeCell ref="B131:D131"/>
    <mergeCell ref="J63:L63"/>
    <mergeCell ref="F63:H63"/>
    <mergeCell ref="B63:D63"/>
  </mergeCells>
  <conditionalFormatting sqref="B50:C52">
    <cfRule type="expression" dxfId="1330" priority="132">
      <formula>kvartal &lt; 4</formula>
    </cfRule>
  </conditionalFormatting>
  <conditionalFormatting sqref="B69">
    <cfRule type="expression" dxfId="1329" priority="100">
      <formula>kvartal &lt; 4</formula>
    </cfRule>
  </conditionalFormatting>
  <conditionalFormatting sqref="C69">
    <cfRule type="expression" dxfId="1328" priority="99">
      <formula>kvartal &lt; 4</formula>
    </cfRule>
  </conditionalFormatting>
  <conditionalFormatting sqref="B72">
    <cfRule type="expression" dxfId="1327" priority="98">
      <formula>kvartal &lt; 4</formula>
    </cfRule>
  </conditionalFormatting>
  <conditionalFormatting sqref="C72">
    <cfRule type="expression" dxfId="1326" priority="97">
      <formula>kvartal &lt; 4</formula>
    </cfRule>
  </conditionalFormatting>
  <conditionalFormatting sqref="B80">
    <cfRule type="expression" dxfId="1325" priority="96">
      <formula>kvartal &lt; 4</formula>
    </cfRule>
  </conditionalFormatting>
  <conditionalFormatting sqref="C80">
    <cfRule type="expression" dxfId="1324" priority="95">
      <formula>kvartal &lt; 4</formula>
    </cfRule>
  </conditionalFormatting>
  <conditionalFormatting sqref="B83">
    <cfRule type="expression" dxfId="1323" priority="94">
      <formula>kvartal &lt; 4</formula>
    </cfRule>
  </conditionalFormatting>
  <conditionalFormatting sqref="C83">
    <cfRule type="expression" dxfId="1322" priority="93">
      <formula>kvartal &lt; 4</formula>
    </cfRule>
  </conditionalFormatting>
  <conditionalFormatting sqref="B90">
    <cfRule type="expression" dxfId="1321" priority="84">
      <formula>kvartal &lt; 4</formula>
    </cfRule>
  </conditionalFormatting>
  <conditionalFormatting sqref="C90">
    <cfRule type="expression" dxfId="1320" priority="83">
      <formula>kvartal &lt; 4</formula>
    </cfRule>
  </conditionalFormatting>
  <conditionalFormatting sqref="B93">
    <cfRule type="expression" dxfId="1319" priority="82">
      <formula>kvartal &lt; 4</formula>
    </cfRule>
  </conditionalFormatting>
  <conditionalFormatting sqref="C93">
    <cfRule type="expression" dxfId="1318" priority="81">
      <formula>kvartal &lt; 4</formula>
    </cfRule>
  </conditionalFormatting>
  <conditionalFormatting sqref="B101">
    <cfRule type="expression" dxfId="1317" priority="80">
      <formula>kvartal &lt; 4</formula>
    </cfRule>
  </conditionalFormatting>
  <conditionalFormatting sqref="C101">
    <cfRule type="expression" dxfId="1316" priority="79">
      <formula>kvartal &lt; 4</formula>
    </cfRule>
  </conditionalFormatting>
  <conditionalFormatting sqref="B104">
    <cfRule type="expression" dxfId="1315" priority="78">
      <formula>kvartal &lt; 4</formula>
    </cfRule>
  </conditionalFormatting>
  <conditionalFormatting sqref="C104">
    <cfRule type="expression" dxfId="1314" priority="77">
      <formula>kvartal &lt; 4</formula>
    </cfRule>
  </conditionalFormatting>
  <conditionalFormatting sqref="B115">
    <cfRule type="expression" dxfId="1313" priority="76">
      <formula>kvartal &lt; 4</formula>
    </cfRule>
  </conditionalFormatting>
  <conditionalFormatting sqref="C115">
    <cfRule type="expression" dxfId="1312" priority="75">
      <formula>kvartal &lt; 4</formula>
    </cfRule>
  </conditionalFormatting>
  <conditionalFormatting sqref="B123">
    <cfRule type="expression" dxfId="1311" priority="74">
      <formula>kvartal &lt; 4</formula>
    </cfRule>
  </conditionalFormatting>
  <conditionalFormatting sqref="C123">
    <cfRule type="expression" dxfId="1310" priority="73">
      <formula>kvartal &lt; 4</formula>
    </cfRule>
  </conditionalFormatting>
  <conditionalFormatting sqref="F70">
    <cfRule type="expression" dxfId="1309" priority="72">
      <formula>kvartal &lt; 4</formula>
    </cfRule>
  </conditionalFormatting>
  <conditionalFormatting sqref="G70">
    <cfRule type="expression" dxfId="1308" priority="71">
      <formula>kvartal &lt; 4</formula>
    </cfRule>
  </conditionalFormatting>
  <conditionalFormatting sqref="F71:G71">
    <cfRule type="expression" dxfId="1307" priority="70">
      <formula>kvartal &lt; 4</formula>
    </cfRule>
  </conditionalFormatting>
  <conditionalFormatting sqref="F73:G74">
    <cfRule type="expression" dxfId="1306" priority="69">
      <formula>kvartal &lt; 4</formula>
    </cfRule>
  </conditionalFormatting>
  <conditionalFormatting sqref="F81:G82">
    <cfRule type="expression" dxfId="1305" priority="68">
      <formula>kvartal &lt; 4</formula>
    </cfRule>
  </conditionalFormatting>
  <conditionalFormatting sqref="F84:G85">
    <cfRule type="expression" dxfId="1304" priority="67">
      <formula>kvartal &lt; 4</formula>
    </cfRule>
  </conditionalFormatting>
  <conditionalFormatting sqref="F91:G92">
    <cfRule type="expression" dxfId="1303" priority="62">
      <formula>kvartal &lt; 4</formula>
    </cfRule>
  </conditionalFormatting>
  <conditionalFormatting sqref="F94:G95">
    <cfRule type="expression" dxfId="1302" priority="61">
      <formula>kvartal &lt; 4</formula>
    </cfRule>
  </conditionalFormatting>
  <conditionalFormatting sqref="F102:G103">
    <cfRule type="expression" dxfId="1301" priority="60">
      <formula>kvartal &lt; 4</formula>
    </cfRule>
  </conditionalFormatting>
  <conditionalFormatting sqref="F105:G106">
    <cfRule type="expression" dxfId="1300" priority="59">
      <formula>kvartal &lt; 4</formula>
    </cfRule>
  </conditionalFormatting>
  <conditionalFormatting sqref="F115">
    <cfRule type="expression" dxfId="1299" priority="58">
      <formula>kvartal &lt; 4</formula>
    </cfRule>
  </conditionalFormatting>
  <conditionalFormatting sqref="G115">
    <cfRule type="expression" dxfId="1298" priority="57">
      <formula>kvartal &lt; 4</formula>
    </cfRule>
  </conditionalFormatting>
  <conditionalFormatting sqref="F123:G123">
    <cfRule type="expression" dxfId="1297" priority="56">
      <formula>kvartal &lt; 4</formula>
    </cfRule>
  </conditionalFormatting>
  <conditionalFormatting sqref="F69:G69">
    <cfRule type="expression" dxfId="1296" priority="55">
      <formula>kvartal &lt; 4</formula>
    </cfRule>
  </conditionalFormatting>
  <conditionalFormatting sqref="F72:G72">
    <cfRule type="expression" dxfId="1295" priority="54">
      <formula>kvartal &lt; 4</formula>
    </cfRule>
  </conditionalFormatting>
  <conditionalFormatting sqref="F80:G80">
    <cfRule type="expression" dxfId="1294" priority="53">
      <formula>kvartal &lt; 4</formula>
    </cfRule>
  </conditionalFormatting>
  <conditionalFormatting sqref="F83:G83">
    <cfRule type="expression" dxfId="1293" priority="52">
      <formula>kvartal &lt; 4</formula>
    </cfRule>
  </conditionalFormatting>
  <conditionalFormatting sqref="F90:G90">
    <cfRule type="expression" dxfId="1292" priority="46">
      <formula>kvartal &lt; 4</formula>
    </cfRule>
  </conditionalFormatting>
  <conditionalFormatting sqref="F93">
    <cfRule type="expression" dxfId="1291" priority="45">
      <formula>kvartal &lt; 4</formula>
    </cfRule>
  </conditionalFormatting>
  <conditionalFormatting sqref="G93">
    <cfRule type="expression" dxfId="1290" priority="44">
      <formula>kvartal &lt; 4</formula>
    </cfRule>
  </conditionalFormatting>
  <conditionalFormatting sqref="F101">
    <cfRule type="expression" dxfId="1289" priority="43">
      <formula>kvartal &lt; 4</formula>
    </cfRule>
  </conditionalFormatting>
  <conditionalFormatting sqref="G101">
    <cfRule type="expression" dxfId="1288" priority="42">
      <formula>kvartal &lt; 4</formula>
    </cfRule>
  </conditionalFormatting>
  <conditionalFormatting sqref="G104">
    <cfRule type="expression" dxfId="1287" priority="41">
      <formula>kvartal &lt; 4</formula>
    </cfRule>
  </conditionalFormatting>
  <conditionalFormatting sqref="F104">
    <cfRule type="expression" dxfId="1286" priority="40">
      <formula>kvartal &lt; 4</formula>
    </cfRule>
  </conditionalFormatting>
  <conditionalFormatting sqref="J69:K73">
    <cfRule type="expression" dxfId="1285" priority="39">
      <formula>kvartal &lt; 4</formula>
    </cfRule>
  </conditionalFormatting>
  <conditionalFormatting sqref="J74:K74">
    <cfRule type="expression" dxfId="1284" priority="38">
      <formula>kvartal &lt; 4</formula>
    </cfRule>
  </conditionalFormatting>
  <conditionalFormatting sqref="J80:K85">
    <cfRule type="expression" dxfId="1283" priority="37">
      <formula>kvartal &lt; 4</formula>
    </cfRule>
  </conditionalFormatting>
  <conditionalFormatting sqref="J90:K95">
    <cfRule type="expression" dxfId="1282" priority="34">
      <formula>kvartal &lt; 4</formula>
    </cfRule>
  </conditionalFormatting>
  <conditionalFormatting sqref="J101:K106">
    <cfRule type="expression" dxfId="1281" priority="33">
      <formula>kvartal &lt; 4</formula>
    </cfRule>
  </conditionalFormatting>
  <conditionalFormatting sqref="J115:K115">
    <cfRule type="expression" dxfId="1280" priority="32">
      <formula>kvartal &lt; 4</formula>
    </cfRule>
  </conditionalFormatting>
  <conditionalFormatting sqref="J123:K123">
    <cfRule type="expression" dxfId="1279" priority="31">
      <formula>kvartal &lt; 4</formula>
    </cfRule>
  </conditionalFormatting>
  <conditionalFormatting sqref="A50:A52">
    <cfRule type="expression" dxfId="1278" priority="12">
      <formula>kvartal &lt; 4</formula>
    </cfRule>
  </conditionalFormatting>
  <conditionalFormatting sqref="A69:A74">
    <cfRule type="expression" dxfId="1277" priority="10">
      <formula>kvartal &lt; 4</formula>
    </cfRule>
  </conditionalFormatting>
  <conditionalFormatting sqref="A80:A85">
    <cfRule type="expression" dxfId="1276" priority="9">
      <formula>kvartal &lt; 4</formula>
    </cfRule>
  </conditionalFormatting>
  <conditionalFormatting sqref="A90:A95">
    <cfRule type="expression" dxfId="1275" priority="6">
      <formula>kvartal &lt; 4</formula>
    </cfRule>
  </conditionalFormatting>
  <conditionalFormatting sqref="A101:A106">
    <cfRule type="expression" dxfId="1274" priority="5">
      <formula>kvartal &lt; 4</formula>
    </cfRule>
  </conditionalFormatting>
  <conditionalFormatting sqref="A115">
    <cfRule type="expression" dxfId="1273" priority="4">
      <formula>kvartal &lt; 4</formula>
    </cfRule>
  </conditionalFormatting>
  <conditionalFormatting sqref="A123">
    <cfRule type="expression" dxfId="1272"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7" x14ac:dyDescent="0.2">
      <c r="A1" s="156" t="s">
        <v>123</v>
      </c>
      <c r="B1" s="646"/>
      <c r="C1" s="233" t="s">
        <v>115</v>
      </c>
      <c r="D1" s="26"/>
      <c r="E1" s="26"/>
      <c r="F1" s="26"/>
      <c r="G1" s="26"/>
      <c r="H1" s="26"/>
      <c r="I1" s="26"/>
      <c r="J1" s="26"/>
      <c r="K1" s="26"/>
      <c r="L1" s="26"/>
      <c r="M1" s="26"/>
    </row>
    <row r="2" spans="1:17" ht="15.75" x14ac:dyDescent="0.25">
      <c r="A2" s="149" t="s">
        <v>28</v>
      </c>
      <c r="B2" s="707"/>
      <c r="C2" s="707"/>
      <c r="D2" s="707"/>
      <c r="E2" s="284"/>
      <c r="F2" s="707"/>
      <c r="G2" s="707"/>
      <c r="H2" s="707"/>
      <c r="I2" s="284"/>
      <c r="J2" s="707"/>
      <c r="K2" s="707"/>
      <c r="L2" s="707"/>
      <c r="M2" s="284"/>
    </row>
    <row r="3" spans="1:17" ht="15.75" x14ac:dyDescent="0.25">
      <c r="A3" s="147"/>
      <c r="B3" s="284"/>
      <c r="C3" s="284"/>
      <c r="D3" s="284"/>
      <c r="E3" s="284"/>
      <c r="F3" s="284"/>
      <c r="G3" s="284"/>
      <c r="H3" s="284"/>
      <c r="I3" s="284"/>
      <c r="J3" s="284"/>
      <c r="K3" s="284"/>
      <c r="L3" s="284"/>
      <c r="M3" s="284"/>
    </row>
    <row r="4" spans="1:17" x14ac:dyDescent="0.2">
      <c r="A4" s="128"/>
      <c r="B4" s="705" t="s">
        <v>0</v>
      </c>
      <c r="C4" s="706"/>
      <c r="D4" s="706"/>
      <c r="E4" s="286"/>
      <c r="F4" s="705" t="s">
        <v>1</v>
      </c>
      <c r="G4" s="706"/>
      <c r="H4" s="706"/>
      <c r="I4" s="289"/>
      <c r="J4" s="705" t="s">
        <v>2</v>
      </c>
      <c r="K4" s="706"/>
      <c r="L4" s="706"/>
      <c r="M4" s="289"/>
    </row>
    <row r="5" spans="1:17"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7" x14ac:dyDescent="0.2">
      <c r="A6" s="681"/>
      <c r="B6" s="140"/>
      <c r="C6" s="140"/>
      <c r="D6" s="231" t="s">
        <v>4</v>
      </c>
      <c r="E6" s="140" t="s">
        <v>30</v>
      </c>
      <c r="F6" s="145"/>
      <c r="G6" s="145"/>
      <c r="H6" s="229" t="s">
        <v>4</v>
      </c>
      <c r="I6" s="140" t="s">
        <v>30</v>
      </c>
      <c r="J6" s="145"/>
      <c r="K6" s="145"/>
      <c r="L6" s="229" t="s">
        <v>4</v>
      </c>
      <c r="M6" s="140" t="s">
        <v>30</v>
      </c>
    </row>
    <row r="7" spans="1:17" ht="15.75" x14ac:dyDescent="0.2">
      <c r="A7" s="14" t="s">
        <v>23</v>
      </c>
      <c r="B7" s="291">
        <v>255090</v>
      </c>
      <c r="C7" s="292">
        <v>281936</v>
      </c>
      <c r="D7" s="334">
        <f>IF(B7=0, "    ---- ", IF(ABS(ROUND(100/B7*C7-100,1))&lt;999,ROUND(100/B7*C7-100,1),IF(ROUND(100/B7*C7-100,1)&gt;999,999,-999)))</f>
        <v>10.5</v>
      </c>
      <c r="E7" s="11">
        <f>IFERROR(100/'Skjema total MA'!C7*C7,0)</f>
        <v>14.713426874623979</v>
      </c>
      <c r="F7" s="291"/>
      <c r="G7" s="292"/>
      <c r="H7" s="334"/>
      <c r="I7" s="144"/>
      <c r="J7" s="293">
        <f t="shared" ref="J7:K10" si="0">SUM(B7,F7)</f>
        <v>255090</v>
      </c>
      <c r="K7" s="294">
        <f t="shared" si="0"/>
        <v>281936</v>
      </c>
      <c r="L7" s="404">
        <f>IF(J7=0, "    ---- ", IF(ABS(ROUND(100/J7*K7-100,1))&lt;999,ROUND(100/J7*K7-100,1),IF(ROUND(100/J7*K7-100,1)&gt;999,999,-999)))</f>
        <v>10.5</v>
      </c>
      <c r="M7" s="11">
        <f>IFERROR(100/'Skjema total MA'!I7*K7,0)</f>
        <v>4.8364303048885739</v>
      </c>
    </row>
    <row r="8" spans="1:17" ht="15.75" x14ac:dyDescent="0.2">
      <c r="A8" s="21" t="s">
        <v>25</v>
      </c>
      <c r="B8" s="266">
        <v>223121</v>
      </c>
      <c r="C8" s="267">
        <v>249553</v>
      </c>
      <c r="D8" s="150">
        <f t="shared" ref="D8:D10" si="1">IF(B8=0, "    ---- ", IF(ABS(ROUND(100/B8*C8-100,1))&lt;999,ROUND(100/B8*C8-100,1),IF(ROUND(100/B8*C8-100,1)&gt;999,999,-999)))</f>
        <v>11.8</v>
      </c>
      <c r="E8" s="27">
        <f>IFERROR(100/'Skjema total MA'!C8*C8,0)</f>
        <v>19.288652428387977</v>
      </c>
      <c r="F8" s="270"/>
      <c r="G8" s="271"/>
      <c r="H8" s="150"/>
      <c r="I8" s="160"/>
      <c r="J8" s="217">
        <f t="shared" si="0"/>
        <v>223121</v>
      </c>
      <c r="K8" s="272">
        <f t="shared" si="0"/>
        <v>249553</v>
      </c>
      <c r="L8" s="150">
        <f t="shared" ref="L8:L9" si="2">IF(J8=0, "    ---- ", IF(ABS(ROUND(100/J8*K8-100,1))&lt;999,ROUND(100/J8*K8-100,1),IF(ROUND(100/J8*K8-100,1)&gt;999,999,-999)))</f>
        <v>11.8</v>
      </c>
      <c r="M8" s="27">
        <f>IFERROR(100/'Skjema total MA'!I8*K8,0)</f>
        <v>19.288652428387977</v>
      </c>
    </row>
    <row r="9" spans="1:17" ht="15.75" x14ac:dyDescent="0.2">
      <c r="A9" s="21" t="s">
        <v>24</v>
      </c>
      <c r="B9" s="266">
        <v>31969</v>
      </c>
      <c r="C9" s="267">
        <v>32383</v>
      </c>
      <c r="D9" s="150">
        <f t="shared" si="1"/>
        <v>1.3</v>
      </c>
      <c r="E9" s="27">
        <f>IFERROR(100/'Skjema total MA'!C9*C9,0)</f>
        <v>7.5723580908849746</v>
      </c>
      <c r="F9" s="270"/>
      <c r="G9" s="271"/>
      <c r="H9" s="150"/>
      <c r="I9" s="160"/>
      <c r="J9" s="217">
        <f t="shared" si="0"/>
        <v>31969</v>
      </c>
      <c r="K9" s="272">
        <f t="shared" si="0"/>
        <v>32383</v>
      </c>
      <c r="L9" s="150">
        <f t="shared" si="2"/>
        <v>1.3</v>
      </c>
      <c r="M9" s="27">
        <f>IFERROR(100/'Skjema total MA'!I9*K9,0)</f>
        <v>7.5723580908849746</v>
      </c>
    </row>
    <row r="10" spans="1:17" ht="15.75" x14ac:dyDescent="0.2">
      <c r="A10" s="13" t="s">
        <v>321</v>
      </c>
      <c r="B10" s="295">
        <v>259275</v>
      </c>
      <c r="C10" s="296">
        <v>299188</v>
      </c>
      <c r="D10" s="155">
        <f t="shared" si="1"/>
        <v>15.4</v>
      </c>
      <c r="E10" s="11">
        <f>IFERROR(100/'Skjema total MA'!C10*C10,0)</f>
        <v>2.2113437070300357</v>
      </c>
      <c r="F10" s="295"/>
      <c r="G10" s="296"/>
      <c r="H10" s="155"/>
      <c r="I10" s="144"/>
      <c r="J10" s="293">
        <f t="shared" si="0"/>
        <v>259275</v>
      </c>
      <c r="K10" s="294">
        <f t="shared" si="0"/>
        <v>299188</v>
      </c>
      <c r="L10" s="405">
        <f t="shared" ref="L10" si="3">IF(J10=0, "    ---- ", IF(ABS(ROUND(100/J10*K10-100,1))&lt;999,ROUND(100/J10*K10-100,1),IF(ROUND(100/J10*K10-100,1)&gt;999,999,-999)))</f>
        <v>15.4</v>
      </c>
      <c r="M10" s="11">
        <f>IFERROR(100/'Skjema total MA'!I10*K10,0)</f>
        <v>0.28822424366772642</v>
      </c>
    </row>
    <row r="11" spans="1:17" s="43" customFormat="1" ht="15.75" x14ac:dyDescent="0.2">
      <c r="A11" s="13" t="s">
        <v>322</v>
      </c>
      <c r="B11" s="295"/>
      <c r="C11" s="296"/>
      <c r="D11" s="155"/>
      <c r="E11" s="11"/>
      <c r="F11" s="295"/>
      <c r="G11" s="296"/>
      <c r="H11" s="155"/>
      <c r="I11" s="144"/>
      <c r="J11" s="293"/>
      <c r="K11" s="294"/>
      <c r="L11" s="405"/>
      <c r="M11" s="11"/>
      <c r="N11" s="127"/>
      <c r="Q11" s="127"/>
    </row>
    <row r="12" spans="1:17" s="43" customFormat="1" ht="15.75" x14ac:dyDescent="0.2">
      <c r="A12" s="41" t="s">
        <v>323</v>
      </c>
      <c r="B12" s="297"/>
      <c r="C12" s="298"/>
      <c r="D12" s="153"/>
      <c r="E12" s="36"/>
      <c r="F12" s="297"/>
      <c r="G12" s="298"/>
      <c r="H12" s="153"/>
      <c r="I12" s="153"/>
      <c r="J12" s="299"/>
      <c r="K12" s="300"/>
      <c r="L12" s="406"/>
      <c r="M12" s="36"/>
      <c r="N12" s="127"/>
    </row>
    <row r="13" spans="1:17" s="43" customFormat="1" x14ac:dyDescent="0.2">
      <c r="A13" s="152"/>
      <c r="B13" s="129"/>
      <c r="C13" s="33"/>
      <c r="D13" s="143"/>
      <c r="E13" s="143"/>
      <c r="F13" s="129"/>
      <c r="G13" s="33"/>
      <c r="H13" s="143"/>
      <c r="I13" s="143"/>
      <c r="J13" s="48"/>
      <c r="K13" s="48"/>
      <c r="L13" s="143"/>
      <c r="M13" s="143"/>
      <c r="N13" s="127"/>
    </row>
    <row r="14" spans="1:17" x14ac:dyDescent="0.2">
      <c r="A14" s="137" t="s">
        <v>245</v>
      </c>
      <c r="B14" s="26"/>
    </row>
    <row r="15" spans="1:17" x14ac:dyDescent="0.2">
      <c r="F15" s="130"/>
      <c r="G15" s="130"/>
      <c r="H15" s="130"/>
      <c r="I15" s="130"/>
      <c r="J15" s="130"/>
      <c r="K15" s="130"/>
      <c r="L15" s="130"/>
      <c r="M15" s="130"/>
    </row>
    <row r="16" spans="1:17"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270871</v>
      </c>
      <c r="C22" s="295">
        <v>315210</v>
      </c>
      <c r="D22" s="334">
        <f t="shared" ref="D22:D30" si="4">IF(B22=0, "    ---- ", IF(ABS(ROUND(100/B22*C22-100,1))&lt;999,ROUND(100/B22*C22-100,1),IF(ROUND(100/B22*C22-100,1)&gt;999,999,-999)))</f>
        <v>16.399999999999999</v>
      </c>
      <c r="E22" s="11">
        <f>IFERROR(100/'Skjema total MA'!C22*C22,0)</f>
        <v>35.663942948157484</v>
      </c>
      <c r="F22" s="303"/>
      <c r="G22" s="303"/>
      <c r="H22" s="334"/>
      <c r="I22" s="11"/>
      <c r="J22" s="301">
        <f t="shared" ref="J22:K29" si="5">SUM(B22,F22)</f>
        <v>270871</v>
      </c>
      <c r="K22" s="301">
        <f t="shared" si="5"/>
        <v>315210</v>
      </c>
      <c r="L22" s="404">
        <f t="shared" ref="L22:L30" si="6">IF(J22=0, "    ---- ", IF(ABS(ROUND(100/J22*K22-100,1))&lt;999,ROUND(100/J22*K22-100,1),IF(ROUND(100/J22*K22-100,1)&gt;999,999,-999)))</f>
        <v>16.399999999999999</v>
      </c>
      <c r="M22" s="24">
        <f>IFERROR(100/'Skjema total MA'!I22*K22,0)</f>
        <v>27.69723868256003</v>
      </c>
    </row>
    <row r="23" spans="1:14" ht="15.75" x14ac:dyDescent="0.2">
      <c r="A23" s="454" t="s">
        <v>324</v>
      </c>
      <c r="B23" s="266">
        <v>270871</v>
      </c>
      <c r="C23" s="266">
        <v>315210</v>
      </c>
      <c r="D23" s="150">
        <f t="shared" si="4"/>
        <v>16.399999999999999</v>
      </c>
      <c r="E23" s="11">
        <f>IFERROR(100/'Skjema total MA'!C23*C23,0)</f>
        <v>49.597117924340239</v>
      </c>
      <c r="F23" s="275"/>
      <c r="G23" s="275"/>
      <c r="H23" s="150"/>
      <c r="I23" s="394"/>
      <c r="J23" s="275">
        <f t="shared" ref="J23" si="7">SUM(B23,F23)</f>
        <v>270871</v>
      </c>
      <c r="K23" s="275">
        <f t="shared" ref="K23" si="8">SUM(C23,G23)</f>
        <v>315210</v>
      </c>
      <c r="L23" s="150">
        <f t="shared" si="6"/>
        <v>16.399999999999999</v>
      </c>
      <c r="M23" s="23">
        <f>IFERROR(100/'Skjema total MA'!I23*K23,0)</f>
        <v>48.239400365275309</v>
      </c>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v>270871</v>
      </c>
      <c r="C28" s="272">
        <v>315210</v>
      </c>
      <c r="D28" s="150">
        <f t="shared" si="4"/>
        <v>16.399999999999999</v>
      </c>
      <c r="E28" s="11">
        <f>IFERROR(100/'Skjema total MA'!C28*C28,0)</f>
        <v>29.86580563547292</v>
      </c>
      <c r="F28" s="217"/>
      <c r="G28" s="272"/>
      <c r="H28" s="150"/>
      <c r="I28" s="27"/>
      <c r="J28" s="44">
        <f t="shared" si="5"/>
        <v>270871</v>
      </c>
      <c r="K28" s="44">
        <f t="shared" si="5"/>
        <v>315210</v>
      </c>
      <c r="L28" s="242">
        <f t="shared" si="6"/>
        <v>16.399999999999999</v>
      </c>
      <c r="M28" s="23">
        <f>IFERROR(100/'Skjema total MA'!I28*K28,0)</f>
        <v>29.86580563547292</v>
      </c>
    </row>
    <row r="29" spans="1:14" s="3" customFormat="1" ht="15.75" x14ac:dyDescent="0.2">
      <c r="A29" s="13" t="s">
        <v>321</v>
      </c>
      <c r="B29" s="219">
        <v>1475329</v>
      </c>
      <c r="C29" s="219">
        <v>1789127</v>
      </c>
      <c r="D29" s="155">
        <f t="shared" si="4"/>
        <v>21.3</v>
      </c>
      <c r="E29" s="11">
        <f>IFERROR(100/'Skjema total MA'!C29*C29,0)</f>
        <v>4.0644771474949959</v>
      </c>
      <c r="F29" s="293"/>
      <c r="G29" s="293"/>
      <c r="H29" s="155"/>
      <c r="I29" s="11"/>
      <c r="J29" s="219">
        <f t="shared" si="5"/>
        <v>1475329</v>
      </c>
      <c r="K29" s="219">
        <f t="shared" si="5"/>
        <v>1789127</v>
      </c>
      <c r="L29" s="405">
        <f t="shared" si="6"/>
        <v>21.3</v>
      </c>
      <c r="M29" s="24">
        <f>IFERROR(100/'Skjema total MA'!I29*K29,0)</f>
        <v>2.4807791987899419</v>
      </c>
      <c r="N29" s="132"/>
    </row>
    <row r="30" spans="1:14" s="3" customFormat="1" ht="15.75" x14ac:dyDescent="0.2">
      <c r="A30" s="454" t="s">
        <v>324</v>
      </c>
      <c r="B30" s="266">
        <v>1475329</v>
      </c>
      <c r="C30" s="266">
        <v>1789127</v>
      </c>
      <c r="D30" s="150">
        <f t="shared" si="4"/>
        <v>21.3</v>
      </c>
      <c r="E30" s="11">
        <f>IFERROR(100/'Skjema total MA'!C30*C30,0)</f>
        <v>10.006224000949627</v>
      </c>
      <c r="F30" s="275"/>
      <c r="G30" s="275"/>
      <c r="H30" s="150"/>
      <c r="I30" s="394"/>
      <c r="J30" s="275">
        <f t="shared" ref="J30" si="9">SUM(B30,F30)</f>
        <v>1475329</v>
      </c>
      <c r="K30" s="275">
        <f t="shared" ref="K30" si="10">SUM(C30,G30)</f>
        <v>1789127</v>
      </c>
      <c r="L30" s="150">
        <f t="shared" si="6"/>
        <v>21.3</v>
      </c>
      <c r="M30" s="23">
        <f>IFERROR(100/'Skjema total MA'!I30*K30,0)</f>
        <v>8.2616554658145489</v>
      </c>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35778</v>
      </c>
      <c r="C47" s="296">
        <v>36022</v>
      </c>
      <c r="D47" s="404">
        <f t="shared" ref="D47:D48" si="11">IF(B47=0, "    ---- ", IF(ABS(ROUND(100/B47*C47-100,1))&lt;999,ROUND(100/B47*C47-100,1),IF(ROUND(100/B47*C47-100,1)&gt;999,999,-999)))</f>
        <v>0.7</v>
      </c>
      <c r="E47" s="11">
        <f>IFERROR(100/'Skjema total MA'!C47*C47,0)</f>
        <v>0.87465408066576633</v>
      </c>
      <c r="F47" s="129"/>
      <c r="G47" s="33"/>
      <c r="H47" s="143"/>
      <c r="I47" s="143"/>
      <c r="J47" s="37"/>
      <c r="K47" s="37"/>
      <c r="L47" s="143"/>
      <c r="M47" s="143"/>
      <c r="N47" s="132"/>
    </row>
    <row r="48" spans="1:14" s="3" customFormat="1" ht="15.75" x14ac:dyDescent="0.2">
      <c r="A48" s="38" t="s">
        <v>332</v>
      </c>
      <c r="B48" s="266">
        <v>35778</v>
      </c>
      <c r="C48" s="267">
        <v>36022</v>
      </c>
      <c r="D48" s="242">
        <f t="shared" si="11"/>
        <v>0.7</v>
      </c>
      <c r="E48" s="27">
        <f>IFERROR(100/'Skjema total MA'!C48*C48,0)</f>
        <v>1.6368657354370673</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71" priority="132">
      <formula>kvartal &lt; 4</formula>
    </cfRule>
  </conditionalFormatting>
  <conditionalFormatting sqref="B69">
    <cfRule type="expression" dxfId="1270" priority="100">
      <formula>kvartal &lt; 4</formula>
    </cfRule>
  </conditionalFormatting>
  <conditionalFormatting sqref="C69">
    <cfRule type="expression" dxfId="1269" priority="99">
      <formula>kvartal &lt; 4</formula>
    </cfRule>
  </conditionalFormatting>
  <conditionalFormatting sqref="B72">
    <cfRule type="expression" dxfId="1268" priority="98">
      <formula>kvartal &lt; 4</formula>
    </cfRule>
  </conditionalFormatting>
  <conditionalFormatting sqref="C72">
    <cfRule type="expression" dxfId="1267" priority="97">
      <formula>kvartal &lt; 4</formula>
    </cfRule>
  </conditionalFormatting>
  <conditionalFormatting sqref="B80">
    <cfRule type="expression" dxfId="1266" priority="96">
      <formula>kvartal &lt; 4</formula>
    </cfRule>
  </conditionalFormatting>
  <conditionalFormatting sqref="C80">
    <cfRule type="expression" dxfId="1265" priority="95">
      <formula>kvartal &lt; 4</formula>
    </cfRule>
  </conditionalFormatting>
  <conditionalFormatting sqref="B83">
    <cfRule type="expression" dxfId="1264" priority="94">
      <formula>kvartal &lt; 4</formula>
    </cfRule>
  </conditionalFormatting>
  <conditionalFormatting sqref="C83">
    <cfRule type="expression" dxfId="1263" priority="93">
      <formula>kvartal &lt; 4</formula>
    </cfRule>
  </conditionalFormatting>
  <conditionalFormatting sqref="B90">
    <cfRule type="expression" dxfId="1262" priority="84">
      <formula>kvartal &lt; 4</formula>
    </cfRule>
  </conditionalFormatting>
  <conditionalFormatting sqref="C90">
    <cfRule type="expression" dxfId="1261" priority="83">
      <formula>kvartal &lt; 4</formula>
    </cfRule>
  </conditionalFormatting>
  <conditionalFormatting sqref="B93">
    <cfRule type="expression" dxfId="1260" priority="82">
      <formula>kvartal &lt; 4</formula>
    </cfRule>
  </conditionalFormatting>
  <conditionalFormatting sqref="C93">
    <cfRule type="expression" dxfId="1259" priority="81">
      <formula>kvartal &lt; 4</formula>
    </cfRule>
  </conditionalFormatting>
  <conditionalFormatting sqref="B101">
    <cfRule type="expression" dxfId="1258" priority="80">
      <formula>kvartal &lt; 4</formula>
    </cfRule>
  </conditionalFormatting>
  <conditionalFormatting sqref="C101">
    <cfRule type="expression" dxfId="1257" priority="79">
      <formula>kvartal &lt; 4</formula>
    </cfRule>
  </conditionalFormatting>
  <conditionalFormatting sqref="B104">
    <cfRule type="expression" dxfId="1256" priority="78">
      <formula>kvartal &lt; 4</formula>
    </cfRule>
  </conditionalFormatting>
  <conditionalFormatting sqref="C104">
    <cfRule type="expression" dxfId="1255" priority="77">
      <formula>kvartal &lt; 4</formula>
    </cfRule>
  </conditionalFormatting>
  <conditionalFormatting sqref="B115">
    <cfRule type="expression" dxfId="1254" priority="76">
      <formula>kvartal &lt; 4</formula>
    </cfRule>
  </conditionalFormatting>
  <conditionalFormatting sqref="C115">
    <cfRule type="expression" dxfId="1253" priority="75">
      <formula>kvartal &lt; 4</formula>
    </cfRule>
  </conditionalFormatting>
  <conditionalFormatting sqref="B123">
    <cfRule type="expression" dxfId="1252" priority="74">
      <formula>kvartal &lt; 4</formula>
    </cfRule>
  </conditionalFormatting>
  <conditionalFormatting sqref="C123">
    <cfRule type="expression" dxfId="1251" priority="73">
      <formula>kvartal &lt; 4</formula>
    </cfRule>
  </conditionalFormatting>
  <conditionalFormatting sqref="F70">
    <cfRule type="expression" dxfId="1250" priority="72">
      <formula>kvartal &lt; 4</formula>
    </cfRule>
  </conditionalFormatting>
  <conditionalFormatting sqref="G70">
    <cfRule type="expression" dxfId="1249" priority="71">
      <formula>kvartal &lt; 4</formula>
    </cfRule>
  </conditionalFormatting>
  <conditionalFormatting sqref="F71:G71">
    <cfRule type="expression" dxfId="1248" priority="70">
      <formula>kvartal &lt; 4</formula>
    </cfRule>
  </conditionalFormatting>
  <conditionalFormatting sqref="F73:G74">
    <cfRule type="expression" dxfId="1247" priority="69">
      <formula>kvartal &lt; 4</formula>
    </cfRule>
  </conditionalFormatting>
  <conditionalFormatting sqref="F81:G82">
    <cfRule type="expression" dxfId="1246" priority="68">
      <formula>kvartal &lt; 4</formula>
    </cfRule>
  </conditionalFormatting>
  <conditionalFormatting sqref="F84:G85">
    <cfRule type="expression" dxfId="1245" priority="67">
      <formula>kvartal &lt; 4</formula>
    </cfRule>
  </conditionalFormatting>
  <conditionalFormatting sqref="F91:G92">
    <cfRule type="expression" dxfId="1244" priority="62">
      <formula>kvartal &lt; 4</formula>
    </cfRule>
  </conditionalFormatting>
  <conditionalFormatting sqref="F94:G95">
    <cfRule type="expression" dxfId="1243" priority="61">
      <formula>kvartal &lt; 4</formula>
    </cfRule>
  </conditionalFormatting>
  <conditionalFormatting sqref="F102:G103">
    <cfRule type="expression" dxfId="1242" priority="60">
      <formula>kvartal &lt; 4</formula>
    </cfRule>
  </conditionalFormatting>
  <conditionalFormatting sqref="F105:G106">
    <cfRule type="expression" dxfId="1241" priority="59">
      <formula>kvartal &lt; 4</formula>
    </cfRule>
  </conditionalFormatting>
  <conditionalFormatting sqref="F115">
    <cfRule type="expression" dxfId="1240" priority="58">
      <formula>kvartal &lt; 4</formula>
    </cfRule>
  </conditionalFormatting>
  <conditionalFormatting sqref="G115">
    <cfRule type="expression" dxfId="1239" priority="57">
      <formula>kvartal &lt; 4</formula>
    </cfRule>
  </conditionalFormatting>
  <conditionalFormatting sqref="F123:G123">
    <cfRule type="expression" dxfId="1238" priority="56">
      <formula>kvartal &lt; 4</formula>
    </cfRule>
  </conditionalFormatting>
  <conditionalFormatting sqref="F69:G69">
    <cfRule type="expression" dxfId="1237" priority="55">
      <formula>kvartal &lt; 4</formula>
    </cfRule>
  </conditionalFormatting>
  <conditionalFormatting sqref="F72:G72">
    <cfRule type="expression" dxfId="1236" priority="54">
      <formula>kvartal &lt; 4</formula>
    </cfRule>
  </conditionalFormatting>
  <conditionalFormatting sqref="F80:G80">
    <cfRule type="expression" dxfId="1235" priority="53">
      <formula>kvartal &lt; 4</formula>
    </cfRule>
  </conditionalFormatting>
  <conditionalFormatting sqref="F83:G83">
    <cfRule type="expression" dxfId="1234" priority="52">
      <formula>kvartal &lt; 4</formula>
    </cfRule>
  </conditionalFormatting>
  <conditionalFormatting sqref="F90:G90">
    <cfRule type="expression" dxfId="1233" priority="46">
      <formula>kvartal &lt; 4</formula>
    </cfRule>
  </conditionalFormatting>
  <conditionalFormatting sqref="F93">
    <cfRule type="expression" dxfId="1232" priority="45">
      <formula>kvartal &lt; 4</formula>
    </cfRule>
  </conditionalFormatting>
  <conditionalFormatting sqref="G93">
    <cfRule type="expression" dxfId="1231" priority="44">
      <formula>kvartal &lt; 4</formula>
    </cfRule>
  </conditionalFormatting>
  <conditionalFormatting sqref="F101">
    <cfRule type="expression" dxfId="1230" priority="43">
      <formula>kvartal &lt; 4</formula>
    </cfRule>
  </conditionalFormatting>
  <conditionalFormatting sqref="G101">
    <cfRule type="expression" dxfId="1229" priority="42">
      <formula>kvartal &lt; 4</formula>
    </cfRule>
  </conditionalFormatting>
  <conditionalFormatting sqref="G104">
    <cfRule type="expression" dxfId="1228" priority="41">
      <formula>kvartal &lt; 4</formula>
    </cfRule>
  </conditionalFormatting>
  <conditionalFormatting sqref="F104">
    <cfRule type="expression" dxfId="1227" priority="40">
      <formula>kvartal &lt; 4</formula>
    </cfRule>
  </conditionalFormatting>
  <conditionalFormatting sqref="J69:K73">
    <cfRule type="expression" dxfId="1226" priority="39">
      <formula>kvartal &lt; 4</formula>
    </cfRule>
  </conditionalFormatting>
  <conditionalFormatting sqref="J74:K74">
    <cfRule type="expression" dxfId="1225" priority="38">
      <formula>kvartal &lt; 4</formula>
    </cfRule>
  </conditionalFormatting>
  <conditionalFormatting sqref="J80:K85">
    <cfRule type="expression" dxfId="1224" priority="37">
      <formula>kvartal &lt; 4</formula>
    </cfRule>
  </conditionalFormatting>
  <conditionalFormatting sqref="J90:K95">
    <cfRule type="expression" dxfId="1223" priority="34">
      <formula>kvartal &lt; 4</formula>
    </cfRule>
  </conditionalFormatting>
  <conditionalFormatting sqref="J101:K106">
    <cfRule type="expression" dxfId="1222" priority="33">
      <formula>kvartal &lt; 4</formula>
    </cfRule>
  </conditionalFormatting>
  <conditionalFormatting sqref="J115:K115">
    <cfRule type="expression" dxfId="1221" priority="32">
      <formula>kvartal &lt; 4</formula>
    </cfRule>
  </conditionalFormatting>
  <conditionalFormatting sqref="J123:K123">
    <cfRule type="expression" dxfId="1220" priority="31">
      <formula>kvartal &lt; 4</formula>
    </cfRule>
  </conditionalFormatting>
  <conditionalFormatting sqref="A50:A52">
    <cfRule type="expression" dxfId="1219" priority="12">
      <formula>kvartal &lt; 4</formula>
    </cfRule>
  </conditionalFormatting>
  <conditionalFormatting sqref="A69:A74">
    <cfRule type="expression" dxfId="1218" priority="10">
      <formula>kvartal &lt; 4</formula>
    </cfRule>
  </conditionalFormatting>
  <conditionalFormatting sqref="A80:A85">
    <cfRule type="expression" dxfId="1217" priority="9">
      <formula>kvartal &lt; 4</formula>
    </cfRule>
  </conditionalFormatting>
  <conditionalFormatting sqref="A90:A95">
    <cfRule type="expression" dxfId="1216" priority="6">
      <formula>kvartal &lt; 4</formula>
    </cfRule>
  </conditionalFormatting>
  <conditionalFormatting sqref="A101:A106">
    <cfRule type="expression" dxfId="1215" priority="5">
      <formula>kvartal &lt; 4</formula>
    </cfRule>
  </conditionalFormatting>
  <conditionalFormatting sqref="A115">
    <cfRule type="expression" dxfId="1214" priority="4">
      <formula>kvartal &lt; 4</formula>
    </cfRule>
  </conditionalFormatting>
  <conditionalFormatting sqref="A123">
    <cfRule type="expression" dxfId="1213" priority="3">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116</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4"/>
      <c r="M7" s="11"/>
    </row>
    <row r="8" spans="1:14" ht="15.75" x14ac:dyDescent="0.2">
      <c r="A8" s="21" t="s">
        <v>25</v>
      </c>
      <c r="B8" s="266"/>
      <c r="C8" s="267"/>
      <c r="D8" s="150"/>
      <c r="E8" s="27"/>
      <c r="F8" s="270"/>
      <c r="G8" s="271"/>
      <c r="H8" s="150"/>
      <c r="I8" s="160"/>
      <c r="J8" s="217"/>
      <c r="K8" s="272"/>
      <c r="L8" s="150"/>
      <c r="M8" s="27"/>
    </row>
    <row r="9" spans="1:14" ht="15.75" x14ac:dyDescent="0.2">
      <c r="A9" s="21" t="s">
        <v>24</v>
      </c>
      <c r="B9" s="266"/>
      <c r="C9" s="267"/>
      <c r="D9" s="150"/>
      <c r="E9" s="27"/>
      <c r="F9" s="270"/>
      <c r="G9" s="271"/>
      <c r="H9" s="150"/>
      <c r="I9" s="160"/>
      <c r="J9" s="217"/>
      <c r="K9" s="272"/>
      <c r="L9" s="150"/>
      <c r="M9" s="27"/>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6113.049</v>
      </c>
      <c r="C47" s="296">
        <v>6049.5889999999999</v>
      </c>
      <c r="D47" s="404">
        <f t="shared" ref="D47:D48" si="0">IF(B47=0, "    ---- ", IF(ABS(ROUND(100/B47*C47-100,1))&lt;999,ROUND(100/B47*C47-100,1),IF(ROUND(100/B47*C47-100,1)&gt;999,999,-999)))</f>
        <v>-1</v>
      </c>
      <c r="E47" s="11">
        <f>IFERROR(100/'Skjema total MA'!C47*C47,0)</f>
        <v>0.14689072525680785</v>
      </c>
      <c r="F47" s="129"/>
      <c r="G47" s="33"/>
      <c r="H47" s="143"/>
      <c r="I47" s="143"/>
      <c r="J47" s="37"/>
      <c r="K47" s="37"/>
      <c r="L47" s="143"/>
      <c r="M47" s="143"/>
      <c r="N47" s="132"/>
    </row>
    <row r="48" spans="1:14" s="3" customFormat="1" ht="15.75" x14ac:dyDescent="0.2">
      <c r="A48" s="38" t="s">
        <v>332</v>
      </c>
      <c r="B48" s="266">
        <v>6113.049</v>
      </c>
      <c r="C48" s="267">
        <v>6049.5889999999999</v>
      </c>
      <c r="D48" s="242">
        <f t="shared" si="0"/>
        <v>-1</v>
      </c>
      <c r="E48" s="27">
        <f>IFERROR(100/'Skjema total MA'!C48*C48,0)</f>
        <v>0.27489769994939184</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12" priority="132">
      <formula>kvartal &lt; 4</formula>
    </cfRule>
  </conditionalFormatting>
  <conditionalFormatting sqref="B69">
    <cfRule type="expression" dxfId="1211" priority="100">
      <formula>kvartal &lt; 4</formula>
    </cfRule>
  </conditionalFormatting>
  <conditionalFormatting sqref="C69">
    <cfRule type="expression" dxfId="1210" priority="99">
      <formula>kvartal &lt; 4</formula>
    </cfRule>
  </conditionalFormatting>
  <conditionalFormatting sqref="B72">
    <cfRule type="expression" dxfId="1209" priority="98">
      <formula>kvartal &lt; 4</formula>
    </cfRule>
  </conditionalFormatting>
  <conditionalFormatting sqref="C72">
    <cfRule type="expression" dxfId="1208" priority="97">
      <formula>kvartal &lt; 4</formula>
    </cfRule>
  </conditionalFormatting>
  <conditionalFormatting sqref="B80">
    <cfRule type="expression" dxfId="1207" priority="96">
      <formula>kvartal &lt; 4</formula>
    </cfRule>
  </conditionalFormatting>
  <conditionalFormatting sqref="C80">
    <cfRule type="expression" dxfId="1206" priority="95">
      <formula>kvartal &lt; 4</formula>
    </cfRule>
  </conditionalFormatting>
  <conditionalFormatting sqref="B83">
    <cfRule type="expression" dxfId="1205" priority="94">
      <formula>kvartal &lt; 4</formula>
    </cfRule>
  </conditionalFormatting>
  <conditionalFormatting sqref="C83">
    <cfRule type="expression" dxfId="1204" priority="93">
      <formula>kvartal &lt; 4</formula>
    </cfRule>
  </conditionalFormatting>
  <conditionalFormatting sqref="B90">
    <cfRule type="expression" dxfId="1203" priority="84">
      <formula>kvartal &lt; 4</formula>
    </cfRule>
  </conditionalFormatting>
  <conditionalFormatting sqref="C90">
    <cfRule type="expression" dxfId="1202" priority="83">
      <formula>kvartal &lt; 4</formula>
    </cfRule>
  </conditionalFormatting>
  <conditionalFormatting sqref="B93">
    <cfRule type="expression" dxfId="1201" priority="82">
      <formula>kvartal &lt; 4</formula>
    </cfRule>
  </conditionalFormatting>
  <conditionalFormatting sqref="C93">
    <cfRule type="expression" dxfId="1200" priority="81">
      <formula>kvartal &lt; 4</formula>
    </cfRule>
  </conditionalFormatting>
  <conditionalFormatting sqref="B101">
    <cfRule type="expression" dxfId="1199" priority="80">
      <formula>kvartal &lt; 4</formula>
    </cfRule>
  </conditionalFormatting>
  <conditionalFormatting sqref="C101">
    <cfRule type="expression" dxfId="1198" priority="79">
      <formula>kvartal &lt; 4</formula>
    </cfRule>
  </conditionalFormatting>
  <conditionalFormatting sqref="B104">
    <cfRule type="expression" dxfId="1197" priority="78">
      <formula>kvartal &lt; 4</formula>
    </cfRule>
  </conditionalFormatting>
  <conditionalFormatting sqref="C104">
    <cfRule type="expression" dxfId="1196" priority="77">
      <formula>kvartal &lt; 4</formula>
    </cfRule>
  </conditionalFormatting>
  <conditionalFormatting sqref="B115">
    <cfRule type="expression" dxfId="1195" priority="76">
      <formula>kvartal &lt; 4</formula>
    </cfRule>
  </conditionalFormatting>
  <conditionalFormatting sqref="C115">
    <cfRule type="expression" dxfId="1194" priority="75">
      <formula>kvartal &lt; 4</formula>
    </cfRule>
  </conditionalFormatting>
  <conditionalFormatting sqref="B123">
    <cfRule type="expression" dxfId="1193" priority="74">
      <formula>kvartal &lt; 4</formula>
    </cfRule>
  </conditionalFormatting>
  <conditionalFormatting sqref="C123">
    <cfRule type="expression" dxfId="1192" priority="73">
      <formula>kvartal &lt; 4</formula>
    </cfRule>
  </conditionalFormatting>
  <conditionalFormatting sqref="F70">
    <cfRule type="expression" dxfId="1191" priority="72">
      <formula>kvartal &lt; 4</formula>
    </cfRule>
  </conditionalFormatting>
  <conditionalFormatting sqref="G70">
    <cfRule type="expression" dxfId="1190" priority="71">
      <formula>kvartal &lt; 4</formula>
    </cfRule>
  </conditionalFormatting>
  <conditionalFormatting sqref="F71:G71">
    <cfRule type="expression" dxfId="1189" priority="70">
      <formula>kvartal &lt; 4</formula>
    </cfRule>
  </conditionalFormatting>
  <conditionalFormatting sqref="F73:G74">
    <cfRule type="expression" dxfId="1188" priority="69">
      <formula>kvartal &lt; 4</formula>
    </cfRule>
  </conditionalFormatting>
  <conditionalFormatting sqref="F81:G82">
    <cfRule type="expression" dxfId="1187" priority="68">
      <formula>kvartal &lt; 4</formula>
    </cfRule>
  </conditionalFormatting>
  <conditionalFormatting sqref="F84:G85">
    <cfRule type="expression" dxfId="1186" priority="67">
      <formula>kvartal &lt; 4</formula>
    </cfRule>
  </conditionalFormatting>
  <conditionalFormatting sqref="F91:G92">
    <cfRule type="expression" dxfId="1185" priority="62">
      <formula>kvartal &lt; 4</formula>
    </cfRule>
  </conditionalFormatting>
  <conditionalFormatting sqref="F94:G95">
    <cfRule type="expression" dxfId="1184" priority="61">
      <formula>kvartal &lt; 4</formula>
    </cfRule>
  </conditionalFormatting>
  <conditionalFormatting sqref="F102:G103">
    <cfRule type="expression" dxfId="1183" priority="60">
      <formula>kvartal &lt; 4</formula>
    </cfRule>
  </conditionalFormatting>
  <conditionalFormatting sqref="F105:G106">
    <cfRule type="expression" dxfId="1182" priority="59">
      <formula>kvartal &lt; 4</formula>
    </cfRule>
  </conditionalFormatting>
  <conditionalFormatting sqref="F115">
    <cfRule type="expression" dxfId="1181" priority="58">
      <formula>kvartal &lt; 4</formula>
    </cfRule>
  </conditionalFormatting>
  <conditionalFormatting sqref="G115">
    <cfRule type="expression" dxfId="1180" priority="57">
      <formula>kvartal &lt; 4</formula>
    </cfRule>
  </conditionalFormatting>
  <conditionalFormatting sqref="F123:G123">
    <cfRule type="expression" dxfId="1179" priority="56">
      <formula>kvartal &lt; 4</formula>
    </cfRule>
  </conditionalFormatting>
  <conditionalFormatting sqref="F69:G69">
    <cfRule type="expression" dxfId="1178" priority="55">
      <formula>kvartal &lt; 4</formula>
    </cfRule>
  </conditionalFormatting>
  <conditionalFormatting sqref="F72:G72">
    <cfRule type="expression" dxfId="1177" priority="54">
      <formula>kvartal &lt; 4</formula>
    </cfRule>
  </conditionalFormatting>
  <conditionalFormatting sqref="F80:G80">
    <cfRule type="expression" dxfId="1176" priority="53">
      <formula>kvartal &lt; 4</formula>
    </cfRule>
  </conditionalFormatting>
  <conditionalFormatting sqref="F83:G83">
    <cfRule type="expression" dxfId="1175" priority="52">
      <formula>kvartal &lt; 4</formula>
    </cfRule>
  </conditionalFormatting>
  <conditionalFormatting sqref="F90:G90">
    <cfRule type="expression" dxfId="1174" priority="46">
      <formula>kvartal &lt; 4</formula>
    </cfRule>
  </conditionalFormatting>
  <conditionalFormatting sqref="F93">
    <cfRule type="expression" dxfId="1173" priority="45">
      <formula>kvartal &lt; 4</formula>
    </cfRule>
  </conditionalFormatting>
  <conditionalFormatting sqref="G93">
    <cfRule type="expression" dxfId="1172" priority="44">
      <formula>kvartal &lt; 4</formula>
    </cfRule>
  </conditionalFormatting>
  <conditionalFormatting sqref="F101">
    <cfRule type="expression" dxfId="1171" priority="43">
      <formula>kvartal &lt; 4</formula>
    </cfRule>
  </conditionalFormatting>
  <conditionalFormatting sqref="G101">
    <cfRule type="expression" dxfId="1170" priority="42">
      <formula>kvartal &lt; 4</formula>
    </cfRule>
  </conditionalFormatting>
  <conditionalFormatting sqref="G104">
    <cfRule type="expression" dxfId="1169" priority="41">
      <formula>kvartal &lt; 4</formula>
    </cfRule>
  </conditionalFormatting>
  <conditionalFormatting sqref="F104">
    <cfRule type="expression" dxfId="1168" priority="40">
      <formula>kvartal &lt; 4</formula>
    </cfRule>
  </conditionalFormatting>
  <conditionalFormatting sqref="J69:K73">
    <cfRule type="expression" dxfId="1167" priority="39">
      <formula>kvartal &lt; 4</formula>
    </cfRule>
  </conditionalFormatting>
  <conditionalFormatting sqref="J74:K74">
    <cfRule type="expression" dxfId="1166" priority="38">
      <formula>kvartal &lt; 4</formula>
    </cfRule>
  </conditionalFormatting>
  <conditionalFormatting sqref="J80:K85">
    <cfRule type="expression" dxfId="1165" priority="37">
      <formula>kvartal &lt; 4</formula>
    </cfRule>
  </conditionalFormatting>
  <conditionalFormatting sqref="J90:K95">
    <cfRule type="expression" dxfId="1164" priority="34">
      <formula>kvartal &lt; 4</formula>
    </cfRule>
  </conditionalFormatting>
  <conditionalFormatting sqref="J101:K106">
    <cfRule type="expression" dxfId="1163" priority="33">
      <formula>kvartal &lt; 4</formula>
    </cfRule>
  </conditionalFormatting>
  <conditionalFormatting sqref="J115:K115">
    <cfRule type="expression" dxfId="1162" priority="32">
      <formula>kvartal &lt; 4</formula>
    </cfRule>
  </conditionalFormatting>
  <conditionalFormatting sqref="J123:K123">
    <cfRule type="expression" dxfId="1161" priority="31">
      <formula>kvartal &lt; 4</formula>
    </cfRule>
  </conditionalFormatting>
  <conditionalFormatting sqref="A50:A52">
    <cfRule type="expression" dxfId="1160" priority="12">
      <formula>kvartal &lt; 4</formula>
    </cfRule>
  </conditionalFormatting>
  <conditionalFormatting sqref="A69:A74">
    <cfRule type="expression" dxfId="1159" priority="10">
      <formula>kvartal &lt; 4</formula>
    </cfRule>
  </conditionalFormatting>
  <conditionalFormatting sqref="A80:A85">
    <cfRule type="expression" dxfId="1158" priority="9">
      <formula>kvartal &lt; 4</formula>
    </cfRule>
  </conditionalFormatting>
  <conditionalFormatting sqref="A90:A95">
    <cfRule type="expression" dxfId="1157" priority="6">
      <formula>kvartal &lt; 4</formula>
    </cfRule>
  </conditionalFormatting>
  <conditionalFormatting sqref="A101:A106">
    <cfRule type="expression" dxfId="1156" priority="5">
      <formula>kvartal &lt; 4</formula>
    </cfRule>
  </conditionalFormatting>
  <conditionalFormatting sqref="A115">
    <cfRule type="expression" dxfId="1155" priority="4">
      <formula>kvartal &lt; 4</formula>
    </cfRule>
  </conditionalFormatting>
  <conditionalFormatting sqref="A123">
    <cfRule type="expression" dxfId="1154"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117</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v>528675.60800000001</v>
      </c>
      <c r="C7" s="292">
        <v>529387.76699999999</v>
      </c>
      <c r="D7" s="334">
        <f>IF(B7=0, "    ---- ", IF(ABS(ROUND(100/B7*C7-100,1))&lt;999,ROUND(100/B7*C7-100,1),IF(ROUND(100/B7*C7-100,1)&gt;999,999,-999)))</f>
        <v>0.1</v>
      </c>
      <c r="E7" s="11">
        <f>IFERROR(100/'Skjema total MA'!C7*C7,0)</f>
        <v>27.627221064620969</v>
      </c>
      <c r="F7" s="291"/>
      <c r="G7" s="292"/>
      <c r="H7" s="334"/>
      <c r="I7" s="144"/>
      <c r="J7" s="293">
        <f t="shared" ref="J7:K9" si="0">SUM(B7,F7)</f>
        <v>528675.60800000001</v>
      </c>
      <c r="K7" s="294">
        <f t="shared" si="0"/>
        <v>529387.76699999999</v>
      </c>
      <c r="L7" s="404">
        <f>IF(J7=0, "    ---- ", IF(ABS(ROUND(100/J7*K7-100,1))&lt;999,ROUND(100/J7*K7-100,1),IF(ROUND(100/J7*K7-100,1)&gt;999,999,-999)))</f>
        <v>0.1</v>
      </c>
      <c r="M7" s="11">
        <f>IFERROR(100/'Skjema total MA'!I7*K7,0)</f>
        <v>9.081305825989201</v>
      </c>
    </row>
    <row r="8" spans="1:14" ht="15.75" x14ac:dyDescent="0.2">
      <c r="A8" s="21" t="s">
        <v>25</v>
      </c>
      <c r="B8" s="266">
        <v>318158.96999999997</v>
      </c>
      <c r="C8" s="267">
        <v>327766.84100000001</v>
      </c>
      <c r="D8" s="150">
        <f t="shared" ref="D8:D9" si="1">IF(B8=0, "    ---- ", IF(ABS(ROUND(100/B8*C8-100,1))&lt;999,ROUND(100/B8*C8-100,1),IF(ROUND(100/B8*C8-100,1)&gt;999,999,-999)))</f>
        <v>3</v>
      </c>
      <c r="E8" s="27">
        <f>IFERROR(100/'Skjema total MA'!C8*C8,0)</f>
        <v>25.334019922019397</v>
      </c>
      <c r="F8" s="270"/>
      <c r="G8" s="271"/>
      <c r="H8" s="150"/>
      <c r="I8" s="160"/>
      <c r="J8" s="217">
        <f t="shared" si="0"/>
        <v>318158.96999999997</v>
      </c>
      <c r="K8" s="272">
        <f t="shared" si="0"/>
        <v>327766.84100000001</v>
      </c>
      <c r="L8" s="150">
        <f t="shared" ref="L8:L9" si="2">IF(J8=0, "    ---- ", IF(ABS(ROUND(100/J8*K8-100,1))&lt;999,ROUND(100/J8*K8-100,1),IF(ROUND(100/J8*K8-100,1)&gt;999,999,-999)))</f>
        <v>3</v>
      </c>
      <c r="M8" s="27">
        <f>IFERROR(100/'Skjema total MA'!I8*K8,0)</f>
        <v>25.334019922019397</v>
      </c>
    </row>
    <row r="9" spans="1:14" ht="15.75" x14ac:dyDescent="0.2">
      <c r="A9" s="21" t="s">
        <v>24</v>
      </c>
      <c r="B9" s="266">
        <v>210516.63800000001</v>
      </c>
      <c r="C9" s="267">
        <v>201620.92600000001</v>
      </c>
      <c r="D9" s="150">
        <f t="shared" si="1"/>
        <v>-4.2</v>
      </c>
      <c r="E9" s="27">
        <f>IFERROR(100/'Skjema total MA'!C9*C9,0)</f>
        <v>47.146522875824374</v>
      </c>
      <c r="F9" s="270"/>
      <c r="G9" s="271"/>
      <c r="H9" s="150"/>
      <c r="I9" s="160"/>
      <c r="J9" s="217">
        <f t="shared" si="0"/>
        <v>210516.63800000001</v>
      </c>
      <c r="K9" s="272">
        <f t="shared" si="0"/>
        <v>201620.92600000001</v>
      </c>
      <c r="L9" s="150">
        <f t="shared" si="2"/>
        <v>-4.2</v>
      </c>
      <c r="M9" s="27">
        <f>IFERROR(100/'Skjema total MA'!I9*K9,0)</f>
        <v>47.146522875824374</v>
      </c>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976805.52399999998</v>
      </c>
      <c r="C47" s="296">
        <v>1031378.061</v>
      </c>
      <c r="D47" s="404">
        <f t="shared" ref="D47:D57" si="3">IF(B47=0, "    ---- ", IF(ABS(ROUND(100/B47*C47-100,1))&lt;999,ROUND(100/B47*C47-100,1),IF(ROUND(100/B47*C47-100,1)&gt;999,999,-999)))</f>
        <v>5.6</v>
      </c>
      <c r="E47" s="11">
        <f>IFERROR(100/'Skjema total MA'!C47*C47,0)</f>
        <v>25.043002325323293</v>
      </c>
      <c r="F47" s="129"/>
      <c r="G47" s="33"/>
      <c r="H47" s="143"/>
      <c r="I47" s="143"/>
      <c r="J47" s="37"/>
      <c r="K47" s="37"/>
      <c r="L47" s="143"/>
      <c r="M47" s="143"/>
      <c r="N47" s="132"/>
    </row>
    <row r="48" spans="1:14" s="3" customFormat="1" ht="15.75" x14ac:dyDescent="0.2">
      <c r="A48" s="38" t="s">
        <v>332</v>
      </c>
      <c r="B48" s="266">
        <v>651377.47199999995</v>
      </c>
      <c r="C48" s="267">
        <v>662645.78500000003</v>
      </c>
      <c r="D48" s="242">
        <f t="shared" si="3"/>
        <v>1.7</v>
      </c>
      <c r="E48" s="27">
        <f>IFERROR(100/'Skjema total MA'!C48*C48,0)</f>
        <v>30.111103775423292</v>
      </c>
      <c r="F48" s="129"/>
      <c r="G48" s="33"/>
      <c r="H48" s="129"/>
      <c r="I48" s="129"/>
      <c r="J48" s="33"/>
      <c r="K48" s="33"/>
      <c r="L48" s="143"/>
      <c r="M48" s="143"/>
      <c r="N48" s="132"/>
    </row>
    <row r="49" spans="1:14" s="3" customFormat="1" ht="15.75" x14ac:dyDescent="0.2">
      <c r="A49" s="38" t="s">
        <v>333</v>
      </c>
      <c r="B49" s="44">
        <v>325428.05200000003</v>
      </c>
      <c r="C49" s="272">
        <v>368732.27600000001</v>
      </c>
      <c r="D49" s="242">
        <f>IF(B49=0, "    ---- ", IF(ABS(ROUND(100/B49*C49-100,1))&lt;999,ROUND(100/B49*C49-100,1),IF(ROUND(100/B49*C49-100,1)&gt;999,999,-999)))</f>
        <v>13.3</v>
      </c>
      <c r="E49" s="27">
        <f>IFERROR(100/'Skjema total MA'!C49*C49,0)</f>
        <v>19.227248148895608</v>
      </c>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v>9508</v>
      </c>
      <c r="C53" s="296">
        <v>11904.119000000001</v>
      </c>
      <c r="D53" s="405">
        <f t="shared" si="3"/>
        <v>25.2</v>
      </c>
      <c r="E53" s="11">
        <f>IFERROR(100/'Skjema total MA'!C53*C53,0)</f>
        <v>11.658420241674952</v>
      </c>
      <c r="F53" s="129"/>
      <c r="G53" s="33"/>
      <c r="H53" s="129"/>
      <c r="I53" s="129"/>
      <c r="J53" s="33"/>
      <c r="K53" s="33"/>
      <c r="L53" s="143"/>
      <c r="M53" s="143"/>
      <c r="N53" s="132"/>
    </row>
    <row r="54" spans="1:14" s="3" customFormat="1" ht="15.75" x14ac:dyDescent="0.2">
      <c r="A54" s="38" t="s">
        <v>332</v>
      </c>
      <c r="B54" s="266">
        <v>9508</v>
      </c>
      <c r="C54" s="267">
        <v>11904.119000000001</v>
      </c>
      <c r="D54" s="242">
        <f t="shared" si="3"/>
        <v>25.2</v>
      </c>
      <c r="E54" s="27">
        <f>IFERROR(100/'Skjema total MA'!C54*C54,0)</f>
        <v>11.772446656362385</v>
      </c>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v>11611</v>
      </c>
      <c r="C56" s="296">
        <v>58398.296999999999</v>
      </c>
      <c r="D56" s="405">
        <f t="shared" si="3"/>
        <v>403</v>
      </c>
      <c r="E56" s="11">
        <f>IFERROR(100/'Skjema total MA'!C56*C56,0)</f>
        <v>60.82339953580604</v>
      </c>
      <c r="F56" s="129"/>
      <c r="G56" s="33"/>
      <c r="H56" s="129"/>
      <c r="I56" s="129"/>
      <c r="J56" s="33"/>
      <c r="K56" s="33"/>
      <c r="L56" s="143"/>
      <c r="M56" s="143"/>
      <c r="N56" s="132"/>
    </row>
    <row r="57" spans="1:14" s="3" customFormat="1" ht="15.75" x14ac:dyDescent="0.2">
      <c r="A57" s="38" t="s">
        <v>332</v>
      </c>
      <c r="B57" s="266">
        <v>11611</v>
      </c>
      <c r="C57" s="267">
        <v>58398.296999999999</v>
      </c>
      <c r="D57" s="242">
        <f t="shared" si="3"/>
        <v>403</v>
      </c>
      <c r="E57" s="27">
        <f>IFERROR(100/'Skjema total MA'!C57*C57,0)</f>
        <v>60.82339953580604</v>
      </c>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53" priority="132">
      <formula>kvartal &lt; 4</formula>
    </cfRule>
  </conditionalFormatting>
  <conditionalFormatting sqref="B69">
    <cfRule type="expression" dxfId="1152" priority="100">
      <formula>kvartal &lt; 4</formula>
    </cfRule>
  </conditionalFormatting>
  <conditionalFormatting sqref="C69">
    <cfRule type="expression" dxfId="1151" priority="99">
      <formula>kvartal &lt; 4</formula>
    </cfRule>
  </conditionalFormatting>
  <conditionalFormatting sqref="B72">
    <cfRule type="expression" dxfId="1150" priority="98">
      <formula>kvartal &lt; 4</formula>
    </cfRule>
  </conditionalFormatting>
  <conditionalFormatting sqref="C72">
    <cfRule type="expression" dxfId="1149" priority="97">
      <formula>kvartal &lt; 4</formula>
    </cfRule>
  </conditionalFormatting>
  <conditionalFormatting sqref="B80">
    <cfRule type="expression" dxfId="1148" priority="96">
      <formula>kvartal &lt; 4</formula>
    </cfRule>
  </conditionalFormatting>
  <conditionalFormatting sqref="C80">
    <cfRule type="expression" dxfId="1147" priority="95">
      <formula>kvartal &lt; 4</formula>
    </cfRule>
  </conditionalFormatting>
  <conditionalFormatting sqref="B83">
    <cfRule type="expression" dxfId="1146" priority="94">
      <formula>kvartal &lt; 4</formula>
    </cfRule>
  </conditionalFormatting>
  <conditionalFormatting sqref="C83">
    <cfRule type="expression" dxfId="1145" priority="93">
      <formula>kvartal &lt; 4</formula>
    </cfRule>
  </conditionalFormatting>
  <conditionalFormatting sqref="B90">
    <cfRule type="expression" dxfId="1144" priority="84">
      <formula>kvartal &lt; 4</formula>
    </cfRule>
  </conditionalFormatting>
  <conditionalFormatting sqref="C90">
    <cfRule type="expression" dxfId="1143" priority="83">
      <formula>kvartal &lt; 4</formula>
    </cfRule>
  </conditionalFormatting>
  <conditionalFormatting sqref="B93">
    <cfRule type="expression" dxfId="1142" priority="82">
      <formula>kvartal &lt; 4</formula>
    </cfRule>
  </conditionalFormatting>
  <conditionalFormatting sqref="C93">
    <cfRule type="expression" dxfId="1141" priority="81">
      <formula>kvartal &lt; 4</formula>
    </cfRule>
  </conditionalFormatting>
  <conditionalFormatting sqref="B101">
    <cfRule type="expression" dxfId="1140" priority="80">
      <formula>kvartal &lt; 4</formula>
    </cfRule>
  </conditionalFormatting>
  <conditionalFormatting sqref="C101">
    <cfRule type="expression" dxfId="1139" priority="79">
      <formula>kvartal &lt; 4</formula>
    </cfRule>
  </conditionalFormatting>
  <conditionalFormatting sqref="B104">
    <cfRule type="expression" dxfId="1138" priority="78">
      <formula>kvartal &lt; 4</formula>
    </cfRule>
  </conditionalFormatting>
  <conditionalFormatting sqref="C104">
    <cfRule type="expression" dxfId="1137" priority="77">
      <formula>kvartal &lt; 4</formula>
    </cfRule>
  </conditionalFormatting>
  <conditionalFormatting sqref="B115">
    <cfRule type="expression" dxfId="1136" priority="76">
      <formula>kvartal &lt; 4</formula>
    </cfRule>
  </conditionalFormatting>
  <conditionalFormatting sqref="C115">
    <cfRule type="expression" dxfId="1135" priority="75">
      <formula>kvartal &lt; 4</formula>
    </cfRule>
  </conditionalFormatting>
  <conditionalFormatting sqref="B123">
    <cfRule type="expression" dxfId="1134" priority="74">
      <formula>kvartal &lt; 4</formula>
    </cfRule>
  </conditionalFormatting>
  <conditionalFormatting sqref="C123">
    <cfRule type="expression" dxfId="1133" priority="73">
      <formula>kvartal &lt; 4</formula>
    </cfRule>
  </conditionalFormatting>
  <conditionalFormatting sqref="F70">
    <cfRule type="expression" dxfId="1132" priority="72">
      <formula>kvartal &lt; 4</formula>
    </cfRule>
  </conditionalFormatting>
  <conditionalFormatting sqref="G70">
    <cfRule type="expression" dxfId="1131" priority="71">
      <formula>kvartal &lt; 4</formula>
    </cfRule>
  </conditionalFormatting>
  <conditionalFormatting sqref="F71:G71">
    <cfRule type="expression" dxfId="1130" priority="70">
      <formula>kvartal &lt; 4</formula>
    </cfRule>
  </conditionalFormatting>
  <conditionalFormatting sqref="F73:G74">
    <cfRule type="expression" dxfId="1129" priority="69">
      <formula>kvartal &lt; 4</formula>
    </cfRule>
  </conditionalFormatting>
  <conditionalFormatting sqref="F81:G82">
    <cfRule type="expression" dxfId="1128" priority="68">
      <formula>kvartal &lt; 4</formula>
    </cfRule>
  </conditionalFormatting>
  <conditionalFormatting sqref="F84:G85">
    <cfRule type="expression" dxfId="1127" priority="67">
      <formula>kvartal &lt; 4</formula>
    </cfRule>
  </conditionalFormatting>
  <conditionalFormatting sqref="F91:G92">
    <cfRule type="expression" dxfId="1126" priority="62">
      <formula>kvartal &lt; 4</formula>
    </cfRule>
  </conditionalFormatting>
  <conditionalFormatting sqref="F94:G95">
    <cfRule type="expression" dxfId="1125" priority="61">
      <formula>kvartal &lt; 4</formula>
    </cfRule>
  </conditionalFormatting>
  <conditionalFormatting sqref="F102:G103">
    <cfRule type="expression" dxfId="1124" priority="60">
      <formula>kvartal &lt; 4</formula>
    </cfRule>
  </conditionalFormatting>
  <conditionalFormatting sqref="F105:G106">
    <cfRule type="expression" dxfId="1123" priority="59">
      <formula>kvartal &lt; 4</formula>
    </cfRule>
  </conditionalFormatting>
  <conditionalFormatting sqref="F115">
    <cfRule type="expression" dxfId="1122" priority="58">
      <formula>kvartal &lt; 4</formula>
    </cfRule>
  </conditionalFormatting>
  <conditionalFormatting sqref="G115">
    <cfRule type="expression" dxfId="1121" priority="57">
      <formula>kvartal &lt; 4</formula>
    </cfRule>
  </conditionalFormatting>
  <conditionalFormatting sqref="F123:G123">
    <cfRule type="expression" dxfId="1120" priority="56">
      <formula>kvartal &lt; 4</formula>
    </cfRule>
  </conditionalFormatting>
  <conditionalFormatting sqref="F69:G69">
    <cfRule type="expression" dxfId="1119" priority="55">
      <formula>kvartal &lt; 4</formula>
    </cfRule>
  </conditionalFormatting>
  <conditionalFormatting sqref="F72:G72">
    <cfRule type="expression" dxfId="1118" priority="54">
      <formula>kvartal &lt; 4</formula>
    </cfRule>
  </conditionalFormatting>
  <conditionalFormatting sqref="F80:G80">
    <cfRule type="expression" dxfId="1117" priority="53">
      <formula>kvartal &lt; 4</formula>
    </cfRule>
  </conditionalFormatting>
  <conditionalFormatting sqref="F83:G83">
    <cfRule type="expression" dxfId="1116" priority="52">
      <formula>kvartal &lt; 4</formula>
    </cfRule>
  </conditionalFormatting>
  <conditionalFormatting sqref="F90:G90">
    <cfRule type="expression" dxfId="1115" priority="46">
      <formula>kvartal &lt; 4</formula>
    </cfRule>
  </conditionalFormatting>
  <conditionalFormatting sqref="F93">
    <cfRule type="expression" dxfId="1114" priority="45">
      <formula>kvartal &lt; 4</formula>
    </cfRule>
  </conditionalFormatting>
  <conditionalFormatting sqref="G93">
    <cfRule type="expression" dxfId="1113" priority="44">
      <formula>kvartal &lt; 4</formula>
    </cfRule>
  </conditionalFormatting>
  <conditionalFormatting sqref="F101">
    <cfRule type="expression" dxfId="1112" priority="43">
      <formula>kvartal &lt; 4</formula>
    </cfRule>
  </conditionalFormatting>
  <conditionalFormatting sqref="G101">
    <cfRule type="expression" dxfId="1111" priority="42">
      <formula>kvartal &lt; 4</formula>
    </cfRule>
  </conditionalFormatting>
  <conditionalFormatting sqref="G104">
    <cfRule type="expression" dxfId="1110" priority="41">
      <formula>kvartal &lt; 4</formula>
    </cfRule>
  </conditionalFormatting>
  <conditionalFormatting sqref="F104">
    <cfRule type="expression" dxfId="1109" priority="40">
      <formula>kvartal &lt; 4</formula>
    </cfRule>
  </conditionalFormatting>
  <conditionalFormatting sqref="J69:K73">
    <cfRule type="expression" dxfId="1108" priority="39">
      <formula>kvartal &lt; 4</formula>
    </cfRule>
  </conditionalFormatting>
  <conditionalFormatting sqref="J74:K74">
    <cfRule type="expression" dxfId="1107" priority="38">
      <formula>kvartal &lt; 4</formula>
    </cfRule>
  </conditionalFormatting>
  <conditionalFormatting sqref="J80:K85">
    <cfRule type="expression" dxfId="1106" priority="37">
      <formula>kvartal &lt; 4</formula>
    </cfRule>
  </conditionalFormatting>
  <conditionalFormatting sqref="J90:K95">
    <cfRule type="expression" dxfId="1105" priority="34">
      <formula>kvartal &lt; 4</formula>
    </cfRule>
  </conditionalFormatting>
  <conditionalFormatting sqref="J101:K106">
    <cfRule type="expression" dxfId="1104" priority="33">
      <formula>kvartal &lt; 4</formula>
    </cfRule>
  </conditionalFormatting>
  <conditionalFormatting sqref="J115:K115">
    <cfRule type="expression" dxfId="1103" priority="32">
      <formula>kvartal &lt; 4</formula>
    </cfRule>
  </conditionalFormatting>
  <conditionalFormatting sqref="J123:K123">
    <cfRule type="expression" dxfId="1102" priority="31">
      <formula>kvartal &lt; 4</formula>
    </cfRule>
  </conditionalFormatting>
  <conditionalFormatting sqref="A50:A52">
    <cfRule type="expression" dxfId="1101" priority="12">
      <formula>kvartal &lt; 4</formula>
    </cfRule>
  </conditionalFormatting>
  <conditionalFormatting sqref="A69:A74">
    <cfRule type="expression" dxfId="1100" priority="10">
      <formula>kvartal &lt; 4</formula>
    </cfRule>
  </conditionalFormatting>
  <conditionalFormatting sqref="A80:A85">
    <cfRule type="expression" dxfId="1099" priority="9">
      <formula>kvartal &lt; 4</formula>
    </cfRule>
  </conditionalFormatting>
  <conditionalFormatting sqref="A90:A95">
    <cfRule type="expression" dxfId="1098" priority="6">
      <formula>kvartal &lt; 4</formula>
    </cfRule>
  </conditionalFormatting>
  <conditionalFormatting sqref="A101:A106">
    <cfRule type="expression" dxfId="1097" priority="5">
      <formula>kvartal &lt; 4</formula>
    </cfRule>
  </conditionalFormatting>
  <conditionalFormatting sqref="A115">
    <cfRule type="expression" dxfId="1096" priority="4">
      <formula>kvartal &lt; 4</formula>
    </cfRule>
  </conditionalFormatting>
  <conditionalFormatting sqref="A123">
    <cfRule type="expression" dxfId="1095"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topLeftCell="A9"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84</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v>43330</v>
      </c>
      <c r="G7" s="292">
        <v>72628</v>
      </c>
      <c r="H7" s="334">
        <f>IF(F7=0, "    ---- ", IF(ABS(ROUND(100/F7*G7-100,1))&lt;999,ROUND(100/F7*G7-100,1),IF(ROUND(100/F7*G7-100,1)&gt;999,999,-999)))</f>
        <v>67.599999999999994</v>
      </c>
      <c r="I7" s="144">
        <f>IFERROR(100/'Skjema total MA'!F7*G7,0)</f>
        <v>1.8559548934688899</v>
      </c>
      <c r="J7" s="293">
        <f t="shared" ref="J7:K12" si="0">SUM(B7,F7)</f>
        <v>43330</v>
      </c>
      <c r="K7" s="294">
        <f t="shared" si="0"/>
        <v>72628</v>
      </c>
      <c r="L7" s="404">
        <f>IF(J7=0, "    ---- ", IF(ABS(ROUND(100/J7*K7-100,1))&lt;999,ROUND(100/J7*K7-100,1),IF(ROUND(100/J7*K7-100,1)&gt;999,999,-999)))</f>
        <v>67.599999999999994</v>
      </c>
      <c r="M7" s="11">
        <f>IFERROR(100/'Skjema total MA'!I7*K7,0)</f>
        <v>1.2458865139019044</v>
      </c>
    </row>
    <row r="8" spans="1:14" ht="15.75" x14ac:dyDescent="0.2">
      <c r="A8" s="21" t="s">
        <v>25</v>
      </c>
      <c r="B8" s="266"/>
      <c r="C8" s="267"/>
      <c r="D8" s="150"/>
      <c r="E8" s="27"/>
      <c r="F8" s="270"/>
      <c r="G8" s="271"/>
      <c r="H8" s="150"/>
      <c r="I8" s="160"/>
      <c r="J8" s="217"/>
      <c r="K8" s="272"/>
      <c r="L8" s="150"/>
      <c r="M8" s="27"/>
    </row>
    <row r="9" spans="1:14" ht="15.75" x14ac:dyDescent="0.2">
      <c r="A9" s="21" t="s">
        <v>24</v>
      </c>
      <c r="B9" s="266"/>
      <c r="C9" s="267"/>
      <c r="D9" s="150"/>
      <c r="E9" s="27"/>
      <c r="F9" s="270"/>
      <c r="G9" s="271"/>
      <c r="H9" s="150"/>
      <c r="I9" s="160"/>
      <c r="J9" s="217"/>
      <c r="K9" s="272"/>
      <c r="L9" s="150"/>
      <c r="M9" s="27"/>
    </row>
    <row r="10" spans="1:14" ht="15.75" x14ac:dyDescent="0.2">
      <c r="A10" s="13" t="s">
        <v>321</v>
      </c>
      <c r="B10" s="295"/>
      <c r="C10" s="296"/>
      <c r="D10" s="155"/>
      <c r="E10" s="11"/>
      <c r="F10" s="295">
        <v>2185879</v>
      </c>
      <c r="G10" s="296">
        <v>2539387</v>
      </c>
      <c r="H10" s="155">
        <f t="shared" ref="H10:H12" si="1">IF(F10=0, "    ---- ", IF(ABS(ROUND(100/F10*G10-100,1))&lt;999,ROUND(100/F10*G10-100,1),IF(ROUND(100/F10*G10-100,1)&gt;999,999,-999)))</f>
        <v>16.2</v>
      </c>
      <c r="I10" s="144">
        <f>IFERROR(100/'Skjema total MA'!F10*G10,0)</f>
        <v>2.8129707487960163</v>
      </c>
      <c r="J10" s="293">
        <f t="shared" si="0"/>
        <v>2185879</v>
      </c>
      <c r="K10" s="294">
        <f t="shared" si="0"/>
        <v>2539387</v>
      </c>
      <c r="L10" s="405">
        <f t="shared" ref="L10:L12" si="2">IF(J10=0, "    ---- ", IF(ABS(ROUND(100/J10*K10-100,1))&lt;999,ROUND(100/J10*K10-100,1),IF(ROUND(100/J10*K10-100,1)&gt;999,999,-999)))</f>
        <v>16.2</v>
      </c>
      <c r="M10" s="11">
        <f>IFERROR(100/'Skjema total MA'!I10*K10,0)</f>
        <v>2.4463310609204139</v>
      </c>
    </row>
    <row r="11" spans="1:14" s="43" customFormat="1" ht="15.75" x14ac:dyDescent="0.2">
      <c r="A11" s="13" t="s">
        <v>322</v>
      </c>
      <c r="B11" s="295"/>
      <c r="C11" s="296"/>
      <c r="D11" s="155"/>
      <c r="E11" s="11"/>
      <c r="F11" s="295">
        <v>2051</v>
      </c>
      <c r="G11" s="296">
        <v>4154</v>
      </c>
      <c r="H11" s="155">
        <f t="shared" si="1"/>
        <v>102.5</v>
      </c>
      <c r="I11" s="144">
        <f>IFERROR(100/'Skjema total MA'!F11*G11,0)</f>
        <v>3.9784777109187677</v>
      </c>
      <c r="J11" s="293">
        <f t="shared" si="0"/>
        <v>2051</v>
      </c>
      <c r="K11" s="294">
        <f t="shared" si="0"/>
        <v>4154</v>
      </c>
      <c r="L11" s="405">
        <f t="shared" si="2"/>
        <v>102.5</v>
      </c>
      <c r="M11" s="11">
        <f>IFERROR(100/'Skjema total MA'!I11*K11,0)</f>
        <v>3.9784777109187677</v>
      </c>
      <c r="N11" s="127"/>
    </row>
    <row r="12" spans="1:14" s="43" customFormat="1" ht="15.75" x14ac:dyDescent="0.2">
      <c r="A12" s="41" t="s">
        <v>323</v>
      </c>
      <c r="B12" s="297"/>
      <c r="C12" s="298"/>
      <c r="D12" s="153"/>
      <c r="E12" s="36"/>
      <c r="F12" s="297">
        <v>1891</v>
      </c>
      <c r="G12" s="298">
        <v>-4986</v>
      </c>
      <c r="H12" s="153">
        <f t="shared" si="1"/>
        <v>-363.7</v>
      </c>
      <c r="I12" s="153">
        <f>IFERROR(100/'Skjema total MA'!F12*G12,0)</f>
        <v>-4.6593390869341222</v>
      </c>
      <c r="J12" s="299">
        <f t="shared" si="0"/>
        <v>1891</v>
      </c>
      <c r="K12" s="300">
        <f t="shared" si="0"/>
        <v>-4986</v>
      </c>
      <c r="L12" s="406">
        <f t="shared" si="2"/>
        <v>-363.7</v>
      </c>
      <c r="M12" s="36">
        <f>IFERROR(100/'Skjema total MA'!I12*K12,0)</f>
        <v>-4.6593390869341222</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202652</v>
      </c>
      <c r="C22" s="295">
        <v>211104</v>
      </c>
      <c r="D22" s="334">
        <f t="shared" ref="D22:D30" si="3">IF(B22=0, "    ---- ", IF(ABS(ROUND(100/B22*C22-100,1))&lt;999,ROUND(100/B22*C22-100,1),IF(ROUND(100/B22*C22-100,1)&gt;999,999,-999)))</f>
        <v>4.2</v>
      </c>
      <c r="E22" s="11">
        <f>IFERROR(100/'Skjema total MA'!C22*C22,0)</f>
        <v>23.885032239230473</v>
      </c>
      <c r="F22" s="303">
        <v>16132</v>
      </c>
      <c r="G22" s="303">
        <v>18431</v>
      </c>
      <c r="H22" s="334">
        <f t="shared" ref="H22:H35" si="4">IF(F22=0, "    ---- ", IF(ABS(ROUND(100/F22*G22-100,1))&lt;999,ROUND(100/F22*G22-100,1),IF(ROUND(100/F22*G22-100,1)&gt;999,999,-999)))</f>
        <v>14.3</v>
      </c>
      <c r="I22" s="11">
        <f>IFERROR(100/'Skjema total MA'!F22*G22,0)</f>
        <v>7.2499672747133266</v>
      </c>
      <c r="J22" s="301">
        <f t="shared" ref="J22:K35" si="5">SUM(B22,F22)</f>
        <v>218784</v>
      </c>
      <c r="K22" s="301">
        <f t="shared" si="5"/>
        <v>229535</v>
      </c>
      <c r="L22" s="404">
        <f t="shared" ref="L22:L35" si="6">IF(J22=0, "    ---- ", IF(ABS(ROUND(100/J22*K22-100,1))&lt;999,ROUND(100/J22*K22-100,1),IF(ROUND(100/J22*K22-100,1)&gt;999,999,-999)))</f>
        <v>4.9000000000000004</v>
      </c>
      <c r="M22" s="24">
        <f>IFERROR(100/'Skjema total MA'!I22*K22,0)</f>
        <v>20.169048193272474</v>
      </c>
    </row>
    <row r="23" spans="1:14" ht="15.75" x14ac:dyDescent="0.2">
      <c r="A23" s="454" t="s">
        <v>324</v>
      </c>
      <c r="B23" s="266">
        <v>202652</v>
      </c>
      <c r="C23" s="266">
        <v>211104</v>
      </c>
      <c r="D23" s="150">
        <f t="shared" si="3"/>
        <v>4.2</v>
      </c>
      <c r="E23" s="11">
        <f>IFERROR(100/'Skjema total MA'!C23*C23,0)</f>
        <v>33.216427087655603</v>
      </c>
      <c r="F23" s="275">
        <v>20</v>
      </c>
      <c r="G23" s="275">
        <v>0</v>
      </c>
      <c r="H23" s="150">
        <f t="shared" si="4"/>
        <v>-100</v>
      </c>
      <c r="I23" s="394">
        <f>IFERROR(100/'Skjema total MA'!F23*G23,0)</f>
        <v>0</v>
      </c>
      <c r="J23" s="275">
        <f t="shared" ref="J23:J26" si="7">SUM(B23,F23)</f>
        <v>202672</v>
      </c>
      <c r="K23" s="275">
        <f t="shared" ref="K23:K26" si="8">SUM(C23,G23)</f>
        <v>211104</v>
      </c>
      <c r="L23" s="150">
        <f t="shared" si="6"/>
        <v>4.2</v>
      </c>
      <c r="M23" s="23">
        <f>IFERROR(100/'Skjema total MA'!I23*K23,0)</f>
        <v>32.307129769712503</v>
      </c>
    </row>
    <row r="24" spans="1:14" ht="15.75" x14ac:dyDescent="0.2">
      <c r="A24" s="454" t="s">
        <v>325</v>
      </c>
      <c r="B24" s="266"/>
      <c r="C24" s="266"/>
      <c r="D24" s="150"/>
      <c r="E24" s="11"/>
      <c r="F24" s="275">
        <v>210</v>
      </c>
      <c r="G24" s="275">
        <v>24</v>
      </c>
      <c r="H24" s="150">
        <f t="shared" si="4"/>
        <v>-88.6</v>
      </c>
      <c r="I24" s="394">
        <f>IFERROR(100/'Skjema total MA'!F24*G24,0)</f>
        <v>2.8225835474145344</v>
      </c>
      <c r="J24" s="275">
        <f t="shared" si="7"/>
        <v>210</v>
      </c>
      <c r="K24" s="275">
        <f t="shared" si="8"/>
        <v>24</v>
      </c>
      <c r="L24" s="150">
        <f t="shared" si="6"/>
        <v>-88.6</v>
      </c>
      <c r="M24" s="23">
        <f>IFERROR(100/'Skjema total MA'!I24*K24,0)</f>
        <v>0.61131231268546093</v>
      </c>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v>15902</v>
      </c>
      <c r="G26" s="275">
        <v>18407</v>
      </c>
      <c r="H26" s="150">
        <f t="shared" si="4"/>
        <v>15.8</v>
      </c>
      <c r="I26" s="394">
        <f>IFERROR(100/'Skjema total MA'!F26*G26,0)</f>
        <v>7.9333356862215432</v>
      </c>
      <c r="J26" s="275">
        <f t="shared" si="7"/>
        <v>15902</v>
      </c>
      <c r="K26" s="275">
        <f t="shared" si="8"/>
        <v>18407</v>
      </c>
      <c r="L26" s="150">
        <f t="shared" si="6"/>
        <v>15.8</v>
      </c>
      <c r="M26" s="23">
        <f>IFERROR(100/'Skjema total MA'!I26*K26,0)</f>
        <v>7.9333356862215432</v>
      </c>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v>202652</v>
      </c>
      <c r="C28" s="272">
        <v>211104</v>
      </c>
      <c r="D28" s="150">
        <f t="shared" si="3"/>
        <v>4.2</v>
      </c>
      <c r="E28" s="11">
        <f>IFERROR(100/'Skjema total MA'!C28*C28,0)</f>
        <v>20.001875044798311</v>
      </c>
      <c r="F28" s="217"/>
      <c r="G28" s="272"/>
      <c r="H28" s="150"/>
      <c r="I28" s="27"/>
      <c r="J28" s="44">
        <f t="shared" si="5"/>
        <v>202652</v>
      </c>
      <c r="K28" s="44">
        <f t="shared" si="5"/>
        <v>211104</v>
      </c>
      <c r="L28" s="242">
        <f t="shared" si="6"/>
        <v>4.2</v>
      </c>
      <c r="M28" s="23">
        <f>IFERROR(100/'Skjema total MA'!I28*K28,0)</f>
        <v>20.001875044798311</v>
      </c>
    </row>
    <row r="29" spans="1:14" s="3" customFormat="1" ht="15.75" x14ac:dyDescent="0.2">
      <c r="A29" s="13" t="s">
        <v>321</v>
      </c>
      <c r="B29" s="219">
        <v>3228039</v>
      </c>
      <c r="C29" s="219">
        <v>4025798</v>
      </c>
      <c r="D29" s="155">
        <f t="shared" si="3"/>
        <v>24.7</v>
      </c>
      <c r="E29" s="11">
        <f>IFERROR(100/'Skjema total MA'!C29*C29,0)</f>
        <v>9.1456693523886567</v>
      </c>
      <c r="F29" s="293">
        <v>2274314</v>
      </c>
      <c r="G29" s="293">
        <v>2443618</v>
      </c>
      <c r="H29" s="155">
        <f t="shared" si="4"/>
        <v>7.4</v>
      </c>
      <c r="I29" s="11">
        <f>IFERROR(100/'Skjema total MA'!F29*G29,0)</f>
        <v>8.6958610050794132</v>
      </c>
      <c r="J29" s="219">
        <f t="shared" si="5"/>
        <v>5502353</v>
      </c>
      <c r="K29" s="219">
        <f t="shared" si="5"/>
        <v>6469416</v>
      </c>
      <c r="L29" s="405">
        <f t="shared" si="6"/>
        <v>17.600000000000001</v>
      </c>
      <c r="M29" s="24">
        <f>IFERROR(100/'Skjema total MA'!I29*K29,0)</f>
        <v>8.9704043598463556</v>
      </c>
      <c r="N29" s="132"/>
    </row>
    <row r="30" spans="1:14" s="3" customFormat="1" ht="15.75" x14ac:dyDescent="0.2">
      <c r="A30" s="454" t="s">
        <v>324</v>
      </c>
      <c r="B30" s="266">
        <v>3228039</v>
      </c>
      <c r="C30" s="266">
        <v>4025798</v>
      </c>
      <c r="D30" s="150">
        <f t="shared" si="3"/>
        <v>24.7</v>
      </c>
      <c r="E30" s="11">
        <f>IFERROR(100/'Skjema total MA'!C30*C30,0)</f>
        <v>22.515470713132725</v>
      </c>
      <c r="F30" s="275">
        <v>19957</v>
      </c>
      <c r="G30" s="275">
        <v>18600</v>
      </c>
      <c r="H30" s="150">
        <f t="shared" si="4"/>
        <v>-6.8</v>
      </c>
      <c r="I30" s="394">
        <f>IFERROR(100/'Skjema total MA'!F30*G30,0)</f>
        <v>0.49263020858057782</v>
      </c>
      <c r="J30" s="275">
        <f t="shared" ref="J30:J33" si="9">SUM(B30,F30)</f>
        <v>3247996</v>
      </c>
      <c r="K30" s="275">
        <f t="shared" ref="K30:K33" si="10">SUM(C30,G30)</f>
        <v>4044398</v>
      </c>
      <c r="L30" s="150">
        <f t="shared" si="6"/>
        <v>24.5</v>
      </c>
      <c r="M30" s="23">
        <f>IFERROR(100/'Skjema total MA'!I30*K30,0)</f>
        <v>18.675825049104635</v>
      </c>
      <c r="N30" s="132"/>
    </row>
    <row r="31" spans="1:14" s="3" customFormat="1" ht="15.75" x14ac:dyDescent="0.2">
      <c r="A31" s="454" t="s">
        <v>325</v>
      </c>
      <c r="B31" s="266"/>
      <c r="C31" s="266"/>
      <c r="D31" s="150"/>
      <c r="E31" s="11"/>
      <c r="F31" s="275">
        <v>1199934</v>
      </c>
      <c r="G31" s="275">
        <v>1170137</v>
      </c>
      <c r="H31" s="150">
        <f t="shared" si="4"/>
        <v>-2.5</v>
      </c>
      <c r="I31" s="394">
        <f>IFERROR(100/'Skjema total MA'!F31*G31,0)</f>
        <v>14.956497188322251</v>
      </c>
      <c r="J31" s="275">
        <f t="shared" si="9"/>
        <v>1199934</v>
      </c>
      <c r="K31" s="275">
        <f t="shared" si="10"/>
        <v>1170137</v>
      </c>
      <c r="L31" s="150">
        <f t="shared" si="6"/>
        <v>-2.5</v>
      </c>
      <c r="M31" s="23">
        <f>IFERROR(100/'Skjema total MA'!I31*K31,0)</f>
        <v>3.7033952746321255</v>
      </c>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v>1054423</v>
      </c>
      <c r="G33" s="275">
        <v>1254881</v>
      </c>
      <c r="H33" s="150">
        <f t="shared" si="4"/>
        <v>19</v>
      </c>
      <c r="I33" s="394">
        <f>IFERROR(100/'Skjema total MA'!F33*G33,0)</f>
        <v>12.331040492673401</v>
      </c>
      <c r="J33" s="275">
        <f t="shared" si="9"/>
        <v>1054423</v>
      </c>
      <c r="K33" s="275">
        <f t="shared" si="10"/>
        <v>1254881</v>
      </c>
      <c r="L33" s="150">
        <f t="shared" si="6"/>
        <v>19</v>
      </c>
      <c r="M33" s="23">
        <f>IFERROR(100/'Skjema total MA'!I33*K33,0)</f>
        <v>12.331040492673401</v>
      </c>
    </row>
    <row r="34" spans="1:14" ht="15.75" x14ac:dyDescent="0.2">
      <c r="A34" s="13" t="s">
        <v>322</v>
      </c>
      <c r="B34" s="219"/>
      <c r="C34" s="294"/>
      <c r="D34" s="155"/>
      <c r="E34" s="11"/>
      <c r="F34" s="293">
        <v>3541</v>
      </c>
      <c r="G34" s="294">
        <v>5266</v>
      </c>
      <c r="H34" s="155">
        <f t="shared" si="4"/>
        <v>48.7</v>
      </c>
      <c r="I34" s="11">
        <f>IFERROR(100/'Skjema total MA'!F34*G34,0)</f>
        <v>-52.491630993921767</v>
      </c>
      <c r="J34" s="219">
        <f t="shared" si="5"/>
        <v>3541</v>
      </c>
      <c r="K34" s="219">
        <f t="shared" si="5"/>
        <v>5266</v>
      </c>
      <c r="L34" s="405">
        <f t="shared" si="6"/>
        <v>48.7</v>
      </c>
      <c r="M34" s="24">
        <f>IFERROR(100/'Skjema total MA'!I34*K34,0)</f>
        <v>-111.78299308155404</v>
      </c>
    </row>
    <row r="35" spans="1:14" ht="15.75" x14ac:dyDescent="0.2">
      <c r="A35" s="13" t="s">
        <v>323</v>
      </c>
      <c r="B35" s="219"/>
      <c r="C35" s="294"/>
      <c r="D35" s="155"/>
      <c r="E35" s="11"/>
      <c r="F35" s="293">
        <v>10425</v>
      </c>
      <c r="G35" s="294">
        <v>5606</v>
      </c>
      <c r="H35" s="155">
        <f t="shared" si="4"/>
        <v>-46.2</v>
      </c>
      <c r="I35" s="11">
        <f>IFERROR(100/'Skjema total MA'!F35*G35,0)</f>
        <v>9.5223996528114743</v>
      </c>
      <c r="J35" s="219">
        <f t="shared" si="5"/>
        <v>10425</v>
      </c>
      <c r="K35" s="219">
        <f t="shared" si="5"/>
        <v>5606</v>
      </c>
      <c r="L35" s="405">
        <f t="shared" si="6"/>
        <v>-46.2</v>
      </c>
      <c r="M35" s="24">
        <f>IFERROR(100/'Skjema total MA'!I35*K35,0)</f>
        <v>429.75220346894832</v>
      </c>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c r="D47" s="404"/>
      <c r="E47" s="11"/>
      <c r="F47" s="129"/>
      <c r="G47" s="33"/>
      <c r="H47" s="143"/>
      <c r="I47" s="143"/>
      <c r="J47" s="37"/>
      <c r="K47" s="37"/>
      <c r="L47" s="143"/>
      <c r="M47" s="143"/>
      <c r="N47" s="132"/>
    </row>
    <row r="48" spans="1:14" s="3" customFormat="1" ht="15.75" x14ac:dyDescent="0.2">
      <c r="A48" s="38" t="s">
        <v>332</v>
      </c>
      <c r="B48" s="266"/>
      <c r="C48" s="267"/>
      <c r="D48" s="242"/>
      <c r="E48" s="27"/>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88641</v>
      </c>
      <c r="C66" s="337">
        <v>103883</v>
      </c>
      <c r="D66" s="334">
        <f t="shared" ref="D66:D111" si="11">IF(B66=0, "    ---- ", IF(ABS(ROUND(100/B66*C66-100,1))&lt;999,ROUND(100/B66*C66-100,1),IF(ROUND(100/B66*C66-100,1)&gt;999,999,-999)))</f>
        <v>17.2</v>
      </c>
      <c r="E66" s="11">
        <f>IFERROR(100/'Skjema total MA'!C66*C66,0)</f>
        <v>3.5220321755469128</v>
      </c>
      <c r="F66" s="336">
        <v>1356791</v>
      </c>
      <c r="G66" s="336">
        <v>1550313</v>
      </c>
      <c r="H66" s="334">
        <f t="shared" ref="H66:H111" si="12">IF(F66=0, "    ---- ", IF(ABS(ROUND(100/F66*G66-100,1))&lt;999,ROUND(100/F66*G66-100,1),IF(ROUND(100/F66*G66-100,1)&gt;999,999,-999)))</f>
        <v>14.3</v>
      </c>
      <c r="I66" s="11">
        <f>IFERROR(100/'Skjema total MA'!F66*G66,0)</f>
        <v>12.231541278983768</v>
      </c>
      <c r="J66" s="294">
        <f t="shared" ref="J66:K86" si="13">SUM(B66,F66)</f>
        <v>1445432</v>
      </c>
      <c r="K66" s="301">
        <f t="shared" si="13"/>
        <v>1654196</v>
      </c>
      <c r="L66" s="405">
        <f t="shared" ref="L66:L111" si="14">IF(J66=0, "    ---- ", IF(ABS(ROUND(100/J66*K66-100,1))&lt;999,ROUND(100/J66*K66-100,1),IF(ROUND(100/J66*K66-100,1)&gt;999,999,-999)))</f>
        <v>14.4</v>
      </c>
      <c r="M66" s="11">
        <f>IFERROR(100/'Skjema total MA'!I66*K66,0)</f>
        <v>10.587373577825321</v>
      </c>
    </row>
    <row r="67" spans="1:14" x14ac:dyDescent="0.2">
      <c r="A67" s="396" t="s">
        <v>9</v>
      </c>
      <c r="B67" s="44">
        <v>88641</v>
      </c>
      <c r="C67" s="129">
        <v>103883</v>
      </c>
      <c r="D67" s="150">
        <f t="shared" si="11"/>
        <v>17.2</v>
      </c>
      <c r="E67" s="27">
        <f>IFERROR(100/'Skjema total MA'!C67*C67,0)</f>
        <v>5.2466253855379508</v>
      </c>
      <c r="F67" s="217"/>
      <c r="G67" s="129"/>
      <c r="H67" s="150"/>
      <c r="I67" s="27"/>
      <c r="J67" s="272">
        <f t="shared" si="13"/>
        <v>88641</v>
      </c>
      <c r="K67" s="44">
        <f t="shared" si="13"/>
        <v>103883</v>
      </c>
      <c r="L67" s="242">
        <f t="shared" si="14"/>
        <v>17.2</v>
      </c>
      <c r="M67" s="27">
        <f>IFERROR(100/'Skjema total MA'!I67*K67,0)</f>
        <v>5.2466253855379508</v>
      </c>
    </row>
    <row r="68" spans="1:14" x14ac:dyDescent="0.2">
      <c r="A68" s="21" t="s">
        <v>10</v>
      </c>
      <c r="B68" s="277"/>
      <c r="C68" s="278"/>
      <c r="D68" s="150"/>
      <c r="E68" s="27"/>
      <c r="F68" s="277">
        <v>1356791</v>
      </c>
      <c r="G68" s="277">
        <v>1550313</v>
      </c>
      <c r="H68" s="150">
        <f t="shared" si="12"/>
        <v>14.3</v>
      </c>
      <c r="I68" s="27">
        <f>IFERROR(100/'Skjema total MA'!F68*G68,0)</f>
        <v>12.754430988868371</v>
      </c>
      <c r="J68" s="272">
        <f t="shared" si="13"/>
        <v>1356791</v>
      </c>
      <c r="K68" s="44">
        <f t="shared" si="13"/>
        <v>1550313</v>
      </c>
      <c r="L68" s="242">
        <f t="shared" si="14"/>
        <v>14.3</v>
      </c>
      <c r="M68" s="27">
        <f>IFERROR(100/'Skjema total MA'!I68*K68,0)</f>
        <v>12.7442722798279</v>
      </c>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v>88358</v>
      </c>
      <c r="C77" s="217">
        <v>103463</v>
      </c>
      <c r="D77" s="150">
        <f t="shared" si="11"/>
        <v>17.100000000000001</v>
      </c>
      <c r="E77" s="27">
        <f>IFERROR(100/'Skjema total MA'!C77*C77,0)</f>
        <v>5.411838393504369</v>
      </c>
      <c r="F77" s="217">
        <v>1356772</v>
      </c>
      <c r="G77" s="129">
        <v>1550313</v>
      </c>
      <c r="H77" s="150">
        <f t="shared" si="12"/>
        <v>14.3</v>
      </c>
      <c r="I77" s="27">
        <f>IFERROR(100/'Skjema total MA'!F77*G77,0)</f>
        <v>12.75823335928216</v>
      </c>
      <c r="J77" s="272">
        <f t="shared" si="13"/>
        <v>1445130</v>
      </c>
      <c r="K77" s="44">
        <f t="shared" si="13"/>
        <v>1653776</v>
      </c>
      <c r="L77" s="242">
        <f t="shared" si="14"/>
        <v>14.4</v>
      </c>
      <c r="M77" s="27">
        <f>IFERROR(100/'Skjema total MA'!I77*K77,0)</f>
        <v>11.759548461493733</v>
      </c>
    </row>
    <row r="78" spans="1:14" x14ac:dyDescent="0.2">
      <c r="A78" s="21" t="s">
        <v>9</v>
      </c>
      <c r="B78" s="217">
        <v>88358</v>
      </c>
      <c r="C78" s="129">
        <v>103463</v>
      </c>
      <c r="D78" s="150">
        <f t="shared" si="11"/>
        <v>17.100000000000001</v>
      </c>
      <c r="E78" s="27">
        <f>IFERROR(100/'Skjema total MA'!C78*C78,0)</f>
        <v>5.4394056138879758</v>
      </c>
      <c r="F78" s="217"/>
      <c r="G78" s="129"/>
      <c r="H78" s="150"/>
      <c r="I78" s="27"/>
      <c r="J78" s="272">
        <f t="shared" si="13"/>
        <v>88358</v>
      </c>
      <c r="K78" s="44">
        <f t="shared" si="13"/>
        <v>103463</v>
      </c>
      <c r="L78" s="242">
        <f t="shared" si="14"/>
        <v>17.100000000000001</v>
      </c>
      <c r="M78" s="27">
        <f>IFERROR(100/'Skjema total MA'!I78*K78,0)</f>
        <v>5.4394056138879758</v>
      </c>
    </row>
    <row r="79" spans="1:14" x14ac:dyDescent="0.2">
      <c r="A79" s="38" t="s">
        <v>366</v>
      </c>
      <c r="B79" s="277"/>
      <c r="C79" s="278"/>
      <c r="D79" s="150"/>
      <c r="E79" s="27"/>
      <c r="F79" s="277">
        <v>1356772</v>
      </c>
      <c r="G79" s="278">
        <v>1550313</v>
      </c>
      <c r="H79" s="150">
        <f t="shared" si="12"/>
        <v>14.3</v>
      </c>
      <c r="I79" s="27">
        <f>IFERROR(100/'Skjema total MA'!F79*G79,0)</f>
        <v>12.75823335928216</v>
      </c>
      <c r="J79" s="272">
        <f t="shared" si="13"/>
        <v>1356772</v>
      </c>
      <c r="K79" s="44">
        <f t="shared" si="13"/>
        <v>1550313</v>
      </c>
      <c r="L79" s="242">
        <f t="shared" si="14"/>
        <v>14.3</v>
      </c>
      <c r="M79" s="27">
        <f>IFERROR(100/'Skjema total MA'!I79*K79,0)</f>
        <v>12.748068594692777</v>
      </c>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v>283</v>
      </c>
      <c r="C86" s="129">
        <v>420</v>
      </c>
      <c r="D86" s="150">
        <f t="shared" si="11"/>
        <v>48.4</v>
      </c>
      <c r="E86" s="27">
        <f>IFERROR(100/'Skjema total MA'!C86*C86,0)</f>
        <v>0.53918179547666278</v>
      </c>
      <c r="F86" s="217">
        <v>19</v>
      </c>
      <c r="G86" s="129">
        <v>0</v>
      </c>
      <c r="H86" s="150">
        <f t="shared" si="12"/>
        <v>-100</v>
      </c>
      <c r="I86" s="27">
        <f>IFERROR(100/'Skjema total MA'!F86*G86,0)</f>
        <v>0</v>
      </c>
      <c r="J86" s="272">
        <f t="shared" si="13"/>
        <v>302</v>
      </c>
      <c r="K86" s="44">
        <f t="shared" si="13"/>
        <v>420</v>
      </c>
      <c r="L86" s="242">
        <f t="shared" si="14"/>
        <v>39.1</v>
      </c>
      <c r="M86" s="27">
        <f>IFERROR(100/'Skjema total MA'!I86*K86,0)</f>
        <v>0.51522097705034031</v>
      </c>
    </row>
    <row r="87" spans="1:13" ht="15.75" x14ac:dyDescent="0.2">
      <c r="A87" s="13" t="s">
        <v>321</v>
      </c>
      <c r="B87" s="337">
        <v>5866576</v>
      </c>
      <c r="C87" s="337">
        <v>6113436</v>
      </c>
      <c r="D87" s="155">
        <f t="shared" si="11"/>
        <v>4.2</v>
      </c>
      <c r="E87" s="11">
        <f>IFERROR(100/'Skjema total MA'!C87*C87,0)</f>
        <v>1.5158655109643142</v>
      </c>
      <c r="F87" s="336">
        <v>46962643</v>
      </c>
      <c r="G87" s="336">
        <v>60834574</v>
      </c>
      <c r="H87" s="155">
        <f t="shared" si="12"/>
        <v>29.5</v>
      </c>
      <c r="I87" s="11">
        <f>IFERROR(100/'Skjema total MA'!F87*G87,0)</f>
        <v>10.345695670585128</v>
      </c>
      <c r="J87" s="294">
        <f t="shared" ref="J87:K111" si="15">SUM(B87,F87)</f>
        <v>52829219</v>
      </c>
      <c r="K87" s="219">
        <f t="shared" si="15"/>
        <v>66948010</v>
      </c>
      <c r="L87" s="405">
        <f t="shared" si="14"/>
        <v>26.7</v>
      </c>
      <c r="M87" s="11">
        <f>IFERROR(100/'Skjema total MA'!I87*K87,0)</f>
        <v>6.7534552124362524</v>
      </c>
    </row>
    <row r="88" spans="1:13" x14ac:dyDescent="0.2">
      <c r="A88" s="21" t="s">
        <v>9</v>
      </c>
      <c r="B88" s="217">
        <v>5866576</v>
      </c>
      <c r="C88" s="129">
        <v>6113436</v>
      </c>
      <c r="D88" s="150">
        <f t="shared" si="11"/>
        <v>4.2</v>
      </c>
      <c r="E88" s="27">
        <f>IFERROR(100/'Skjema total MA'!C88*C88,0)</f>
        <v>1.5914462339723656</v>
      </c>
      <c r="F88" s="217"/>
      <c r="G88" s="129"/>
      <c r="H88" s="150"/>
      <c r="I88" s="27"/>
      <c r="J88" s="272">
        <f t="shared" si="15"/>
        <v>5866576</v>
      </c>
      <c r="K88" s="44">
        <f t="shared" si="15"/>
        <v>6113436</v>
      </c>
      <c r="L88" s="242">
        <f t="shared" si="14"/>
        <v>4.2</v>
      </c>
      <c r="M88" s="27">
        <f>IFERROR(100/'Skjema total MA'!I88*K88,0)</f>
        <v>1.5914462339723656</v>
      </c>
    </row>
    <row r="89" spans="1:13" x14ac:dyDescent="0.2">
      <c r="A89" s="21" t="s">
        <v>10</v>
      </c>
      <c r="B89" s="217"/>
      <c r="C89" s="129"/>
      <c r="D89" s="150"/>
      <c r="E89" s="27"/>
      <c r="F89" s="217">
        <v>46962643</v>
      </c>
      <c r="G89" s="129">
        <v>60834574</v>
      </c>
      <c r="H89" s="150">
        <f t="shared" si="12"/>
        <v>29.5</v>
      </c>
      <c r="I89" s="27">
        <f>IFERROR(100/'Skjema total MA'!F89*G89,0)</f>
        <v>10.501005754913196</v>
      </c>
      <c r="J89" s="272">
        <f t="shared" si="15"/>
        <v>46962643</v>
      </c>
      <c r="K89" s="44">
        <f t="shared" si="15"/>
        <v>60834574</v>
      </c>
      <c r="L89" s="242">
        <f t="shared" si="14"/>
        <v>29.5</v>
      </c>
      <c r="M89" s="27">
        <f>IFERROR(100/'Skjema total MA'!I89*K89,0)</f>
        <v>10.458736010776743</v>
      </c>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v>5863614</v>
      </c>
      <c r="C98" s="217">
        <v>6108990</v>
      </c>
      <c r="D98" s="150">
        <f t="shared" si="11"/>
        <v>4.2</v>
      </c>
      <c r="E98" s="27">
        <f>IFERROR(100/'Skjema total MA'!C98*C98,0)</f>
        <v>1.5986065119021426</v>
      </c>
      <c r="F98" s="277">
        <v>46962553</v>
      </c>
      <c r="G98" s="277">
        <v>60834496</v>
      </c>
      <c r="H98" s="150">
        <f t="shared" si="12"/>
        <v>29.5</v>
      </c>
      <c r="I98" s="27">
        <f>IFERROR(100/'Skjema total MA'!F98*G98,0)</f>
        <v>10.508223738070408</v>
      </c>
      <c r="J98" s="272">
        <f t="shared" si="15"/>
        <v>52826167</v>
      </c>
      <c r="K98" s="44">
        <f t="shared" si="15"/>
        <v>66943486</v>
      </c>
      <c r="L98" s="242">
        <f t="shared" si="14"/>
        <v>26.7</v>
      </c>
      <c r="M98" s="27">
        <f>IFERROR(100/'Skjema total MA'!I98*K98,0)</f>
        <v>6.9655347788054076</v>
      </c>
    </row>
    <row r="99" spans="1:13" x14ac:dyDescent="0.2">
      <c r="A99" s="21" t="s">
        <v>9</v>
      </c>
      <c r="B99" s="277">
        <v>5863614</v>
      </c>
      <c r="C99" s="278">
        <v>6108990</v>
      </c>
      <c r="D99" s="150">
        <f t="shared" si="11"/>
        <v>4.2</v>
      </c>
      <c r="E99" s="27">
        <f>IFERROR(100/'Skjema total MA'!C99*C99,0)</f>
        <v>1.6084614251610689</v>
      </c>
      <c r="F99" s="217"/>
      <c r="G99" s="129"/>
      <c r="H99" s="150"/>
      <c r="I99" s="27"/>
      <c r="J99" s="272">
        <f t="shared" si="15"/>
        <v>5863614</v>
      </c>
      <c r="K99" s="44">
        <f t="shared" si="15"/>
        <v>6108990</v>
      </c>
      <c r="L99" s="242">
        <f t="shared" si="14"/>
        <v>4.2</v>
      </c>
      <c r="M99" s="27">
        <f>IFERROR(100/'Skjema total MA'!I99*K99,0)</f>
        <v>1.6084614251610689</v>
      </c>
    </row>
    <row r="100" spans="1:13" x14ac:dyDescent="0.2">
      <c r="A100" s="38" t="s">
        <v>366</v>
      </c>
      <c r="B100" s="277"/>
      <c r="C100" s="278"/>
      <c r="D100" s="150"/>
      <c r="E100" s="27"/>
      <c r="F100" s="217">
        <v>46962553</v>
      </c>
      <c r="G100" s="217">
        <v>60834496</v>
      </c>
      <c r="H100" s="150">
        <f t="shared" si="12"/>
        <v>29.5</v>
      </c>
      <c r="I100" s="27">
        <f>IFERROR(100/'Skjema total MA'!F100*G100,0)</f>
        <v>10.508223738070408</v>
      </c>
      <c r="J100" s="272">
        <f t="shared" si="15"/>
        <v>46962553</v>
      </c>
      <c r="K100" s="44">
        <f t="shared" si="15"/>
        <v>60834496</v>
      </c>
      <c r="L100" s="242">
        <f t="shared" si="14"/>
        <v>29.5</v>
      </c>
      <c r="M100" s="27">
        <f>IFERROR(100/'Skjema total MA'!I100*K100,0)</f>
        <v>10.465895927866354</v>
      </c>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v>2962</v>
      </c>
      <c r="C107" s="129">
        <v>4446</v>
      </c>
      <c r="D107" s="150">
        <f t="shared" si="11"/>
        <v>50.1</v>
      </c>
      <c r="E107" s="27">
        <f>IFERROR(100/'Skjema total MA'!C107*C107,0)</f>
        <v>0.1024401780822452</v>
      </c>
      <c r="F107" s="217">
        <v>90</v>
      </c>
      <c r="G107" s="129">
        <v>78</v>
      </c>
      <c r="H107" s="150">
        <f t="shared" si="12"/>
        <v>-13.3</v>
      </c>
      <c r="I107" s="27">
        <f>IFERROR(100/'Skjema total MA'!F107*G107,0)</f>
        <v>1.9564951323343491E-2</v>
      </c>
      <c r="J107" s="272">
        <f t="shared" si="15"/>
        <v>3052</v>
      </c>
      <c r="K107" s="44">
        <f t="shared" si="15"/>
        <v>4524</v>
      </c>
      <c r="L107" s="242">
        <f t="shared" si="14"/>
        <v>48.2</v>
      </c>
      <c r="M107" s="27">
        <f>IFERROR(100/'Skjema total MA'!I107*K107,0)</f>
        <v>9.5467890517935736E-2</v>
      </c>
    </row>
    <row r="108" spans="1:13" ht="15.75" x14ac:dyDescent="0.2">
      <c r="A108" s="21" t="s">
        <v>340</v>
      </c>
      <c r="B108" s="217">
        <v>4078325</v>
      </c>
      <c r="C108" s="217">
        <v>3994243</v>
      </c>
      <c r="D108" s="150">
        <f t="shared" si="11"/>
        <v>-2.1</v>
      </c>
      <c r="E108" s="27">
        <f>IFERROR(100/'Skjema total MA'!C108*C108,0)</f>
        <v>1.2043649534770251</v>
      </c>
      <c r="F108" s="217"/>
      <c r="G108" s="217"/>
      <c r="H108" s="150"/>
      <c r="I108" s="27"/>
      <c r="J108" s="272">
        <f t="shared" si="15"/>
        <v>4078325</v>
      </c>
      <c r="K108" s="44">
        <f t="shared" si="15"/>
        <v>3994243</v>
      </c>
      <c r="L108" s="242">
        <f t="shared" si="14"/>
        <v>-2.1</v>
      </c>
      <c r="M108" s="27">
        <f>IFERROR(100/'Skjema total MA'!I108*K108,0)</f>
        <v>1.129142605298934</v>
      </c>
    </row>
    <row r="109" spans="1:13" ht="15.75" x14ac:dyDescent="0.2">
      <c r="A109" s="38" t="s">
        <v>374</v>
      </c>
      <c r="B109" s="217"/>
      <c r="C109" s="217"/>
      <c r="D109" s="150"/>
      <c r="E109" s="27"/>
      <c r="F109" s="217">
        <v>19844581</v>
      </c>
      <c r="G109" s="217">
        <v>25931254</v>
      </c>
      <c r="H109" s="150">
        <f t="shared" si="12"/>
        <v>30.7</v>
      </c>
      <c r="I109" s="27">
        <f>IFERROR(100/'Skjema total MA'!F109*G109,0)</f>
        <v>11.930458064754061</v>
      </c>
      <c r="J109" s="272">
        <f t="shared" si="15"/>
        <v>19844581</v>
      </c>
      <c r="K109" s="44">
        <f t="shared" si="15"/>
        <v>25931254</v>
      </c>
      <c r="L109" s="242">
        <f t="shared" si="14"/>
        <v>30.7</v>
      </c>
      <c r="M109" s="27">
        <f>IFERROR(100/'Skjema total MA'!I109*K109,0)</f>
        <v>11.797331322894298</v>
      </c>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v>49919</v>
      </c>
      <c r="C111" s="143">
        <v>35642</v>
      </c>
      <c r="D111" s="155">
        <f t="shared" si="11"/>
        <v>-28.6</v>
      </c>
      <c r="E111" s="11">
        <f>IFERROR(100/'Skjema total MA'!C111*C111,0)</f>
        <v>16.079224892826534</v>
      </c>
      <c r="F111" s="293">
        <v>2913902</v>
      </c>
      <c r="G111" s="143">
        <v>2221872</v>
      </c>
      <c r="H111" s="155">
        <f t="shared" si="12"/>
        <v>-23.7</v>
      </c>
      <c r="I111" s="11">
        <f>IFERROR(100/'Skjema total MA'!F111*G111,0)</f>
        <v>15.98965209182551</v>
      </c>
      <c r="J111" s="294">
        <f t="shared" si="15"/>
        <v>2963821</v>
      </c>
      <c r="K111" s="219">
        <f t="shared" si="15"/>
        <v>2257514</v>
      </c>
      <c r="L111" s="405">
        <f t="shared" si="14"/>
        <v>-23.8</v>
      </c>
      <c r="M111" s="11">
        <f>IFERROR(100/'Skjema total MA'!I111*K111,0)</f>
        <v>15.991058527493971</v>
      </c>
    </row>
    <row r="112" spans="1:13" x14ac:dyDescent="0.2">
      <c r="A112" s="21" t="s">
        <v>9</v>
      </c>
      <c r="B112" s="217">
        <v>49919</v>
      </c>
      <c r="C112" s="129">
        <v>35642</v>
      </c>
      <c r="D112" s="150">
        <f t="shared" ref="D112:D120" si="16">IF(B112=0, "    ---- ", IF(ABS(ROUND(100/B112*C112-100,1))&lt;999,ROUND(100/B112*C112-100,1),IF(ROUND(100/B112*C112-100,1)&gt;999,999,-999)))</f>
        <v>-28.6</v>
      </c>
      <c r="E112" s="27">
        <f>IFERROR(100/'Skjema total MA'!C112*C112,0)</f>
        <v>22.22073289183195</v>
      </c>
      <c r="F112" s="217"/>
      <c r="G112" s="129"/>
      <c r="H112" s="150"/>
      <c r="I112" s="27"/>
      <c r="J112" s="272">
        <f t="shared" ref="J112:K125" si="17">SUM(B112,F112)</f>
        <v>49919</v>
      </c>
      <c r="K112" s="44">
        <f t="shared" si="17"/>
        <v>35642</v>
      </c>
      <c r="L112" s="242">
        <f t="shared" ref="L112:L125" si="18">IF(J112=0, "    ---- ", IF(ABS(ROUND(100/J112*K112-100,1))&lt;999,ROUND(100/J112*K112-100,1),IF(ROUND(100/J112*K112-100,1)&gt;999,999,-999)))</f>
        <v>-28.6</v>
      </c>
      <c r="M112" s="27">
        <f>IFERROR(100/'Skjema total MA'!I112*K112,0)</f>
        <v>22.085300769751978</v>
      </c>
    </row>
    <row r="113" spans="1:14" x14ac:dyDescent="0.2">
      <c r="A113" s="21" t="s">
        <v>10</v>
      </c>
      <c r="B113" s="217"/>
      <c r="C113" s="129"/>
      <c r="D113" s="150"/>
      <c r="E113" s="27"/>
      <c r="F113" s="217">
        <v>2913902</v>
      </c>
      <c r="G113" s="129">
        <v>2221872</v>
      </c>
      <c r="H113" s="150">
        <f t="shared" ref="H113:H125" si="19">IF(F113=0, "    ---- ", IF(ABS(ROUND(100/F113*G113-100,1))&lt;999,ROUND(100/F113*G113-100,1),IF(ROUND(100/F113*G113-100,1)&gt;999,999,-999)))</f>
        <v>-23.7</v>
      </c>
      <c r="I113" s="27">
        <f>IFERROR(100/'Skjema total MA'!F113*G113,0)</f>
        <v>15.990784001541108</v>
      </c>
      <c r="J113" s="272">
        <f t="shared" si="17"/>
        <v>2913902</v>
      </c>
      <c r="K113" s="44">
        <f t="shared" si="17"/>
        <v>2221872</v>
      </c>
      <c r="L113" s="242">
        <f t="shared" si="18"/>
        <v>-23.7</v>
      </c>
      <c r="M113" s="27">
        <f>IFERROR(100/'Skjema total MA'!I113*K113,0)</f>
        <v>15.990784001541108</v>
      </c>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v>1904</v>
      </c>
      <c r="C116" s="217">
        <v>7242</v>
      </c>
      <c r="D116" s="150">
        <f t="shared" si="16"/>
        <v>280.39999999999998</v>
      </c>
      <c r="E116" s="27">
        <f>IFERROR(100/'Skjema total MA'!C116*C116,0)</f>
        <v>28.565522077515752</v>
      </c>
      <c r="F116" s="217"/>
      <c r="G116" s="217"/>
      <c r="H116" s="150"/>
      <c r="I116" s="27"/>
      <c r="J116" s="272">
        <f t="shared" si="17"/>
        <v>1904</v>
      </c>
      <c r="K116" s="44">
        <f t="shared" si="17"/>
        <v>7242</v>
      </c>
      <c r="L116" s="242">
        <f t="shared" si="18"/>
        <v>280.39999999999998</v>
      </c>
      <c r="M116" s="27">
        <f>IFERROR(100/'Skjema total MA'!I116*K116,0)</f>
        <v>27.498638832566208</v>
      </c>
    </row>
    <row r="117" spans="1:14" ht="15.75" x14ac:dyDescent="0.2">
      <c r="A117" s="38" t="s">
        <v>374</v>
      </c>
      <c r="B117" s="217"/>
      <c r="C117" s="217"/>
      <c r="D117" s="150"/>
      <c r="E117" s="27"/>
      <c r="F117" s="217">
        <v>1044127</v>
      </c>
      <c r="G117" s="217">
        <v>874236</v>
      </c>
      <c r="H117" s="150">
        <f t="shared" si="19"/>
        <v>-16.3</v>
      </c>
      <c r="I117" s="27">
        <f>IFERROR(100/'Skjema total MA'!F117*G117,0)</f>
        <v>12.993638737998227</v>
      </c>
      <c r="J117" s="272">
        <f t="shared" si="17"/>
        <v>1044127</v>
      </c>
      <c r="K117" s="44">
        <f t="shared" si="17"/>
        <v>874236</v>
      </c>
      <c r="L117" s="242">
        <f t="shared" si="18"/>
        <v>-16.3</v>
      </c>
      <c r="M117" s="27">
        <f>IFERROR(100/'Skjema total MA'!I117*K117,0)</f>
        <v>12.993638737998227</v>
      </c>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v>13613</v>
      </c>
      <c r="C119" s="143">
        <v>13161</v>
      </c>
      <c r="D119" s="155">
        <f t="shared" si="16"/>
        <v>-3.3</v>
      </c>
      <c r="E119" s="11">
        <f>IFERROR(100/'Skjema total MA'!C119*C119,0)</f>
        <v>12.555203241293313</v>
      </c>
      <c r="F119" s="293">
        <v>1285329</v>
      </c>
      <c r="G119" s="143">
        <v>1797796</v>
      </c>
      <c r="H119" s="155">
        <f t="shared" si="19"/>
        <v>39.9</v>
      </c>
      <c r="I119" s="11">
        <f>IFERROR(100/'Skjema total MA'!F119*G119,0)</f>
        <v>11.728451654240233</v>
      </c>
      <c r="J119" s="294">
        <f t="shared" si="17"/>
        <v>1298942</v>
      </c>
      <c r="K119" s="219">
        <f t="shared" si="17"/>
        <v>1810957</v>
      </c>
      <c r="L119" s="405">
        <f t="shared" si="18"/>
        <v>39.4</v>
      </c>
      <c r="M119" s="11">
        <f>IFERROR(100/'Skjema total MA'!I119*K119,0)</f>
        <v>11.734067053058055</v>
      </c>
    </row>
    <row r="120" spans="1:14" x14ac:dyDescent="0.2">
      <c r="A120" s="21" t="s">
        <v>9</v>
      </c>
      <c r="B120" s="217">
        <v>13613</v>
      </c>
      <c r="C120" s="129">
        <v>13161</v>
      </c>
      <c r="D120" s="150">
        <f t="shared" si="16"/>
        <v>-3.3</v>
      </c>
      <c r="E120" s="27">
        <f>IFERROR(100/'Skjema total MA'!C120*C120,0)</f>
        <v>22.751821524816684</v>
      </c>
      <c r="F120" s="217"/>
      <c r="G120" s="129"/>
      <c r="H120" s="150"/>
      <c r="I120" s="27"/>
      <c r="J120" s="272">
        <f t="shared" si="17"/>
        <v>13613</v>
      </c>
      <c r="K120" s="44">
        <f t="shared" si="17"/>
        <v>13161</v>
      </c>
      <c r="L120" s="242">
        <f t="shared" si="18"/>
        <v>-3.3</v>
      </c>
      <c r="M120" s="27">
        <f>IFERROR(100/'Skjema total MA'!I120*K120,0)</f>
        <v>22.751821524816684</v>
      </c>
    </row>
    <row r="121" spans="1:14" x14ac:dyDescent="0.2">
      <c r="A121" s="21" t="s">
        <v>10</v>
      </c>
      <c r="B121" s="217"/>
      <c r="C121" s="129"/>
      <c r="D121" s="150"/>
      <c r="E121" s="27"/>
      <c r="F121" s="217">
        <v>1285329</v>
      </c>
      <c r="G121" s="129">
        <v>1797796</v>
      </c>
      <c r="H121" s="150">
        <f t="shared" si="19"/>
        <v>39.9</v>
      </c>
      <c r="I121" s="27">
        <f>IFERROR(100/'Skjema total MA'!F121*G121,0)</f>
        <v>11.728451654240233</v>
      </c>
      <c r="J121" s="272">
        <f t="shared" si="17"/>
        <v>1285329</v>
      </c>
      <c r="K121" s="44">
        <f t="shared" si="17"/>
        <v>1797796</v>
      </c>
      <c r="L121" s="242">
        <f t="shared" si="18"/>
        <v>39.9</v>
      </c>
      <c r="M121" s="27">
        <f>IFERROR(100/'Skjema total MA'!I121*K121,0)</f>
        <v>11.72384123462353</v>
      </c>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v>655859</v>
      </c>
      <c r="G125" s="217">
        <v>845095</v>
      </c>
      <c r="H125" s="150">
        <f t="shared" si="19"/>
        <v>28.9</v>
      </c>
      <c r="I125" s="27">
        <f>IFERROR(100/'Skjema total MA'!F125*G125,0)</f>
        <v>12.295331811317949</v>
      </c>
      <c r="J125" s="272">
        <f t="shared" si="17"/>
        <v>655859</v>
      </c>
      <c r="K125" s="44">
        <f t="shared" si="17"/>
        <v>845095</v>
      </c>
      <c r="L125" s="242">
        <f t="shared" si="18"/>
        <v>28.9</v>
      </c>
      <c r="M125" s="27">
        <f>IFERROR(100/'Skjema total MA'!I125*K125,0)</f>
        <v>12.295331811317949</v>
      </c>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094" priority="133">
      <formula>kvartal &lt; 4</formula>
    </cfRule>
  </conditionalFormatting>
  <conditionalFormatting sqref="B69">
    <cfRule type="expression" dxfId="1093" priority="101">
      <formula>kvartal &lt; 4</formula>
    </cfRule>
  </conditionalFormatting>
  <conditionalFormatting sqref="C69">
    <cfRule type="expression" dxfId="1092" priority="100">
      <formula>kvartal &lt; 4</formula>
    </cfRule>
  </conditionalFormatting>
  <conditionalFormatting sqref="B72">
    <cfRule type="expression" dxfId="1091" priority="99">
      <formula>kvartal &lt; 4</formula>
    </cfRule>
  </conditionalFormatting>
  <conditionalFormatting sqref="C72">
    <cfRule type="expression" dxfId="1090" priority="98">
      <formula>kvartal &lt; 4</formula>
    </cfRule>
  </conditionalFormatting>
  <conditionalFormatting sqref="B80">
    <cfRule type="expression" dxfId="1089" priority="97">
      <formula>kvartal &lt; 4</formula>
    </cfRule>
  </conditionalFormatting>
  <conditionalFormatting sqref="C80">
    <cfRule type="expression" dxfId="1088" priority="96">
      <formula>kvartal &lt; 4</formula>
    </cfRule>
  </conditionalFormatting>
  <conditionalFormatting sqref="B83">
    <cfRule type="expression" dxfId="1087" priority="95">
      <formula>kvartal &lt; 4</formula>
    </cfRule>
  </conditionalFormatting>
  <conditionalFormatting sqref="C83">
    <cfRule type="expression" dxfId="1086" priority="94">
      <formula>kvartal &lt; 4</formula>
    </cfRule>
  </conditionalFormatting>
  <conditionalFormatting sqref="B90">
    <cfRule type="expression" dxfId="1085" priority="85">
      <formula>kvartal &lt; 4</formula>
    </cfRule>
  </conditionalFormatting>
  <conditionalFormatting sqref="C90">
    <cfRule type="expression" dxfId="1084" priority="84">
      <formula>kvartal &lt; 4</formula>
    </cfRule>
  </conditionalFormatting>
  <conditionalFormatting sqref="B93">
    <cfRule type="expression" dxfId="1083" priority="83">
      <formula>kvartal &lt; 4</formula>
    </cfRule>
  </conditionalFormatting>
  <conditionalFormatting sqref="C93">
    <cfRule type="expression" dxfId="1082" priority="82">
      <formula>kvartal &lt; 4</formula>
    </cfRule>
  </conditionalFormatting>
  <conditionalFormatting sqref="B101">
    <cfRule type="expression" dxfId="1081" priority="81">
      <formula>kvartal &lt; 4</formula>
    </cfRule>
  </conditionalFormatting>
  <conditionalFormatting sqref="C101">
    <cfRule type="expression" dxfId="1080" priority="80">
      <formula>kvartal &lt; 4</formula>
    </cfRule>
  </conditionalFormatting>
  <conditionalFormatting sqref="B104">
    <cfRule type="expression" dxfId="1079" priority="79">
      <formula>kvartal &lt; 4</formula>
    </cfRule>
  </conditionalFormatting>
  <conditionalFormatting sqref="C104">
    <cfRule type="expression" dxfId="1078" priority="78">
      <formula>kvartal &lt; 4</formula>
    </cfRule>
  </conditionalFormatting>
  <conditionalFormatting sqref="B115">
    <cfRule type="expression" dxfId="1077" priority="77">
      <formula>kvartal &lt; 4</formula>
    </cfRule>
  </conditionalFormatting>
  <conditionalFormatting sqref="C115">
    <cfRule type="expression" dxfId="1076" priority="76">
      <formula>kvartal &lt; 4</formula>
    </cfRule>
  </conditionalFormatting>
  <conditionalFormatting sqref="B123">
    <cfRule type="expression" dxfId="1075" priority="75">
      <formula>kvartal &lt; 4</formula>
    </cfRule>
  </conditionalFormatting>
  <conditionalFormatting sqref="C123">
    <cfRule type="expression" dxfId="1074" priority="74">
      <formula>kvartal &lt; 4</formula>
    </cfRule>
  </conditionalFormatting>
  <conditionalFormatting sqref="F70">
    <cfRule type="expression" dxfId="1073" priority="73">
      <formula>kvartal &lt; 4</formula>
    </cfRule>
  </conditionalFormatting>
  <conditionalFormatting sqref="G70">
    <cfRule type="expression" dxfId="1072" priority="72">
      <formula>kvartal &lt; 4</formula>
    </cfRule>
  </conditionalFormatting>
  <conditionalFormatting sqref="F71:G71">
    <cfRule type="expression" dxfId="1071" priority="71">
      <formula>kvartal &lt; 4</formula>
    </cfRule>
  </conditionalFormatting>
  <conditionalFormatting sqref="F73:G74">
    <cfRule type="expression" dxfId="1070" priority="70">
      <formula>kvartal &lt; 4</formula>
    </cfRule>
  </conditionalFormatting>
  <conditionalFormatting sqref="F81:G82">
    <cfRule type="expression" dxfId="1069" priority="69">
      <formula>kvartal &lt; 4</formula>
    </cfRule>
  </conditionalFormatting>
  <conditionalFormatting sqref="F84:G85">
    <cfRule type="expression" dxfId="1068" priority="68">
      <formula>kvartal &lt; 4</formula>
    </cfRule>
  </conditionalFormatting>
  <conditionalFormatting sqref="F91:G92">
    <cfRule type="expression" dxfId="1067" priority="63">
      <formula>kvartal &lt; 4</formula>
    </cfRule>
  </conditionalFormatting>
  <conditionalFormatting sqref="F94:G95">
    <cfRule type="expression" dxfId="1066" priority="62">
      <formula>kvartal &lt; 4</formula>
    </cfRule>
  </conditionalFormatting>
  <conditionalFormatting sqref="F102:G103">
    <cfRule type="expression" dxfId="1065" priority="61">
      <formula>kvartal &lt; 4</formula>
    </cfRule>
  </conditionalFormatting>
  <conditionalFormatting sqref="F105:G106">
    <cfRule type="expression" dxfId="1064" priority="60">
      <formula>kvartal &lt; 4</formula>
    </cfRule>
  </conditionalFormatting>
  <conditionalFormatting sqref="F115">
    <cfRule type="expression" dxfId="1063" priority="59">
      <formula>kvartal &lt; 4</formula>
    </cfRule>
  </conditionalFormatting>
  <conditionalFormatting sqref="G115">
    <cfRule type="expression" dxfId="1062" priority="58">
      <formula>kvartal &lt; 4</formula>
    </cfRule>
  </conditionalFormatting>
  <conditionalFormatting sqref="F123:G123">
    <cfRule type="expression" dxfId="1061" priority="57">
      <formula>kvartal &lt; 4</formula>
    </cfRule>
  </conditionalFormatting>
  <conditionalFormatting sqref="F69:G69">
    <cfRule type="expression" dxfId="1060" priority="56">
      <formula>kvartal &lt; 4</formula>
    </cfRule>
  </conditionalFormatting>
  <conditionalFormatting sqref="F72:G72">
    <cfRule type="expression" dxfId="1059" priority="55">
      <formula>kvartal &lt; 4</formula>
    </cfRule>
  </conditionalFormatting>
  <conditionalFormatting sqref="F80:G80">
    <cfRule type="expression" dxfId="1058" priority="54">
      <formula>kvartal &lt; 4</formula>
    </cfRule>
  </conditionalFormatting>
  <conditionalFormatting sqref="F83:G83">
    <cfRule type="expression" dxfId="1057" priority="53">
      <formula>kvartal &lt; 4</formula>
    </cfRule>
  </conditionalFormatting>
  <conditionalFormatting sqref="F90:G90">
    <cfRule type="expression" dxfId="1056" priority="47">
      <formula>kvartal &lt; 4</formula>
    </cfRule>
  </conditionalFormatting>
  <conditionalFormatting sqref="F93">
    <cfRule type="expression" dxfId="1055" priority="46">
      <formula>kvartal &lt; 4</formula>
    </cfRule>
  </conditionalFormatting>
  <conditionalFormatting sqref="G93">
    <cfRule type="expression" dxfId="1054" priority="45">
      <formula>kvartal &lt; 4</formula>
    </cfRule>
  </conditionalFormatting>
  <conditionalFormatting sqref="F101">
    <cfRule type="expression" dxfId="1053" priority="44">
      <formula>kvartal &lt; 4</formula>
    </cfRule>
  </conditionalFormatting>
  <conditionalFormatting sqref="G101">
    <cfRule type="expression" dxfId="1052" priority="43">
      <formula>kvartal &lt; 4</formula>
    </cfRule>
  </conditionalFormatting>
  <conditionalFormatting sqref="G104">
    <cfRule type="expression" dxfId="1051" priority="42">
      <formula>kvartal &lt; 4</formula>
    </cfRule>
  </conditionalFormatting>
  <conditionalFormatting sqref="F104">
    <cfRule type="expression" dxfId="1050" priority="41">
      <formula>kvartal &lt; 4</formula>
    </cfRule>
  </conditionalFormatting>
  <conditionalFormatting sqref="J69:K73">
    <cfRule type="expression" dxfId="1049" priority="40">
      <formula>kvartal &lt; 4</formula>
    </cfRule>
  </conditionalFormatting>
  <conditionalFormatting sqref="J74:K74">
    <cfRule type="expression" dxfId="1048" priority="39">
      <formula>kvartal &lt; 4</formula>
    </cfRule>
  </conditionalFormatting>
  <conditionalFormatting sqref="J80:K85">
    <cfRule type="expression" dxfId="1047" priority="38">
      <formula>kvartal &lt; 4</formula>
    </cfRule>
  </conditionalFormatting>
  <conditionalFormatting sqref="J90:K95">
    <cfRule type="expression" dxfId="1046" priority="35">
      <formula>kvartal &lt; 4</formula>
    </cfRule>
  </conditionalFormatting>
  <conditionalFormatting sqref="J101:K106">
    <cfRule type="expression" dxfId="1045" priority="34">
      <formula>kvartal &lt; 4</formula>
    </cfRule>
  </conditionalFormatting>
  <conditionalFormatting sqref="J115:K115">
    <cfRule type="expression" dxfId="1044" priority="33">
      <formula>kvartal &lt; 4</formula>
    </cfRule>
  </conditionalFormatting>
  <conditionalFormatting sqref="J123:K123">
    <cfRule type="expression" dxfId="1043" priority="32">
      <formula>kvartal &lt; 4</formula>
    </cfRule>
  </conditionalFormatting>
  <conditionalFormatting sqref="A50:A52">
    <cfRule type="expression" dxfId="1042" priority="13">
      <formula>kvartal &lt; 4</formula>
    </cfRule>
  </conditionalFormatting>
  <conditionalFormatting sqref="A69:A74">
    <cfRule type="expression" dxfId="1041" priority="11">
      <formula>kvartal &lt; 4</formula>
    </cfRule>
  </conditionalFormatting>
  <conditionalFormatting sqref="A80:A85">
    <cfRule type="expression" dxfId="1040" priority="10">
      <formula>kvartal &lt; 4</formula>
    </cfRule>
  </conditionalFormatting>
  <conditionalFormatting sqref="A90:A95">
    <cfRule type="expression" dxfId="1039" priority="7">
      <formula>kvartal &lt; 4</formula>
    </cfRule>
  </conditionalFormatting>
  <conditionalFormatting sqref="A101:A106">
    <cfRule type="expression" dxfId="1038" priority="6">
      <formula>kvartal &lt; 4</formula>
    </cfRule>
  </conditionalFormatting>
  <conditionalFormatting sqref="A115">
    <cfRule type="expression" dxfId="1037" priority="5">
      <formula>kvartal &lt; 4</formula>
    </cfRule>
  </conditionalFormatting>
  <conditionalFormatting sqref="A123">
    <cfRule type="expression" dxfId="1036" priority="4">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118</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v>128482.66864857</v>
      </c>
      <c r="C7" s="292">
        <v>135275.22691376499</v>
      </c>
      <c r="D7" s="334">
        <f>IF(B7=0, "    ---- ", IF(ABS(ROUND(100/B7*C7-100,1))&lt;999,ROUND(100/B7*C7-100,1),IF(ROUND(100/B7*C7-100,1)&gt;999,999,-999)))</f>
        <v>5.3</v>
      </c>
      <c r="E7" s="11">
        <f>IFERROR(100/'Skjema total MA'!C7*C7,0)</f>
        <v>7.0596240251115381</v>
      </c>
      <c r="F7" s="291"/>
      <c r="G7" s="292"/>
      <c r="H7" s="334"/>
      <c r="I7" s="144"/>
      <c r="J7" s="293">
        <f t="shared" ref="J7:K9" si="0">SUM(B7,F7)</f>
        <v>128482.66864857</v>
      </c>
      <c r="K7" s="294">
        <f t="shared" si="0"/>
        <v>135275.22691376499</v>
      </c>
      <c r="L7" s="404">
        <f>IF(J7=0, "    ---- ", IF(ABS(ROUND(100/J7*K7-100,1))&lt;999,ROUND(100/J7*K7-100,1),IF(ROUND(100/J7*K7-100,1)&gt;999,999,-999)))</f>
        <v>5.3</v>
      </c>
      <c r="M7" s="11">
        <f>IFERROR(100/'Skjema total MA'!I7*K7,0)</f>
        <v>2.320559300502282</v>
      </c>
    </row>
    <row r="8" spans="1:14" ht="15.75" x14ac:dyDescent="0.2">
      <c r="A8" s="21" t="s">
        <v>25</v>
      </c>
      <c r="B8" s="266">
        <v>92752.219653880005</v>
      </c>
      <c r="C8" s="267">
        <v>104118.376498098</v>
      </c>
      <c r="D8" s="150">
        <f t="shared" ref="D8:D9" si="1">IF(B8=0, "    ---- ", IF(ABS(ROUND(100/B8*C8-100,1))&lt;999,ROUND(100/B8*C8-100,1),IF(ROUND(100/B8*C8-100,1)&gt;999,999,-999)))</f>
        <v>12.3</v>
      </c>
      <c r="E8" s="27">
        <f>IFERROR(100/'Skjema total MA'!C8*C8,0)</f>
        <v>8.0476018147642066</v>
      </c>
      <c r="F8" s="270"/>
      <c r="G8" s="271"/>
      <c r="H8" s="150"/>
      <c r="I8" s="160"/>
      <c r="J8" s="217">
        <f t="shared" si="0"/>
        <v>92752.219653880005</v>
      </c>
      <c r="K8" s="272">
        <f t="shared" si="0"/>
        <v>104118.376498098</v>
      </c>
      <c r="L8" s="150">
        <f t="shared" ref="L8:L9" si="2">IF(J8=0, "    ---- ", IF(ABS(ROUND(100/J8*K8-100,1))&lt;999,ROUND(100/J8*K8-100,1),IF(ROUND(100/J8*K8-100,1)&gt;999,999,-999)))</f>
        <v>12.3</v>
      </c>
      <c r="M8" s="27">
        <f>IFERROR(100/'Skjema total MA'!I8*K8,0)</f>
        <v>8.0476018147642066</v>
      </c>
    </row>
    <row r="9" spans="1:14" ht="15.75" x14ac:dyDescent="0.2">
      <c r="A9" s="21" t="s">
        <v>24</v>
      </c>
      <c r="B9" s="266">
        <v>35730.448994690298</v>
      </c>
      <c r="C9" s="267">
        <v>31156.8504156667</v>
      </c>
      <c r="D9" s="150">
        <f t="shared" si="1"/>
        <v>-12.8</v>
      </c>
      <c r="E9" s="27">
        <f>IFERROR(100/'Skjema total MA'!C9*C9,0)</f>
        <v>7.2856384007524513</v>
      </c>
      <c r="F9" s="270"/>
      <c r="G9" s="271"/>
      <c r="H9" s="150"/>
      <c r="I9" s="160"/>
      <c r="J9" s="217">
        <f t="shared" si="0"/>
        <v>35730.448994690298</v>
      </c>
      <c r="K9" s="272">
        <f t="shared" si="0"/>
        <v>31156.8504156667</v>
      </c>
      <c r="L9" s="150">
        <f t="shared" si="2"/>
        <v>-12.8</v>
      </c>
      <c r="M9" s="27">
        <f>IFERROR(100/'Skjema total MA'!I9*K9,0)</f>
        <v>7.2856384007524513</v>
      </c>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v>77053.175550291198</v>
      </c>
      <c r="C28" s="272">
        <v>90743.745325906799</v>
      </c>
      <c r="D28" s="150">
        <f t="shared" ref="D28" si="3">IF(B28=0, "    ---- ", IF(ABS(ROUND(100/B28*C28-100,1))&lt;999,ROUND(100/B28*C28-100,1),IF(ROUND(100/B28*C28-100,1)&gt;999,999,-999)))</f>
        <v>17.8</v>
      </c>
      <c r="E28" s="11">
        <f>IFERROR(100/'Skjema total MA'!C28*C28,0)</f>
        <v>8.5978714524868725</v>
      </c>
      <c r="F28" s="217"/>
      <c r="G28" s="272"/>
      <c r="H28" s="150"/>
      <c r="I28" s="27"/>
      <c r="J28" s="44">
        <f t="shared" ref="J28:K28" si="4">SUM(B28,F28)</f>
        <v>77053.175550291198</v>
      </c>
      <c r="K28" s="44">
        <f t="shared" si="4"/>
        <v>90743.745325906799</v>
      </c>
      <c r="L28" s="242">
        <f t="shared" ref="L28" si="5">IF(J28=0, "    ---- ", IF(ABS(ROUND(100/J28*K28-100,1))&lt;999,ROUND(100/J28*K28-100,1),IF(ROUND(100/J28*K28-100,1)&gt;999,999,-999)))</f>
        <v>17.8</v>
      </c>
      <c r="M28" s="23">
        <f>IFERROR(100/'Skjema total MA'!I28*K28,0)</f>
        <v>8.5978714524868725</v>
      </c>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96113.202999999994</v>
      </c>
      <c r="C47" s="296">
        <v>115010.26969</v>
      </c>
      <c r="D47" s="404">
        <f t="shared" ref="D47:D57" si="6">IF(B47=0, "    ---- ", IF(ABS(ROUND(100/B47*C47-100,1))&lt;999,ROUND(100/B47*C47-100,1),IF(ROUND(100/B47*C47-100,1)&gt;999,999,-999)))</f>
        <v>19.7</v>
      </c>
      <c r="E47" s="11">
        <f>IFERROR(100/'Skjema total MA'!C47*C47,0)</f>
        <v>2.7925768059194049</v>
      </c>
      <c r="F47" s="129"/>
      <c r="G47" s="33"/>
      <c r="H47" s="143"/>
      <c r="I47" s="143"/>
      <c r="J47" s="37"/>
      <c r="K47" s="37"/>
      <c r="L47" s="143"/>
      <c r="M47" s="143"/>
      <c r="N47" s="132"/>
    </row>
    <row r="48" spans="1:14" s="3" customFormat="1" ht="15.75" x14ac:dyDescent="0.2">
      <c r="A48" s="38" t="s">
        <v>332</v>
      </c>
      <c r="B48" s="266">
        <v>96113.202999999994</v>
      </c>
      <c r="C48" s="267">
        <v>115010.26969</v>
      </c>
      <c r="D48" s="242">
        <f t="shared" si="6"/>
        <v>19.7</v>
      </c>
      <c r="E48" s="27">
        <f>IFERROR(100/'Skjema total MA'!C48*C48,0)</f>
        <v>5.2261498439547305</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v>729.43700000000001</v>
      </c>
      <c r="C53" s="296">
        <v>6159.0410000000002</v>
      </c>
      <c r="D53" s="405">
        <f t="shared" si="6"/>
        <v>744.4</v>
      </c>
      <c r="E53" s="11">
        <f>IFERROR(100/'Skjema total MA'!C53*C53,0)</f>
        <v>6.0319195619353216</v>
      </c>
      <c r="F53" s="129"/>
      <c r="G53" s="33"/>
      <c r="H53" s="129"/>
      <c r="I53" s="129"/>
      <c r="J53" s="33"/>
      <c r="K53" s="33"/>
      <c r="L53" s="143"/>
      <c r="M53" s="143"/>
      <c r="N53" s="132"/>
    </row>
    <row r="54" spans="1:14" s="3" customFormat="1" ht="15.75" x14ac:dyDescent="0.2">
      <c r="A54" s="38" t="s">
        <v>332</v>
      </c>
      <c r="B54" s="266">
        <v>729.43700000000001</v>
      </c>
      <c r="C54" s="267">
        <v>6159.0410000000002</v>
      </c>
      <c r="D54" s="242">
        <f t="shared" si="6"/>
        <v>744.4</v>
      </c>
      <c r="E54" s="27">
        <f>IFERROR(100/'Skjema total MA'!C54*C54,0)</f>
        <v>6.0909153904500482</v>
      </c>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v>90.27</v>
      </c>
      <c r="C56" s="296">
        <v>0</v>
      </c>
      <c r="D56" s="405">
        <f t="shared" si="6"/>
        <v>-100</v>
      </c>
      <c r="E56" s="11">
        <f>IFERROR(100/'Skjema total MA'!C56*C56,0)</f>
        <v>0</v>
      </c>
      <c r="F56" s="129"/>
      <c r="G56" s="33"/>
      <c r="H56" s="129"/>
      <c r="I56" s="129"/>
      <c r="J56" s="33"/>
      <c r="K56" s="33"/>
      <c r="L56" s="143"/>
      <c r="M56" s="143"/>
      <c r="N56" s="132"/>
    </row>
    <row r="57" spans="1:14" s="3" customFormat="1" ht="15.75" x14ac:dyDescent="0.2">
      <c r="A57" s="38" t="s">
        <v>332</v>
      </c>
      <c r="B57" s="266">
        <v>90.27</v>
      </c>
      <c r="C57" s="267">
        <v>0</v>
      </c>
      <c r="D57" s="242">
        <f t="shared" si="6"/>
        <v>-100</v>
      </c>
      <c r="E57" s="27">
        <f>IFERROR(100/'Skjema total MA'!C57*C57,0)</f>
        <v>0</v>
      </c>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035" priority="132">
      <formula>kvartal &lt; 4</formula>
    </cfRule>
  </conditionalFormatting>
  <conditionalFormatting sqref="B69">
    <cfRule type="expression" dxfId="1034" priority="100">
      <formula>kvartal &lt; 4</formula>
    </cfRule>
  </conditionalFormatting>
  <conditionalFormatting sqref="C69">
    <cfRule type="expression" dxfId="1033" priority="99">
      <formula>kvartal &lt; 4</formula>
    </cfRule>
  </conditionalFormatting>
  <conditionalFormatting sqref="B72">
    <cfRule type="expression" dxfId="1032" priority="98">
      <formula>kvartal &lt; 4</formula>
    </cfRule>
  </conditionalFormatting>
  <conditionalFormatting sqref="C72">
    <cfRule type="expression" dxfId="1031" priority="97">
      <formula>kvartal &lt; 4</formula>
    </cfRule>
  </conditionalFormatting>
  <conditionalFormatting sqref="B80">
    <cfRule type="expression" dxfId="1030" priority="96">
      <formula>kvartal &lt; 4</formula>
    </cfRule>
  </conditionalFormatting>
  <conditionalFormatting sqref="C80">
    <cfRule type="expression" dxfId="1029" priority="95">
      <formula>kvartal &lt; 4</formula>
    </cfRule>
  </conditionalFormatting>
  <conditionalFormatting sqref="B83">
    <cfRule type="expression" dxfId="1028" priority="94">
      <formula>kvartal &lt; 4</formula>
    </cfRule>
  </conditionalFormatting>
  <conditionalFormatting sqref="C83">
    <cfRule type="expression" dxfId="1027" priority="93">
      <formula>kvartal &lt; 4</formula>
    </cfRule>
  </conditionalFormatting>
  <conditionalFormatting sqref="B90">
    <cfRule type="expression" dxfId="1026" priority="84">
      <formula>kvartal &lt; 4</formula>
    </cfRule>
  </conditionalFormatting>
  <conditionalFormatting sqref="C90">
    <cfRule type="expression" dxfId="1025" priority="83">
      <formula>kvartal &lt; 4</formula>
    </cfRule>
  </conditionalFormatting>
  <conditionalFormatting sqref="B93">
    <cfRule type="expression" dxfId="1024" priority="82">
      <formula>kvartal &lt; 4</formula>
    </cfRule>
  </conditionalFormatting>
  <conditionalFormatting sqref="C93">
    <cfRule type="expression" dxfId="1023" priority="81">
      <formula>kvartal &lt; 4</formula>
    </cfRule>
  </conditionalFormatting>
  <conditionalFormatting sqref="B101">
    <cfRule type="expression" dxfId="1022" priority="80">
      <formula>kvartal &lt; 4</formula>
    </cfRule>
  </conditionalFormatting>
  <conditionalFormatting sqref="C101">
    <cfRule type="expression" dxfId="1021" priority="79">
      <formula>kvartal &lt; 4</formula>
    </cfRule>
  </conditionalFormatting>
  <conditionalFormatting sqref="B104">
    <cfRule type="expression" dxfId="1020" priority="78">
      <formula>kvartal &lt; 4</formula>
    </cfRule>
  </conditionalFormatting>
  <conditionalFormatting sqref="C104">
    <cfRule type="expression" dxfId="1019" priority="77">
      <formula>kvartal &lt; 4</formula>
    </cfRule>
  </conditionalFormatting>
  <conditionalFormatting sqref="B115">
    <cfRule type="expression" dxfId="1018" priority="76">
      <formula>kvartal &lt; 4</formula>
    </cfRule>
  </conditionalFormatting>
  <conditionalFormatting sqref="C115">
    <cfRule type="expression" dxfId="1017" priority="75">
      <formula>kvartal &lt; 4</formula>
    </cfRule>
  </conditionalFormatting>
  <conditionalFormatting sqref="B123">
    <cfRule type="expression" dxfId="1016" priority="74">
      <formula>kvartal &lt; 4</formula>
    </cfRule>
  </conditionalFormatting>
  <conditionalFormatting sqref="C123">
    <cfRule type="expression" dxfId="1015" priority="73">
      <formula>kvartal &lt; 4</formula>
    </cfRule>
  </conditionalFormatting>
  <conditionalFormatting sqref="F70">
    <cfRule type="expression" dxfId="1014" priority="72">
      <formula>kvartal &lt; 4</formula>
    </cfRule>
  </conditionalFormatting>
  <conditionalFormatting sqref="G70">
    <cfRule type="expression" dxfId="1013" priority="71">
      <formula>kvartal &lt; 4</formula>
    </cfRule>
  </conditionalFormatting>
  <conditionalFormatting sqref="F71:G71">
    <cfRule type="expression" dxfId="1012" priority="70">
      <formula>kvartal &lt; 4</formula>
    </cfRule>
  </conditionalFormatting>
  <conditionalFormatting sqref="F73:G74">
    <cfRule type="expression" dxfId="1011" priority="69">
      <formula>kvartal &lt; 4</formula>
    </cfRule>
  </conditionalFormatting>
  <conditionalFormatting sqref="F81:G82">
    <cfRule type="expression" dxfId="1010" priority="68">
      <formula>kvartal &lt; 4</formula>
    </cfRule>
  </conditionalFormatting>
  <conditionalFormatting sqref="F84:G85">
    <cfRule type="expression" dxfId="1009" priority="67">
      <formula>kvartal &lt; 4</formula>
    </cfRule>
  </conditionalFormatting>
  <conditionalFormatting sqref="F91:G92">
    <cfRule type="expression" dxfId="1008" priority="62">
      <formula>kvartal &lt; 4</formula>
    </cfRule>
  </conditionalFormatting>
  <conditionalFormatting sqref="F94:G95">
    <cfRule type="expression" dxfId="1007" priority="61">
      <formula>kvartal &lt; 4</formula>
    </cfRule>
  </conditionalFormatting>
  <conditionalFormatting sqref="F102:G103">
    <cfRule type="expression" dxfId="1006" priority="60">
      <formula>kvartal &lt; 4</formula>
    </cfRule>
  </conditionalFormatting>
  <conditionalFormatting sqref="F105:G106">
    <cfRule type="expression" dxfId="1005" priority="59">
      <formula>kvartal &lt; 4</formula>
    </cfRule>
  </conditionalFormatting>
  <conditionalFormatting sqref="F115">
    <cfRule type="expression" dxfId="1004" priority="58">
      <formula>kvartal &lt; 4</formula>
    </cfRule>
  </conditionalFormatting>
  <conditionalFormatting sqref="G115">
    <cfRule type="expression" dxfId="1003" priority="57">
      <formula>kvartal &lt; 4</formula>
    </cfRule>
  </conditionalFormatting>
  <conditionalFormatting sqref="F123:G123">
    <cfRule type="expression" dxfId="1002" priority="56">
      <formula>kvartal &lt; 4</formula>
    </cfRule>
  </conditionalFormatting>
  <conditionalFormatting sqref="F69:G69">
    <cfRule type="expression" dxfId="1001" priority="55">
      <formula>kvartal &lt; 4</formula>
    </cfRule>
  </conditionalFormatting>
  <conditionalFormatting sqref="F72:G72">
    <cfRule type="expression" dxfId="1000" priority="54">
      <formula>kvartal &lt; 4</formula>
    </cfRule>
  </conditionalFormatting>
  <conditionalFormatting sqref="F80:G80">
    <cfRule type="expression" dxfId="999" priority="53">
      <formula>kvartal &lt; 4</formula>
    </cfRule>
  </conditionalFormatting>
  <conditionalFormatting sqref="F83:G83">
    <cfRule type="expression" dxfId="998" priority="52">
      <formula>kvartal &lt; 4</formula>
    </cfRule>
  </conditionalFormatting>
  <conditionalFormatting sqref="F90:G90">
    <cfRule type="expression" dxfId="997" priority="46">
      <formula>kvartal &lt; 4</formula>
    </cfRule>
  </conditionalFormatting>
  <conditionalFormatting sqref="F93">
    <cfRule type="expression" dxfId="996" priority="45">
      <formula>kvartal &lt; 4</formula>
    </cfRule>
  </conditionalFormatting>
  <conditionalFormatting sqref="G93">
    <cfRule type="expression" dxfId="995" priority="44">
      <formula>kvartal &lt; 4</formula>
    </cfRule>
  </conditionalFormatting>
  <conditionalFormatting sqref="F101">
    <cfRule type="expression" dxfId="994" priority="43">
      <formula>kvartal &lt; 4</formula>
    </cfRule>
  </conditionalFormatting>
  <conditionalFormatting sqref="G101">
    <cfRule type="expression" dxfId="993" priority="42">
      <formula>kvartal &lt; 4</formula>
    </cfRule>
  </conditionalFormatting>
  <conditionalFormatting sqref="G104">
    <cfRule type="expression" dxfId="992" priority="41">
      <formula>kvartal &lt; 4</formula>
    </cfRule>
  </conditionalFormatting>
  <conditionalFormatting sqref="F104">
    <cfRule type="expression" dxfId="991" priority="40">
      <formula>kvartal &lt; 4</formula>
    </cfRule>
  </conditionalFormatting>
  <conditionalFormatting sqref="J69:K73">
    <cfRule type="expression" dxfId="990" priority="39">
      <formula>kvartal &lt; 4</formula>
    </cfRule>
  </conditionalFormatting>
  <conditionalFormatting sqref="J74:K74">
    <cfRule type="expression" dxfId="989" priority="38">
      <formula>kvartal &lt; 4</formula>
    </cfRule>
  </conditionalFormatting>
  <conditionalFormatting sqref="J80:K85">
    <cfRule type="expression" dxfId="988" priority="37">
      <formula>kvartal &lt; 4</formula>
    </cfRule>
  </conditionalFormatting>
  <conditionalFormatting sqref="J90:K95">
    <cfRule type="expression" dxfId="987" priority="34">
      <formula>kvartal &lt; 4</formula>
    </cfRule>
  </conditionalFormatting>
  <conditionalFormatting sqref="J101:K106">
    <cfRule type="expression" dxfId="986" priority="33">
      <formula>kvartal &lt; 4</formula>
    </cfRule>
  </conditionalFormatting>
  <conditionalFormatting sqref="J115:K115">
    <cfRule type="expression" dxfId="985" priority="32">
      <formula>kvartal &lt; 4</formula>
    </cfRule>
  </conditionalFormatting>
  <conditionalFormatting sqref="J123:K123">
    <cfRule type="expression" dxfId="984" priority="31">
      <formula>kvartal &lt; 4</formula>
    </cfRule>
  </conditionalFormatting>
  <conditionalFormatting sqref="A50:A52">
    <cfRule type="expression" dxfId="983" priority="12">
      <formula>kvartal &lt; 4</formula>
    </cfRule>
  </conditionalFormatting>
  <conditionalFormatting sqref="A69:A74">
    <cfRule type="expression" dxfId="982" priority="10">
      <formula>kvartal &lt; 4</formula>
    </cfRule>
  </conditionalFormatting>
  <conditionalFormatting sqref="A80:A85">
    <cfRule type="expression" dxfId="981" priority="9">
      <formula>kvartal &lt; 4</formula>
    </cfRule>
  </conditionalFormatting>
  <conditionalFormatting sqref="A90:A95">
    <cfRule type="expression" dxfId="980" priority="6">
      <formula>kvartal &lt; 4</formula>
    </cfRule>
  </conditionalFormatting>
  <conditionalFormatting sqref="A101:A106">
    <cfRule type="expression" dxfId="979" priority="5">
      <formula>kvartal &lt; 4</formula>
    </cfRule>
  </conditionalFormatting>
  <conditionalFormatting sqref="A115">
    <cfRule type="expression" dxfId="978" priority="4">
      <formula>kvartal &lt; 4</formula>
    </cfRule>
  </conditionalFormatting>
  <conditionalFormatting sqref="A123">
    <cfRule type="expression" dxfId="977" priority="3">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61</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4"/>
      <c r="M7" s="11"/>
    </row>
    <row r="8" spans="1:14" ht="15.75" x14ac:dyDescent="0.2">
      <c r="A8" s="21" t="s">
        <v>25</v>
      </c>
      <c r="B8" s="266"/>
      <c r="C8" s="267"/>
      <c r="D8" s="150"/>
      <c r="E8" s="27"/>
      <c r="F8" s="270"/>
      <c r="G8" s="271"/>
      <c r="H8" s="150"/>
      <c r="I8" s="160"/>
      <c r="J8" s="217"/>
      <c r="K8" s="272"/>
      <c r="L8" s="150"/>
      <c r="M8" s="27"/>
    </row>
    <row r="9" spans="1:14" ht="15.75" x14ac:dyDescent="0.2">
      <c r="A9" s="21" t="s">
        <v>24</v>
      </c>
      <c r="B9" s="266"/>
      <c r="C9" s="267"/>
      <c r="D9" s="150"/>
      <c r="E9" s="27"/>
      <c r="F9" s="270"/>
      <c r="G9" s="271"/>
      <c r="H9" s="150"/>
      <c r="I9" s="160"/>
      <c r="J9" s="217"/>
      <c r="K9" s="272"/>
      <c r="L9" s="150"/>
      <c r="M9" s="27"/>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c r="D47" s="404"/>
      <c r="E47" s="11"/>
      <c r="F47" s="129"/>
      <c r="G47" s="33"/>
      <c r="H47" s="143"/>
      <c r="I47" s="143"/>
      <c r="J47" s="37"/>
      <c r="K47" s="37"/>
      <c r="L47" s="143"/>
      <c r="M47" s="143"/>
      <c r="N47" s="132"/>
    </row>
    <row r="48" spans="1:14" s="3" customFormat="1" ht="15.75" x14ac:dyDescent="0.2">
      <c r="A48" s="38" t="s">
        <v>332</v>
      </c>
      <c r="B48" s="266"/>
      <c r="C48" s="267"/>
      <c r="D48" s="242"/>
      <c r="E48" s="27"/>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v>7553784.4308399996</v>
      </c>
      <c r="C134" s="294">
        <v>7819124.7919600001</v>
      </c>
      <c r="D134" s="334">
        <f t="shared" ref="D134:D137" si="0">IF(B134=0, "    ---- ", IF(ABS(ROUND(100/B134*C134-100,1))&lt;999,ROUND(100/B134*C134-100,1),IF(ROUND(100/B134*C134-100,1)&gt;999,999,-999)))</f>
        <v>3.5</v>
      </c>
      <c r="E134" s="11">
        <f>IFERROR(100/'Skjema total MA'!C134*C134,0)</f>
        <v>86.823280996858557</v>
      </c>
      <c r="F134" s="301">
        <v>18550.222000000002</v>
      </c>
      <c r="G134" s="302">
        <v>22688.987000000001</v>
      </c>
      <c r="H134" s="408">
        <f t="shared" ref="H134:H136" si="1">IF(F134=0, "    ---- ", IF(ABS(ROUND(100/F134*G134-100,1))&lt;999,ROUND(100/F134*G134-100,1),IF(ROUND(100/F134*G134-100,1)&gt;999,999,-999)))</f>
        <v>22.3</v>
      </c>
      <c r="I134" s="24">
        <f>IFERROR(100/'Skjema total MA'!F134*G134,0)</f>
        <v>100</v>
      </c>
      <c r="J134" s="303">
        <f t="shared" ref="J134:K137" si="2">SUM(B134,F134)</f>
        <v>7572334.6528399996</v>
      </c>
      <c r="K134" s="303">
        <f t="shared" si="2"/>
        <v>7841813.7789599998</v>
      </c>
      <c r="L134" s="404">
        <f t="shared" ref="L134:L137" si="3">IF(J134=0, "    ---- ", IF(ABS(ROUND(100/J134*K134-100,1))&lt;999,ROUND(100/J134*K134-100,1),IF(ROUND(100/J134*K134-100,1)&gt;999,999,-999)))</f>
        <v>3.6</v>
      </c>
      <c r="M134" s="11">
        <f>IFERROR(100/'Skjema total MA'!I134*K134,0)</f>
        <v>86.856394693390854</v>
      </c>
      <c r="N134" s="132"/>
    </row>
    <row r="135" spans="1:14" s="3" customFormat="1" ht="15.75" x14ac:dyDescent="0.2">
      <c r="A135" s="13" t="s">
        <v>348</v>
      </c>
      <c r="B135" s="219">
        <v>665564510.55555999</v>
      </c>
      <c r="C135" s="294">
        <v>742435451.03683996</v>
      </c>
      <c r="D135" s="155">
        <f t="shared" si="0"/>
        <v>11.5</v>
      </c>
      <c r="E135" s="11">
        <f>IFERROR(100/'Skjema total MA'!C135*C135,0)</f>
        <v>86.431535347073435</v>
      </c>
      <c r="F135" s="219">
        <v>2609059.09693</v>
      </c>
      <c r="G135" s="294">
        <v>2764463.4104599999</v>
      </c>
      <c r="H135" s="409">
        <f t="shared" si="1"/>
        <v>6</v>
      </c>
      <c r="I135" s="24">
        <f>IFERROR(100/'Skjema total MA'!F135*G135,0)</f>
        <v>100</v>
      </c>
      <c r="J135" s="293">
        <f t="shared" si="2"/>
        <v>668173569.65249002</v>
      </c>
      <c r="K135" s="293">
        <f t="shared" si="2"/>
        <v>745199914.44729996</v>
      </c>
      <c r="L135" s="405">
        <f t="shared" si="3"/>
        <v>11.5</v>
      </c>
      <c r="M135" s="11">
        <f>IFERROR(100/'Skjema total MA'!I135*K135,0)</f>
        <v>86.475062437898444</v>
      </c>
      <c r="N135" s="132"/>
    </row>
    <row r="136" spans="1:14" s="3" customFormat="1" ht="15.75" x14ac:dyDescent="0.2">
      <c r="A136" s="13" t="s">
        <v>345</v>
      </c>
      <c r="B136" s="219">
        <v>91093.686000000002</v>
      </c>
      <c r="C136" s="294">
        <v>263.99400000000003</v>
      </c>
      <c r="D136" s="155">
        <f t="shared" si="0"/>
        <v>-99.7</v>
      </c>
      <c r="E136" s="11">
        <f>IFERROR(100/'Skjema total MA'!C136*C136,0)</f>
        <v>1.1042039640770898E-2</v>
      </c>
      <c r="F136" s="219"/>
      <c r="G136" s="294">
        <v>-182.05500000000001</v>
      </c>
      <c r="H136" s="409" t="str">
        <f t="shared" si="1"/>
        <v xml:space="preserve">    ---- </v>
      </c>
      <c r="I136" s="24">
        <f>IFERROR(100/'Skjema total MA'!F136*G136,0)</f>
        <v>100</v>
      </c>
      <c r="J136" s="293">
        <f t="shared" si="2"/>
        <v>91093.686000000002</v>
      </c>
      <c r="K136" s="293">
        <f t="shared" si="2"/>
        <v>81.939000000000021</v>
      </c>
      <c r="L136" s="405">
        <f t="shared" si="3"/>
        <v>-99.9</v>
      </c>
      <c r="M136" s="11">
        <f>IFERROR(100/'Skjema total MA'!I136*K136,0)</f>
        <v>3.4275119433632029E-3</v>
      </c>
      <c r="N136" s="132"/>
    </row>
    <row r="137" spans="1:14" s="3" customFormat="1" ht="15.75" x14ac:dyDescent="0.2">
      <c r="A137" s="41" t="s">
        <v>346</v>
      </c>
      <c r="B137" s="261">
        <v>2125461.818</v>
      </c>
      <c r="C137" s="300">
        <v>2455531.2259999998</v>
      </c>
      <c r="D137" s="153">
        <f t="shared" si="0"/>
        <v>15.5</v>
      </c>
      <c r="E137" s="9">
        <f>IFERROR(100/'Skjema total MA'!C137*C137,0)</f>
        <v>100</v>
      </c>
      <c r="F137" s="261"/>
      <c r="G137" s="300"/>
      <c r="H137" s="410"/>
      <c r="I137" s="36"/>
      <c r="J137" s="299">
        <f t="shared" si="2"/>
        <v>2125461.818</v>
      </c>
      <c r="K137" s="299">
        <f t="shared" si="2"/>
        <v>2455531.2259999998</v>
      </c>
      <c r="L137" s="406">
        <f t="shared" si="3"/>
        <v>15.5</v>
      </c>
      <c r="M137" s="36">
        <f>IFERROR(100/'Skjema total MA'!I137*K137,0)</f>
        <v>100</v>
      </c>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976" priority="132">
      <formula>kvartal &lt; 4</formula>
    </cfRule>
  </conditionalFormatting>
  <conditionalFormatting sqref="B69">
    <cfRule type="expression" dxfId="975" priority="100">
      <formula>kvartal &lt; 4</formula>
    </cfRule>
  </conditionalFormatting>
  <conditionalFormatting sqref="C69">
    <cfRule type="expression" dxfId="974" priority="99">
      <formula>kvartal &lt; 4</formula>
    </cfRule>
  </conditionalFormatting>
  <conditionalFormatting sqref="B72">
    <cfRule type="expression" dxfId="973" priority="98">
      <formula>kvartal &lt; 4</formula>
    </cfRule>
  </conditionalFormatting>
  <conditionalFormatting sqref="C72">
    <cfRule type="expression" dxfId="972" priority="97">
      <formula>kvartal &lt; 4</formula>
    </cfRule>
  </conditionalFormatting>
  <conditionalFormatting sqref="B80">
    <cfRule type="expression" dxfId="971" priority="96">
      <formula>kvartal &lt; 4</formula>
    </cfRule>
  </conditionalFormatting>
  <conditionalFormatting sqref="C80">
    <cfRule type="expression" dxfId="970" priority="95">
      <formula>kvartal &lt; 4</formula>
    </cfRule>
  </conditionalFormatting>
  <conditionalFormatting sqref="B83">
    <cfRule type="expression" dxfId="969" priority="94">
      <formula>kvartal &lt; 4</formula>
    </cfRule>
  </conditionalFormatting>
  <conditionalFormatting sqref="C83">
    <cfRule type="expression" dxfId="968" priority="93">
      <formula>kvartal &lt; 4</formula>
    </cfRule>
  </conditionalFormatting>
  <conditionalFormatting sqref="B90">
    <cfRule type="expression" dxfId="967" priority="84">
      <formula>kvartal &lt; 4</formula>
    </cfRule>
  </conditionalFormatting>
  <conditionalFormatting sqref="C90">
    <cfRule type="expression" dxfId="966" priority="83">
      <formula>kvartal &lt; 4</formula>
    </cfRule>
  </conditionalFormatting>
  <conditionalFormatting sqref="B93">
    <cfRule type="expression" dxfId="965" priority="82">
      <formula>kvartal &lt; 4</formula>
    </cfRule>
  </conditionalFormatting>
  <conditionalFormatting sqref="C93">
    <cfRule type="expression" dxfId="964" priority="81">
      <formula>kvartal &lt; 4</formula>
    </cfRule>
  </conditionalFormatting>
  <conditionalFormatting sqref="B101">
    <cfRule type="expression" dxfId="963" priority="80">
      <formula>kvartal &lt; 4</formula>
    </cfRule>
  </conditionalFormatting>
  <conditionalFormatting sqref="C101">
    <cfRule type="expression" dxfId="962" priority="79">
      <formula>kvartal &lt; 4</formula>
    </cfRule>
  </conditionalFormatting>
  <conditionalFormatting sqref="B104">
    <cfRule type="expression" dxfId="961" priority="78">
      <formula>kvartal &lt; 4</formula>
    </cfRule>
  </conditionalFormatting>
  <conditionalFormatting sqref="C104">
    <cfRule type="expression" dxfId="960" priority="77">
      <formula>kvartal &lt; 4</formula>
    </cfRule>
  </conditionalFormatting>
  <conditionalFormatting sqref="B115">
    <cfRule type="expression" dxfId="959" priority="76">
      <formula>kvartal &lt; 4</formula>
    </cfRule>
  </conditionalFormatting>
  <conditionalFormatting sqref="C115">
    <cfRule type="expression" dxfId="958" priority="75">
      <formula>kvartal &lt; 4</formula>
    </cfRule>
  </conditionalFormatting>
  <conditionalFormatting sqref="B123">
    <cfRule type="expression" dxfId="957" priority="74">
      <formula>kvartal &lt; 4</formula>
    </cfRule>
  </conditionalFormatting>
  <conditionalFormatting sqref="C123">
    <cfRule type="expression" dxfId="956" priority="73">
      <formula>kvartal &lt; 4</formula>
    </cfRule>
  </conditionalFormatting>
  <conditionalFormatting sqref="F70">
    <cfRule type="expression" dxfId="955" priority="72">
      <formula>kvartal &lt; 4</formula>
    </cfRule>
  </conditionalFormatting>
  <conditionalFormatting sqref="G70">
    <cfRule type="expression" dxfId="954" priority="71">
      <formula>kvartal &lt; 4</formula>
    </cfRule>
  </conditionalFormatting>
  <conditionalFormatting sqref="F71:G71">
    <cfRule type="expression" dxfId="953" priority="70">
      <formula>kvartal &lt; 4</formula>
    </cfRule>
  </conditionalFormatting>
  <conditionalFormatting sqref="F73:G74">
    <cfRule type="expression" dxfId="952" priority="69">
      <formula>kvartal &lt; 4</formula>
    </cfRule>
  </conditionalFormatting>
  <conditionalFormatting sqref="F81:G82">
    <cfRule type="expression" dxfId="951" priority="68">
      <formula>kvartal &lt; 4</formula>
    </cfRule>
  </conditionalFormatting>
  <conditionalFormatting sqref="F84:G85">
    <cfRule type="expression" dxfId="950" priority="67">
      <formula>kvartal &lt; 4</formula>
    </cfRule>
  </conditionalFormatting>
  <conditionalFormatting sqref="F91:G92">
    <cfRule type="expression" dxfId="949" priority="62">
      <formula>kvartal &lt; 4</formula>
    </cfRule>
  </conditionalFormatting>
  <conditionalFormatting sqref="F94:G95">
    <cfRule type="expression" dxfId="948" priority="61">
      <formula>kvartal &lt; 4</formula>
    </cfRule>
  </conditionalFormatting>
  <conditionalFormatting sqref="F102:G103">
    <cfRule type="expression" dxfId="947" priority="60">
      <formula>kvartal &lt; 4</formula>
    </cfRule>
  </conditionalFormatting>
  <conditionalFormatting sqref="F105:G106">
    <cfRule type="expression" dxfId="946" priority="59">
      <formula>kvartal &lt; 4</formula>
    </cfRule>
  </conditionalFormatting>
  <conditionalFormatting sqref="F115">
    <cfRule type="expression" dxfId="945" priority="58">
      <formula>kvartal &lt; 4</formula>
    </cfRule>
  </conditionalFormatting>
  <conditionalFormatting sqref="G115">
    <cfRule type="expression" dxfId="944" priority="57">
      <formula>kvartal &lt; 4</formula>
    </cfRule>
  </conditionalFormatting>
  <conditionalFormatting sqref="F123:G123">
    <cfRule type="expression" dxfId="943" priority="56">
      <formula>kvartal &lt; 4</formula>
    </cfRule>
  </conditionalFormatting>
  <conditionalFormatting sqref="F69:G69">
    <cfRule type="expression" dxfId="942" priority="55">
      <formula>kvartal &lt; 4</formula>
    </cfRule>
  </conditionalFormatting>
  <conditionalFormatting sqref="F72:G72">
    <cfRule type="expression" dxfId="941" priority="54">
      <formula>kvartal &lt; 4</formula>
    </cfRule>
  </conditionalFormatting>
  <conditionalFormatting sqref="F80:G80">
    <cfRule type="expression" dxfId="940" priority="53">
      <formula>kvartal &lt; 4</formula>
    </cfRule>
  </conditionalFormatting>
  <conditionalFormatting sqref="F83:G83">
    <cfRule type="expression" dxfId="939" priority="52">
      <formula>kvartal &lt; 4</formula>
    </cfRule>
  </conditionalFormatting>
  <conditionalFormatting sqref="F90:G90">
    <cfRule type="expression" dxfId="938" priority="46">
      <formula>kvartal &lt; 4</formula>
    </cfRule>
  </conditionalFormatting>
  <conditionalFormatting sqref="F93">
    <cfRule type="expression" dxfId="937" priority="45">
      <formula>kvartal &lt; 4</formula>
    </cfRule>
  </conditionalFormatting>
  <conditionalFormatting sqref="G93">
    <cfRule type="expression" dxfId="936" priority="44">
      <formula>kvartal &lt; 4</formula>
    </cfRule>
  </conditionalFormatting>
  <conditionalFormatting sqref="F101">
    <cfRule type="expression" dxfId="935" priority="43">
      <formula>kvartal &lt; 4</formula>
    </cfRule>
  </conditionalFormatting>
  <conditionalFormatting sqref="G101">
    <cfRule type="expression" dxfId="934" priority="42">
      <formula>kvartal &lt; 4</formula>
    </cfRule>
  </conditionalFormatting>
  <conditionalFormatting sqref="G104">
    <cfRule type="expression" dxfId="933" priority="41">
      <formula>kvartal &lt; 4</formula>
    </cfRule>
  </conditionalFormatting>
  <conditionalFormatting sqref="F104">
    <cfRule type="expression" dxfId="932" priority="40">
      <formula>kvartal &lt; 4</formula>
    </cfRule>
  </conditionalFormatting>
  <conditionalFormatting sqref="J69:K73">
    <cfRule type="expression" dxfId="931" priority="39">
      <formula>kvartal &lt; 4</formula>
    </cfRule>
  </conditionalFormatting>
  <conditionalFormatting sqref="J74:K74">
    <cfRule type="expression" dxfId="930" priority="38">
      <formula>kvartal &lt; 4</formula>
    </cfRule>
  </conditionalFormatting>
  <conditionalFormatting sqref="J80:K85">
    <cfRule type="expression" dxfId="929" priority="37">
      <formula>kvartal &lt; 4</formula>
    </cfRule>
  </conditionalFormatting>
  <conditionalFormatting sqref="J90:K95">
    <cfRule type="expression" dxfId="928" priority="34">
      <formula>kvartal &lt; 4</formula>
    </cfRule>
  </conditionalFormatting>
  <conditionalFormatting sqref="J101:K106">
    <cfRule type="expression" dxfId="927" priority="33">
      <formula>kvartal &lt; 4</formula>
    </cfRule>
  </conditionalFormatting>
  <conditionalFormatting sqref="J115:K115">
    <cfRule type="expression" dxfId="926" priority="32">
      <formula>kvartal &lt; 4</formula>
    </cfRule>
  </conditionalFormatting>
  <conditionalFormatting sqref="J123:K123">
    <cfRule type="expression" dxfId="925" priority="31">
      <formula>kvartal &lt; 4</formula>
    </cfRule>
  </conditionalFormatting>
  <conditionalFormatting sqref="A50:A52">
    <cfRule type="expression" dxfId="924" priority="12">
      <formula>kvartal &lt; 4</formula>
    </cfRule>
  </conditionalFormatting>
  <conditionalFormatting sqref="A69:A74">
    <cfRule type="expression" dxfId="923" priority="10">
      <formula>kvartal &lt; 4</formula>
    </cfRule>
  </conditionalFormatting>
  <conditionalFormatting sqref="A80:A85">
    <cfRule type="expression" dxfId="922" priority="9">
      <formula>kvartal &lt; 4</formula>
    </cfRule>
  </conditionalFormatting>
  <conditionalFormatting sqref="A90:A95">
    <cfRule type="expression" dxfId="921" priority="6">
      <formula>kvartal &lt; 4</formula>
    </cfRule>
  </conditionalFormatting>
  <conditionalFormatting sqref="A101:A106">
    <cfRule type="expression" dxfId="920" priority="5">
      <formula>kvartal &lt; 4</formula>
    </cfRule>
  </conditionalFormatting>
  <conditionalFormatting sqref="A115">
    <cfRule type="expression" dxfId="919" priority="4">
      <formula>kvartal &lt; 4</formula>
    </cfRule>
  </conditionalFormatting>
  <conditionalFormatting sqref="A123">
    <cfRule type="expression" dxfId="918" priority="3">
      <formula>kvartal &lt; 4</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122</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v>9745.2489999999998</v>
      </c>
      <c r="C7" s="292">
        <v>10270.314</v>
      </c>
      <c r="D7" s="334">
        <f>IF(B7=0, "    ---- ", IF(ABS(ROUND(100/B7*C7-100,1))&lt;999,ROUND(100/B7*C7-100,1),IF(ROUND(100/B7*C7-100,1)&gt;999,999,-999)))</f>
        <v>5.4</v>
      </c>
      <c r="E7" s="11">
        <f>IFERROR(100/'Skjema total MA'!C7*C7,0)</f>
        <v>0.53597807310321099</v>
      </c>
      <c r="F7" s="291"/>
      <c r="G7" s="292"/>
      <c r="H7" s="334"/>
      <c r="I7" s="144"/>
      <c r="J7" s="293">
        <f t="shared" ref="J7:K10" si="0">SUM(B7,F7)</f>
        <v>9745.2489999999998</v>
      </c>
      <c r="K7" s="294">
        <f t="shared" si="0"/>
        <v>10270.314</v>
      </c>
      <c r="L7" s="404">
        <f>IF(J7=0, "    ---- ", IF(ABS(ROUND(100/J7*K7-100,1))&lt;999,ROUND(100/J7*K7-100,1),IF(ROUND(100/J7*K7-100,1)&gt;999,999,-999)))</f>
        <v>5.4</v>
      </c>
      <c r="M7" s="11">
        <f>IFERROR(100/'Skjema total MA'!I7*K7,0)</f>
        <v>0.17618061499886992</v>
      </c>
    </row>
    <row r="8" spans="1:14" ht="15.75" x14ac:dyDescent="0.2">
      <c r="A8" s="21" t="s">
        <v>25</v>
      </c>
      <c r="B8" s="266">
        <v>9341.1419999999998</v>
      </c>
      <c r="C8" s="267">
        <v>9843.0810000000001</v>
      </c>
      <c r="D8" s="150">
        <f t="shared" ref="D8:D10" si="1">IF(B8=0, "    ---- ", IF(ABS(ROUND(100/B8*C8-100,1))&lt;999,ROUND(100/B8*C8-100,1),IF(ROUND(100/B8*C8-100,1)&gt;999,999,-999)))</f>
        <v>5.4</v>
      </c>
      <c r="E8" s="27">
        <f>IFERROR(100/'Skjema total MA'!C8*C8,0)</f>
        <v>0.76079938222930432</v>
      </c>
      <c r="F8" s="270"/>
      <c r="G8" s="271"/>
      <c r="H8" s="150"/>
      <c r="I8" s="160"/>
      <c r="J8" s="217">
        <f t="shared" si="0"/>
        <v>9341.1419999999998</v>
      </c>
      <c r="K8" s="272">
        <f t="shared" si="0"/>
        <v>9843.0810000000001</v>
      </c>
      <c r="L8" s="150">
        <f t="shared" ref="L8:L9" si="2">IF(J8=0, "    ---- ", IF(ABS(ROUND(100/J8*K8-100,1))&lt;999,ROUND(100/J8*K8-100,1),IF(ROUND(100/J8*K8-100,1)&gt;999,999,-999)))</f>
        <v>5.4</v>
      </c>
      <c r="M8" s="27">
        <f>IFERROR(100/'Skjema total MA'!I8*K8,0)</f>
        <v>0.76079938222930432</v>
      </c>
    </row>
    <row r="9" spans="1:14" ht="15.75" x14ac:dyDescent="0.2">
      <c r="A9" s="21" t="s">
        <v>24</v>
      </c>
      <c r="B9" s="266">
        <v>404.10700000000003</v>
      </c>
      <c r="C9" s="267">
        <v>427.233</v>
      </c>
      <c r="D9" s="150">
        <f t="shared" si="1"/>
        <v>5.7</v>
      </c>
      <c r="E9" s="27">
        <f>IFERROR(100/'Skjema total MA'!C9*C9,0)</f>
        <v>9.9903074583672313E-2</v>
      </c>
      <c r="F9" s="270"/>
      <c r="G9" s="271"/>
      <c r="H9" s="150"/>
      <c r="I9" s="160"/>
      <c r="J9" s="217">
        <f t="shared" si="0"/>
        <v>404.10700000000003</v>
      </c>
      <c r="K9" s="272">
        <f t="shared" si="0"/>
        <v>427.233</v>
      </c>
      <c r="L9" s="150">
        <f t="shared" si="2"/>
        <v>5.7</v>
      </c>
      <c r="M9" s="27">
        <f>IFERROR(100/'Skjema total MA'!I9*K9,0)</f>
        <v>9.9903074583672313E-2</v>
      </c>
    </row>
    <row r="10" spans="1:14" ht="15.75" x14ac:dyDescent="0.2">
      <c r="A10" s="13" t="s">
        <v>321</v>
      </c>
      <c r="B10" s="295">
        <v>22144.397000000001</v>
      </c>
      <c r="C10" s="296">
        <v>29900.562000000002</v>
      </c>
      <c r="D10" s="155">
        <f t="shared" si="1"/>
        <v>35</v>
      </c>
      <c r="E10" s="11">
        <f>IFERROR(100/'Skjema total MA'!C10*C10,0)</f>
        <v>0.22099957088974631</v>
      </c>
      <c r="F10" s="295"/>
      <c r="G10" s="296"/>
      <c r="H10" s="155"/>
      <c r="I10" s="144"/>
      <c r="J10" s="293">
        <f t="shared" si="0"/>
        <v>22144.397000000001</v>
      </c>
      <c r="K10" s="294">
        <f t="shared" si="0"/>
        <v>29900.562000000002</v>
      </c>
      <c r="L10" s="405">
        <f t="shared" ref="L10" si="3">IF(J10=0, "    ---- ", IF(ABS(ROUND(100/J10*K10-100,1))&lt;999,ROUND(100/J10*K10-100,1),IF(ROUND(100/J10*K10-100,1)&gt;999,999,-999)))</f>
        <v>35</v>
      </c>
      <c r="M10" s="11">
        <f>IFERROR(100/'Skjema total MA'!I10*K10,0)</f>
        <v>2.8804854699018549E-2</v>
      </c>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8608.69</v>
      </c>
      <c r="C22" s="295">
        <v>9305.2669999999998</v>
      </c>
      <c r="D22" s="334">
        <f t="shared" ref="D22:D29" si="4">IF(B22=0, "    ---- ", IF(ABS(ROUND(100/B22*C22-100,1))&lt;999,ROUND(100/B22*C22-100,1),IF(ROUND(100/B22*C22-100,1)&gt;999,999,-999)))</f>
        <v>8.1</v>
      </c>
      <c r="E22" s="11">
        <f>IFERROR(100/'Skjema total MA'!C22*C22,0)</f>
        <v>1.0528298956421831</v>
      </c>
      <c r="F22" s="303"/>
      <c r="G22" s="303"/>
      <c r="H22" s="334"/>
      <c r="I22" s="11"/>
      <c r="J22" s="301">
        <f t="shared" ref="J22:K29" si="5">SUM(B22,F22)</f>
        <v>8608.69</v>
      </c>
      <c r="K22" s="301">
        <f t="shared" si="5"/>
        <v>9305.2669999999998</v>
      </c>
      <c r="L22" s="404">
        <f t="shared" ref="L22:L29" si="6">IF(J22=0, "    ---- ", IF(ABS(ROUND(100/J22*K22-100,1))&lt;999,ROUND(100/J22*K22-100,1),IF(ROUND(100/J22*K22-100,1)&gt;999,999,-999)))</f>
        <v>8.1</v>
      </c>
      <c r="M22" s="24">
        <f>IFERROR(100/'Skjema total MA'!I22*K22,0)</f>
        <v>0.81764601727086494</v>
      </c>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v>8608.69</v>
      </c>
      <c r="C28" s="272">
        <v>9305.2669999999998</v>
      </c>
      <c r="D28" s="150">
        <f t="shared" si="4"/>
        <v>8.1</v>
      </c>
      <c r="E28" s="11">
        <f>IFERROR(100/'Skjema total MA'!C28*C28,0)</f>
        <v>0.88166395611871518</v>
      </c>
      <c r="F28" s="217"/>
      <c r="G28" s="272"/>
      <c r="H28" s="150"/>
      <c r="I28" s="27"/>
      <c r="J28" s="44">
        <f t="shared" si="5"/>
        <v>8608.69</v>
      </c>
      <c r="K28" s="44">
        <f t="shared" si="5"/>
        <v>9305.2669999999998</v>
      </c>
      <c r="L28" s="242">
        <f t="shared" si="6"/>
        <v>8.1</v>
      </c>
      <c r="M28" s="23">
        <f>IFERROR(100/'Skjema total MA'!I28*K28,0)</f>
        <v>0.88166395611871518</v>
      </c>
    </row>
    <row r="29" spans="1:14" s="3" customFormat="1" ht="15.75" x14ac:dyDescent="0.2">
      <c r="A29" s="13" t="s">
        <v>321</v>
      </c>
      <c r="B29" s="219">
        <v>92194</v>
      </c>
      <c r="C29" s="219">
        <v>118416.177</v>
      </c>
      <c r="D29" s="155">
        <f t="shared" si="4"/>
        <v>28.4</v>
      </c>
      <c r="E29" s="11">
        <f>IFERROR(100/'Skjema total MA'!C29*C29,0)</f>
        <v>0.26901379572843209</v>
      </c>
      <c r="F29" s="293"/>
      <c r="G29" s="293"/>
      <c r="H29" s="155"/>
      <c r="I29" s="11"/>
      <c r="J29" s="219">
        <f t="shared" si="5"/>
        <v>92194</v>
      </c>
      <c r="K29" s="219">
        <f t="shared" si="5"/>
        <v>118416.177</v>
      </c>
      <c r="L29" s="405">
        <f t="shared" si="6"/>
        <v>28.4</v>
      </c>
      <c r="M29" s="24">
        <f>IFERROR(100/'Skjema total MA'!I29*K29,0)</f>
        <v>0.16419426273362814</v>
      </c>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175114.37299999999</v>
      </c>
      <c r="C47" s="296">
        <v>193188.46799999999</v>
      </c>
      <c r="D47" s="404">
        <f t="shared" ref="D47:D48" si="7">IF(B47=0, "    ---- ", IF(ABS(ROUND(100/B47*C47-100,1))&lt;999,ROUND(100/B47*C47-100,1),IF(ROUND(100/B47*C47-100,1)&gt;999,999,-999)))</f>
        <v>10.3</v>
      </c>
      <c r="E47" s="11">
        <f>IFERROR(100/'Skjema total MA'!C47*C47,0)</f>
        <v>4.6908301003211319</v>
      </c>
      <c r="F47" s="129"/>
      <c r="G47" s="33"/>
      <c r="H47" s="143"/>
      <c r="I47" s="143"/>
      <c r="J47" s="37"/>
      <c r="K47" s="37"/>
      <c r="L47" s="143"/>
      <c r="M47" s="143"/>
      <c r="N47" s="132"/>
    </row>
    <row r="48" spans="1:14" s="3" customFormat="1" ht="15.75" x14ac:dyDescent="0.2">
      <c r="A48" s="38" t="s">
        <v>332</v>
      </c>
      <c r="B48" s="266">
        <v>175114.37299999999</v>
      </c>
      <c r="C48" s="267">
        <v>193188.46799999999</v>
      </c>
      <c r="D48" s="242">
        <f t="shared" si="7"/>
        <v>10.3</v>
      </c>
      <c r="E48" s="27">
        <f>IFERROR(100/'Skjema total MA'!C48*C48,0)</f>
        <v>8.7786237230242712</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917" priority="132">
      <formula>kvartal &lt; 4</formula>
    </cfRule>
  </conditionalFormatting>
  <conditionalFormatting sqref="B69">
    <cfRule type="expression" dxfId="916" priority="100">
      <formula>kvartal &lt; 4</formula>
    </cfRule>
  </conditionalFormatting>
  <conditionalFormatting sqref="C69">
    <cfRule type="expression" dxfId="915" priority="99">
      <formula>kvartal &lt; 4</formula>
    </cfRule>
  </conditionalFormatting>
  <conditionalFormatting sqref="B72">
    <cfRule type="expression" dxfId="914" priority="98">
      <formula>kvartal &lt; 4</formula>
    </cfRule>
  </conditionalFormatting>
  <conditionalFormatting sqref="C72">
    <cfRule type="expression" dxfId="913" priority="97">
      <formula>kvartal &lt; 4</formula>
    </cfRule>
  </conditionalFormatting>
  <conditionalFormatting sqref="B80">
    <cfRule type="expression" dxfId="912" priority="96">
      <formula>kvartal &lt; 4</formula>
    </cfRule>
  </conditionalFormatting>
  <conditionalFormatting sqref="C80">
    <cfRule type="expression" dxfId="911" priority="95">
      <formula>kvartal &lt; 4</formula>
    </cfRule>
  </conditionalFormatting>
  <conditionalFormatting sqref="B83">
    <cfRule type="expression" dxfId="910" priority="94">
      <formula>kvartal &lt; 4</formula>
    </cfRule>
  </conditionalFormatting>
  <conditionalFormatting sqref="C83">
    <cfRule type="expression" dxfId="909" priority="93">
      <formula>kvartal &lt; 4</formula>
    </cfRule>
  </conditionalFormatting>
  <conditionalFormatting sqref="B90">
    <cfRule type="expression" dxfId="908" priority="84">
      <formula>kvartal &lt; 4</formula>
    </cfRule>
  </conditionalFormatting>
  <conditionalFormatting sqref="C90">
    <cfRule type="expression" dxfId="907" priority="83">
      <formula>kvartal &lt; 4</formula>
    </cfRule>
  </conditionalFormatting>
  <conditionalFormatting sqref="B93">
    <cfRule type="expression" dxfId="906" priority="82">
      <formula>kvartal &lt; 4</formula>
    </cfRule>
  </conditionalFormatting>
  <conditionalFormatting sqref="C93">
    <cfRule type="expression" dxfId="905" priority="81">
      <formula>kvartal &lt; 4</formula>
    </cfRule>
  </conditionalFormatting>
  <conditionalFormatting sqref="B101">
    <cfRule type="expression" dxfId="904" priority="80">
      <formula>kvartal &lt; 4</formula>
    </cfRule>
  </conditionalFormatting>
  <conditionalFormatting sqref="C101">
    <cfRule type="expression" dxfId="903" priority="79">
      <formula>kvartal &lt; 4</formula>
    </cfRule>
  </conditionalFormatting>
  <conditionalFormatting sqref="B104">
    <cfRule type="expression" dxfId="902" priority="78">
      <formula>kvartal &lt; 4</formula>
    </cfRule>
  </conditionalFormatting>
  <conditionalFormatting sqref="C104">
    <cfRule type="expression" dxfId="901" priority="77">
      <formula>kvartal &lt; 4</formula>
    </cfRule>
  </conditionalFormatting>
  <conditionalFormatting sqref="B115">
    <cfRule type="expression" dxfId="900" priority="76">
      <formula>kvartal &lt; 4</formula>
    </cfRule>
  </conditionalFormatting>
  <conditionalFormatting sqref="C115">
    <cfRule type="expression" dxfId="899" priority="75">
      <formula>kvartal &lt; 4</formula>
    </cfRule>
  </conditionalFormatting>
  <conditionalFormatting sqref="B123">
    <cfRule type="expression" dxfId="898" priority="74">
      <formula>kvartal &lt; 4</formula>
    </cfRule>
  </conditionalFormatting>
  <conditionalFormatting sqref="C123">
    <cfRule type="expression" dxfId="897" priority="73">
      <formula>kvartal &lt; 4</formula>
    </cfRule>
  </conditionalFormatting>
  <conditionalFormatting sqref="F70">
    <cfRule type="expression" dxfId="896" priority="72">
      <formula>kvartal &lt; 4</formula>
    </cfRule>
  </conditionalFormatting>
  <conditionalFormatting sqref="G70">
    <cfRule type="expression" dxfId="895" priority="71">
      <formula>kvartal &lt; 4</formula>
    </cfRule>
  </conditionalFormatting>
  <conditionalFormatting sqref="F71:G71">
    <cfRule type="expression" dxfId="894" priority="70">
      <formula>kvartal &lt; 4</formula>
    </cfRule>
  </conditionalFormatting>
  <conditionalFormatting sqref="F73:G74">
    <cfRule type="expression" dxfId="893" priority="69">
      <formula>kvartal &lt; 4</formula>
    </cfRule>
  </conditionalFormatting>
  <conditionalFormatting sqref="F81:G82">
    <cfRule type="expression" dxfId="892" priority="68">
      <formula>kvartal &lt; 4</formula>
    </cfRule>
  </conditionalFormatting>
  <conditionalFormatting sqref="F84:G85">
    <cfRule type="expression" dxfId="891" priority="67">
      <formula>kvartal &lt; 4</formula>
    </cfRule>
  </conditionalFormatting>
  <conditionalFormatting sqref="F91:G92">
    <cfRule type="expression" dxfId="890" priority="62">
      <formula>kvartal &lt; 4</formula>
    </cfRule>
  </conditionalFormatting>
  <conditionalFormatting sqref="F94:G95">
    <cfRule type="expression" dxfId="889" priority="61">
      <formula>kvartal &lt; 4</formula>
    </cfRule>
  </conditionalFormatting>
  <conditionalFormatting sqref="F102:G103">
    <cfRule type="expression" dxfId="888" priority="60">
      <formula>kvartal &lt; 4</formula>
    </cfRule>
  </conditionalFormatting>
  <conditionalFormatting sqref="F105:G106">
    <cfRule type="expression" dxfId="887" priority="59">
      <formula>kvartal &lt; 4</formula>
    </cfRule>
  </conditionalFormatting>
  <conditionalFormatting sqref="F115">
    <cfRule type="expression" dxfId="886" priority="58">
      <formula>kvartal &lt; 4</formula>
    </cfRule>
  </conditionalFormatting>
  <conditionalFormatting sqref="G115">
    <cfRule type="expression" dxfId="885" priority="57">
      <formula>kvartal &lt; 4</formula>
    </cfRule>
  </conditionalFormatting>
  <conditionalFormatting sqref="F123:G123">
    <cfRule type="expression" dxfId="884" priority="56">
      <formula>kvartal &lt; 4</formula>
    </cfRule>
  </conditionalFormatting>
  <conditionalFormatting sqref="F69:G69">
    <cfRule type="expression" dxfId="883" priority="55">
      <formula>kvartal &lt; 4</formula>
    </cfRule>
  </conditionalFormatting>
  <conditionalFormatting sqref="F72:G72">
    <cfRule type="expression" dxfId="882" priority="54">
      <formula>kvartal &lt; 4</formula>
    </cfRule>
  </conditionalFormatting>
  <conditionalFormatting sqref="F80:G80">
    <cfRule type="expression" dxfId="881" priority="53">
      <formula>kvartal &lt; 4</formula>
    </cfRule>
  </conditionalFormatting>
  <conditionalFormatting sqref="F83:G83">
    <cfRule type="expression" dxfId="880" priority="52">
      <formula>kvartal &lt; 4</formula>
    </cfRule>
  </conditionalFormatting>
  <conditionalFormatting sqref="F90:G90">
    <cfRule type="expression" dxfId="879" priority="46">
      <formula>kvartal &lt; 4</formula>
    </cfRule>
  </conditionalFormatting>
  <conditionalFormatting sqref="F93">
    <cfRule type="expression" dxfId="878" priority="45">
      <formula>kvartal &lt; 4</formula>
    </cfRule>
  </conditionalFormatting>
  <conditionalFormatting sqref="G93">
    <cfRule type="expression" dxfId="877" priority="44">
      <formula>kvartal &lt; 4</formula>
    </cfRule>
  </conditionalFormatting>
  <conditionalFormatting sqref="F101">
    <cfRule type="expression" dxfId="876" priority="43">
      <formula>kvartal &lt; 4</formula>
    </cfRule>
  </conditionalFormatting>
  <conditionalFormatting sqref="G101">
    <cfRule type="expression" dxfId="875" priority="42">
      <formula>kvartal &lt; 4</formula>
    </cfRule>
  </conditionalFormatting>
  <conditionalFormatting sqref="G104">
    <cfRule type="expression" dxfId="874" priority="41">
      <formula>kvartal &lt; 4</formula>
    </cfRule>
  </conditionalFormatting>
  <conditionalFormatting sqref="F104">
    <cfRule type="expression" dxfId="873" priority="40">
      <formula>kvartal &lt; 4</formula>
    </cfRule>
  </conditionalFormatting>
  <conditionalFormatting sqref="J69:K73">
    <cfRule type="expression" dxfId="872" priority="39">
      <formula>kvartal &lt; 4</formula>
    </cfRule>
  </conditionalFormatting>
  <conditionalFormatting sqref="J74:K74">
    <cfRule type="expression" dxfId="871" priority="38">
      <formula>kvartal &lt; 4</formula>
    </cfRule>
  </conditionalFormatting>
  <conditionalFormatting sqref="J80:K85">
    <cfRule type="expression" dxfId="870" priority="37">
      <formula>kvartal &lt; 4</formula>
    </cfRule>
  </conditionalFormatting>
  <conditionalFormatting sqref="J90:K95">
    <cfRule type="expression" dxfId="869" priority="34">
      <formula>kvartal &lt; 4</formula>
    </cfRule>
  </conditionalFormatting>
  <conditionalFormatting sqref="J101:K106">
    <cfRule type="expression" dxfId="868" priority="33">
      <formula>kvartal &lt; 4</formula>
    </cfRule>
  </conditionalFormatting>
  <conditionalFormatting sqref="J115:K115">
    <cfRule type="expression" dxfId="867" priority="32">
      <formula>kvartal &lt; 4</formula>
    </cfRule>
  </conditionalFormatting>
  <conditionalFormatting sqref="J123:K123">
    <cfRule type="expression" dxfId="866" priority="31">
      <formula>kvartal &lt; 4</formula>
    </cfRule>
  </conditionalFormatting>
  <conditionalFormatting sqref="A50:A52">
    <cfRule type="expression" dxfId="865" priority="12">
      <formula>kvartal &lt; 4</formula>
    </cfRule>
  </conditionalFormatting>
  <conditionalFormatting sqref="A69:A74">
    <cfRule type="expression" dxfId="864" priority="10">
      <formula>kvartal &lt; 4</formula>
    </cfRule>
  </conditionalFormatting>
  <conditionalFormatting sqref="A80:A85">
    <cfRule type="expression" dxfId="863" priority="9">
      <formula>kvartal &lt; 4</formula>
    </cfRule>
  </conditionalFormatting>
  <conditionalFormatting sqref="A90:A95">
    <cfRule type="expression" dxfId="862" priority="6">
      <formula>kvartal &lt; 4</formula>
    </cfRule>
  </conditionalFormatting>
  <conditionalFormatting sqref="A101:A106">
    <cfRule type="expression" dxfId="861" priority="5">
      <formula>kvartal &lt; 4</formula>
    </cfRule>
  </conditionalFormatting>
  <conditionalFormatting sqref="A115">
    <cfRule type="expression" dxfId="860" priority="4">
      <formula>kvartal &lt; 4</formula>
    </cfRule>
  </conditionalFormatting>
  <conditionalFormatting sqref="A123">
    <cfRule type="expression" dxfId="859" priority="3">
      <formula>kvartal &lt; 4</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360</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4"/>
      <c r="M7" s="11"/>
    </row>
    <row r="8" spans="1:14" ht="15.75" x14ac:dyDescent="0.2">
      <c r="A8" s="21" t="s">
        <v>25</v>
      </c>
      <c r="B8" s="266"/>
      <c r="C8" s="267"/>
      <c r="D8" s="150"/>
      <c r="E8" s="27"/>
      <c r="F8" s="270"/>
      <c r="G8" s="271"/>
      <c r="H8" s="150"/>
      <c r="I8" s="160"/>
      <c r="J8" s="217"/>
      <c r="K8" s="272"/>
      <c r="L8" s="150"/>
      <c r="M8" s="27"/>
    </row>
    <row r="9" spans="1:14" ht="15.75" x14ac:dyDescent="0.2">
      <c r="A9" s="21" t="s">
        <v>24</v>
      </c>
      <c r="B9" s="266"/>
      <c r="C9" s="267"/>
      <c r="D9" s="150"/>
      <c r="E9" s="27"/>
      <c r="F9" s="270"/>
      <c r="G9" s="271"/>
      <c r="H9" s="150"/>
      <c r="I9" s="160"/>
      <c r="J9" s="217"/>
      <c r="K9" s="272"/>
      <c r="L9" s="150"/>
      <c r="M9" s="27"/>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20027</v>
      </c>
      <c r="C47" s="296">
        <v>22470</v>
      </c>
      <c r="D47" s="404">
        <f t="shared" ref="D47:D57" si="0">IF(B47=0, "    ---- ", IF(ABS(ROUND(100/B47*C47-100,1))&lt;999,ROUND(100/B47*C47-100,1),IF(ROUND(100/B47*C47-100,1)&gt;999,999,-999)))</f>
        <v>12.2</v>
      </c>
      <c r="E47" s="11">
        <f>IFERROR(100/'Skjema total MA'!C47*C47,0)</f>
        <v>0.5455965019310357</v>
      </c>
      <c r="F47" s="129"/>
      <c r="G47" s="33"/>
      <c r="H47" s="143"/>
      <c r="I47" s="143"/>
      <c r="J47" s="37"/>
      <c r="K47" s="37"/>
      <c r="L47" s="143"/>
      <c r="M47" s="143"/>
      <c r="N47" s="132"/>
    </row>
    <row r="48" spans="1:14" s="3" customFormat="1" ht="15.75" x14ac:dyDescent="0.2">
      <c r="A48" s="38" t="s">
        <v>332</v>
      </c>
      <c r="B48" s="266">
        <v>20027</v>
      </c>
      <c r="C48" s="267">
        <v>22470</v>
      </c>
      <c r="D48" s="242">
        <f t="shared" si="0"/>
        <v>12.2</v>
      </c>
      <c r="E48" s="27">
        <f>IFERROR(100/'Skjema total MA'!C48*C48,0)</f>
        <v>1.021053053002912</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v>1738</v>
      </c>
      <c r="D53" s="405" t="str">
        <f t="shared" si="0"/>
        <v xml:space="preserve">    ---- </v>
      </c>
      <c r="E53" s="11">
        <f>IFERROR(100/'Skjema total MA'!C53*C53,0)</f>
        <v>1.7021280096436422</v>
      </c>
      <c r="F53" s="129"/>
      <c r="G53" s="33"/>
      <c r="H53" s="129"/>
      <c r="I53" s="129"/>
      <c r="J53" s="33"/>
      <c r="K53" s="33"/>
      <c r="L53" s="143"/>
      <c r="M53" s="143"/>
      <c r="N53" s="132"/>
    </row>
    <row r="54" spans="1:14" s="3" customFormat="1" ht="15.75" x14ac:dyDescent="0.2">
      <c r="A54" s="38" t="s">
        <v>332</v>
      </c>
      <c r="B54" s="266"/>
      <c r="C54" s="267">
        <v>1738</v>
      </c>
      <c r="D54" s="242" t="str">
        <f t="shared" si="0"/>
        <v xml:space="preserve">    ---- </v>
      </c>
      <c r="E54" s="27">
        <f>IFERROR(100/'Skjema total MA'!C54*C54,0)</f>
        <v>1.718775853026824</v>
      </c>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v>614</v>
      </c>
      <c r="C56" s="296">
        <v>711</v>
      </c>
      <c r="D56" s="405">
        <f t="shared" si="0"/>
        <v>15.8</v>
      </c>
      <c r="E56" s="11">
        <f>IFERROR(100/'Skjema total MA'!C56*C56,0)</f>
        <v>0.74052565385525015</v>
      </c>
      <c r="F56" s="129"/>
      <c r="G56" s="33"/>
      <c r="H56" s="129"/>
      <c r="I56" s="129"/>
      <c r="J56" s="33"/>
      <c r="K56" s="33"/>
      <c r="L56" s="143"/>
      <c r="M56" s="143"/>
      <c r="N56" s="132"/>
    </row>
    <row r="57" spans="1:14" s="3" customFormat="1" ht="15.75" x14ac:dyDescent="0.2">
      <c r="A57" s="38" t="s">
        <v>332</v>
      </c>
      <c r="B57" s="266">
        <v>614</v>
      </c>
      <c r="C57" s="267">
        <v>711</v>
      </c>
      <c r="D57" s="242">
        <f t="shared" si="0"/>
        <v>15.8</v>
      </c>
      <c r="E57" s="27">
        <f>IFERROR(100/'Skjema total MA'!C57*C57,0)</f>
        <v>0.74052565385525015</v>
      </c>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858" priority="132">
      <formula>kvartal &lt; 4</formula>
    </cfRule>
  </conditionalFormatting>
  <conditionalFormatting sqref="B69">
    <cfRule type="expression" dxfId="857" priority="100">
      <formula>kvartal &lt; 4</formula>
    </cfRule>
  </conditionalFormatting>
  <conditionalFormatting sqref="C69">
    <cfRule type="expression" dxfId="856" priority="99">
      <formula>kvartal &lt; 4</formula>
    </cfRule>
  </conditionalFormatting>
  <conditionalFormatting sqref="B72">
    <cfRule type="expression" dxfId="855" priority="98">
      <formula>kvartal &lt; 4</formula>
    </cfRule>
  </conditionalFormatting>
  <conditionalFormatting sqref="C72">
    <cfRule type="expression" dxfId="854" priority="97">
      <formula>kvartal &lt; 4</formula>
    </cfRule>
  </conditionalFormatting>
  <conditionalFormatting sqref="B80">
    <cfRule type="expression" dxfId="853" priority="96">
      <formula>kvartal &lt; 4</formula>
    </cfRule>
  </conditionalFormatting>
  <conditionalFormatting sqref="C80">
    <cfRule type="expression" dxfId="852" priority="95">
      <formula>kvartal &lt; 4</formula>
    </cfRule>
  </conditionalFormatting>
  <conditionalFormatting sqref="B83">
    <cfRule type="expression" dxfId="851" priority="94">
      <formula>kvartal &lt; 4</formula>
    </cfRule>
  </conditionalFormatting>
  <conditionalFormatting sqref="C83">
    <cfRule type="expression" dxfId="850" priority="93">
      <formula>kvartal &lt; 4</formula>
    </cfRule>
  </conditionalFormatting>
  <conditionalFormatting sqref="B90">
    <cfRule type="expression" dxfId="849" priority="84">
      <formula>kvartal &lt; 4</formula>
    </cfRule>
  </conditionalFormatting>
  <conditionalFormatting sqref="C90">
    <cfRule type="expression" dxfId="848" priority="83">
      <formula>kvartal &lt; 4</formula>
    </cfRule>
  </conditionalFormatting>
  <conditionalFormatting sqref="B93">
    <cfRule type="expression" dxfId="847" priority="82">
      <formula>kvartal &lt; 4</formula>
    </cfRule>
  </conditionalFormatting>
  <conditionalFormatting sqref="C93">
    <cfRule type="expression" dxfId="846" priority="81">
      <formula>kvartal &lt; 4</formula>
    </cfRule>
  </conditionalFormatting>
  <conditionalFormatting sqref="B101">
    <cfRule type="expression" dxfId="845" priority="80">
      <formula>kvartal &lt; 4</formula>
    </cfRule>
  </conditionalFormatting>
  <conditionalFormatting sqref="C101">
    <cfRule type="expression" dxfId="844" priority="79">
      <formula>kvartal &lt; 4</formula>
    </cfRule>
  </conditionalFormatting>
  <conditionalFormatting sqref="B104">
    <cfRule type="expression" dxfId="843" priority="78">
      <formula>kvartal &lt; 4</formula>
    </cfRule>
  </conditionalFormatting>
  <conditionalFormatting sqref="C104">
    <cfRule type="expression" dxfId="842" priority="77">
      <formula>kvartal &lt; 4</formula>
    </cfRule>
  </conditionalFormatting>
  <conditionalFormatting sqref="B115">
    <cfRule type="expression" dxfId="841" priority="76">
      <formula>kvartal &lt; 4</formula>
    </cfRule>
  </conditionalFormatting>
  <conditionalFormatting sqref="C115">
    <cfRule type="expression" dxfId="840" priority="75">
      <formula>kvartal &lt; 4</formula>
    </cfRule>
  </conditionalFormatting>
  <conditionalFormatting sqref="B123">
    <cfRule type="expression" dxfId="839" priority="74">
      <formula>kvartal &lt; 4</formula>
    </cfRule>
  </conditionalFormatting>
  <conditionalFormatting sqref="C123">
    <cfRule type="expression" dxfId="838" priority="73">
      <formula>kvartal &lt; 4</formula>
    </cfRule>
  </conditionalFormatting>
  <conditionalFormatting sqref="F70">
    <cfRule type="expression" dxfId="837" priority="72">
      <formula>kvartal &lt; 4</formula>
    </cfRule>
  </conditionalFormatting>
  <conditionalFormatting sqref="G70">
    <cfRule type="expression" dxfId="836" priority="71">
      <formula>kvartal &lt; 4</formula>
    </cfRule>
  </conditionalFormatting>
  <conditionalFormatting sqref="F71:G71">
    <cfRule type="expression" dxfId="835" priority="70">
      <formula>kvartal &lt; 4</formula>
    </cfRule>
  </conditionalFormatting>
  <conditionalFormatting sqref="F73:G74">
    <cfRule type="expression" dxfId="834" priority="69">
      <formula>kvartal &lt; 4</formula>
    </cfRule>
  </conditionalFormatting>
  <conditionalFormatting sqref="F81:G82">
    <cfRule type="expression" dxfId="833" priority="68">
      <formula>kvartal &lt; 4</formula>
    </cfRule>
  </conditionalFormatting>
  <conditionalFormatting sqref="F84:G85">
    <cfRule type="expression" dxfId="832" priority="67">
      <formula>kvartal &lt; 4</formula>
    </cfRule>
  </conditionalFormatting>
  <conditionalFormatting sqref="F91:G92">
    <cfRule type="expression" dxfId="831" priority="62">
      <formula>kvartal &lt; 4</formula>
    </cfRule>
  </conditionalFormatting>
  <conditionalFormatting sqref="F94:G95">
    <cfRule type="expression" dxfId="830" priority="61">
      <formula>kvartal &lt; 4</formula>
    </cfRule>
  </conditionalFormatting>
  <conditionalFormatting sqref="F102:G103">
    <cfRule type="expression" dxfId="829" priority="60">
      <formula>kvartal &lt; 4</formula>
    </cfRule>
  </conditionalFormatting>
  <conditionalFormatting sqref="F105:G106">
    <cfRule type="expression" dxfId="828" priority="59">
      <formula>kvartal &lt; 4</formula>
    </cfRule>
  </conditionalFormatting>
  <conditionalFormatting sqref="F115">
    <cfRule type="expression" dxfId="827" priority="58">
      <formula>kvartal &lt; 4</formula>
    </cfRule>
  </conditionalFormatting>
  <conditionalFormatting sqref="G115">
    <cfRule type="expression" dxfId="826" priority="57">
      <formula>kvartal &lt; 4</formula>
    </cfRule>
  </conditionalFormatting>
  <conditionalFormatting sqref="F123:G123">
    <cfRule type="expression" dxfId="825" priority="56">
      <formula>kvartal &lt; 4</formula>
    </cfRule>
  </conditionalFormatting>
  <conditionalFormatting sqref="F69:G69">
    <cfRule type="expression" dxfId="824" priority="55">
      <formula>kvartal &lt; 4</formula>
    </cfRule>
  </conditionalFormatting>
  <conditionalFormatting sqref="F72:G72">
    <cfRule type="expression" dxfId="823" priority="54">
      <formula>kvartal &lt; 4</formula>
    </cfRule>
  </conditionalFormatting>
  <conditionalFormatting sqref="F80:G80">
    <cfRule type="expression" dxfId="822" priority="53">
      <formula>kvartal &lt; 4</formula>
    </cfRule>
  </conditionalFormatting>
  <conditionalFormatting sqref="F83:G83">
    <cfRule type="expression" dxfId="821" priority="52">
      <formula>kvartal &lt; 4</formula>
    </cfRule>
  </conditionalFormatting>
  <conditionalFormatting sqref="F90:G90">
    <cfRule type="expression" dxfId="820" priority="46">
      <formula>kvartal &lt; 4</formula>
    </cfRule>
  </conditionalFormatting>
  <conditionalFormatting sqref="F93">
    <cfRule type="expression" dxfId="819" priority="45">
      <formula>kvartal &lt; 4</formula>
    </cfRule>
  </conditionalFormatting>
  <conditionalFormatting sqref="G93">
    <cfRule type="expression" dxfId="818" priority="44">
      <formula>kvartal &lt; 4</formula>
    </cfRule>
  </conditionalFormatting>
  <conditionalFormatting sqref="F101">
    <cfRule type="expression" dxfId="817" priority="43">
      <formula>kvartal &lt; 4</formula>
    </cfRule>
  </conditionalFormatting>
  <conditionalFormatting sqref="G101">
    <cfRule type="expression" dxfId="816" priority="42">
      <formula>kvartal &lt; 4</formula>
    </cfRule>
  </conditionalFormatting>
  <conditionalFormatting sqref="G104">
    <cfRule type="expression" dxfId="815" priority="41">
      <formula>kvartal &lt; 4</formula>
    </cfRule>
  </conditionalFormatting>
  <conditionalFormatting sqref="F104">
    <cfRule type="expression" dxfId="814" priority="40">
      <formula>kvartal &lt; 4</formula>
    </cfRule>
  </conditionalFormatting>
  <conditionalFormatting sqref="J69:K73">
    <cfRule type="expression" dxfId="813" priority="39">
      <formula>kvartal &lt; 4</formula>
    </cfRule>
  </conditionalFormatting>
  <conditionalFormatting sqref="J74:K74">
    <cfRule type="expression" dxfId="812" priority="38">
      <formula>kvartal &lt; 4</formula>
    </cfRule>
  </conditionalFormatting>
  <conditionalFormatting sqref="J80:K85">
    <cfRule type="expression" dxfId="811" priority="37">
      <formula>kvartal &lt; 4</formula>
    </cfRule>
  </conditionalFormatting>
  <conditionalFormatting sqref="J90:K95">
    <cfRule type="expression" dxfId="810" priority="34">
      <formula>kvartal &lt; 4</formula>
    </cfRule>
  </conditionalFormatting>
  <conditionalFormatting sqref="J101:K106">
    <cfRule type="expression" dxfId="809" priority="33">
      <formula>kvartal &lt; 4</formula>
    </cfRule>
  </conditionalFormatting>
  <conditionalFormatting sqref="J115:K115">
    <cfRule type="expression" dxfId="808" priority="32">
      <formula>kvartal &lt; 4</formula>
    </cfRule>
  </conditionalFormatting>
  <conditionalFormatting sqref="J123:K123">
    <cfRule type="expression" dxfId="807" priority="31">
      <formula>kvartal &lt; 4</formula>
    </cfRule>
  </conditionalFormatting>
  <conditionalFormatting sqref="A50:A52">
    <cfRule type="expression" dxfId="806" priority="12">
      <formula>kvartal &lt; 4</formula>
    </cfRule>
  </conditionalFormatting>
  <conditionalFormatting sqref="A69:A74">
    <cfRule type="expression" dxfId="805" priority="10">
      <formula>kvartal &lt; 4</formula>
    </cfRule>
  </conditionalFormatting>
  <conditionalFormatting sqref="A80:A85">
    <cfRule type="expression" dxfId="804" priority="9">
      <formula>kvartal &lt; 4</formula>
    </cfRule>
  </conditionalFormatting>
  <conditionalFormatting sqref="A90:A95">
    <cfRule type="expression" dxfId="803" priority="6">
      <formula>kvartal &lt; 4</formula>
    </cfRule>
  </conditionalFormatting>
  <conditionalFormatting sqref="A101:A106">
    <cfRule type="expression" dxfId="802" priority="5">
      <formula>kvartal &lt; 4</formula>
    </cfRule>
  </conditionalFormatting>
  <conditionalFormatting sqref="A115">
    <cfRule type="expression" dxfId="801" priority="4">
      <formula>kvartal &lt; 4</formula>
    </cfRule>
  </conditionalFormatting>
  <conditionalFormatting sqref="A123">
    <cfRule type="expression" dxfId="800" priority="3">
      <formula>kvartal &lt; 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heetViews>
  <sheetFormatPr baseColWidth="10" defaultColWidth="11.42578125" defaultRowHeight="25.5" x14ac:dyDescent="0.35"/>
  <cols>
    <col min="1" max="1" width="11.42578125" style="51"/>
    <col min="2" max="2" width="25" style="51" customWidth="1"/>
    <col min="3" max="3" width="141.7109375" style="51" customWidth="1"/>
    <col min="4" max="16384" width="11.42578125" style="51"/>
  </cols>
  <sheetData>
    <row r="1" spans="1:14" ht="20.100000000000001" customHeight="1" x14ac:dyDescent="0.35">
      <c r="C1" s="52"/>
      <c r="D1" s="53"/>
      <c r="E1" s="53"/>
      <c r="F1" s="53"/>
      <c r="G1" s="53"/>
      <c r="H1" s="53"/>
      <c r="I1" s="53"/>
      <c r="J1" s="53"/>
      <c r="K1" s="53"/>
      <c r="L1" s="53"/>
      <c r="M1" s="53"/>
      <c r="N1" s="53"/>
    </row>
    <row r="2" spans="1:14" ht="20.100000000000001" customHeight="1" x14ac:dyDescent="0.35">
      <c r="C2" s="260" t="s">
        <v>31</v>
      </c>
      <c r="D2" s="53"/>
      <c r="E2" s="53"/>
      <c r="F2" s="53"/>
      <c r="G2" s="53"/>
      <c r="H2" s="53"/>
      <c r="I2" s="53"/>
      <c r="J2" s="53"/>
      <c r="K2" s="53"/>
      <c r="L2" s="53"/>
      <c r="M2" s="53"/>
      <c r="N2" s="53"/>
    </row>
    <row r="3" spans="1:14" ht="20.100000000000001" customHeight="1" x14ac:dyDescent="0.35">
      <c r="C3" s="54"/>
      <c r="D3" s="53"/>
      <c r="E3" s="53"/>
      <c r="F3" s="53"/>
      <c r="G3" s="53"/>
      <c r="H3" s="53"/>
      <c r="I3" s="53"/>
      <c r="J3" s="53"/>
      <c r="K3" s="53"/>
      <c r="L3" s="53"/>
      <c r="M3" s="53"/>
      <c r="N3" s="53"/>
    </row>
    <row r="4" spans="1:14" ht="20.100000000000001" customHeight="1" x14ac:dyDescent="0.35">
      <c r="C4" s="54"/>
      <c r="D4" s="53"/>
      <c r="E4" s="53"/>
      <c r="F4" s="53"/>
      <c r="G4" s="53"/>
      <c r="H4" s="53"/>
      <c r="I4" s="53"/>
      <c r="J4" s="53"/>
      <c r="K4" s="53"/>
      <c r="L4" s="53"/>
      <c r="M4" s="53"/>
      <c r="N4" s="53"/>
    </row>
    <row r="5" spans="1:14" ht="20.100000000000001" customHeight="1" x14ac:dyDescent="0.35">
      <c r="A5" s="54"/>
      <c r="B5" s="54"/>
      <c r="C5" s="54"/>
      <c r="D5" s="53"/>
      <c r="E5" s="53"/>
      <c r="F5" s="53"/>
      <c r="G5" s="53"/>
      <c r="H5" s="53"/>
      <c r="I5" s="53"/>
      <c r="J5" s="53"/>
      <c r="K5" s="53"/>
      <c r="L5" s="53"/>
      <c r="M5" s="53"/>
      <c r="N5" s="53"/>
    </row>
    <row r="6" spans="1:14" ht="20.100000000000001" customHeight="1" x14ac:dyDescent="0.35">
      <c r="A6" s="55" t="s">
        <v>32</v>
      </c>
      <c r="B6" s="55"/>
      <c r="C6" s="54"/>
      <c r="D6" s="53"/>
      <c r="E6" s="53"/>
      <c r="F6" s="53"/>
      <c r="G6" s="53"/>
      <c r="H6" s="53"/>
      <c r="I6" s="53"/>
      <c r="J6" s="53"/>
      <c r="K6" s="53"/>
      <c r="L6" s="53"/>
      <c r="M6" s="53"/>
      <c r="N6" s="53"/>
    </row>
    <row r="7" spans="1:14" ht="20.100000000000001" customHeight="1" x14ac:dyDescent="0.35">
      <c r="A7" s="54"/>
      <c r="B7" s="54" t="s">
        <v>33</v>
      </c>
      <c r="C7" s="54" t="s">
        <v>34</v>
      </c>
      <c r="D7" s="53"/>
      <c r="E7" s="53"/>
      <c r="F7" s="53"/>
      <c r="G7" s="53"/>
      <c r="H7" s="53"/>
      <c r="I7" s="53"/>
      <c r="J7" s="53"/>
      <c r="K7" s="53"/>
      <c r="L7" s="53"/>
      <c r="M7" s="53"/>
      <c r="N7" s="53"/>
    </row>
    <row r="8" spans="1:14" ht="20.100000000000001" customHeight="1" x14ac:dyDescent="0.35">
      <c r="A8" s="54"/>
      <c r="B8" s="54" t="s">
        <v>35</v>
      </c>
      <c r="C8" s="54" t="s">
        <v>36</v>
      </c>
      <c r="D8" s="53"/>
      <c r="E8" s="53"/>
      <c r="F8" s="53"/>
      <c r="G8" s="53"/>
      <c r="H8" s="53"/>
      <c r="I8" s="53"/>
      <c r="J8" s="53"/>
      <c r="K8" s="53"/>
      <c r="L8" s="53"/>
      <c r="M8" s="53"/>
      <c r="N8" s="53"/>
    </row>
    <row r="9" spans="1:14" ht="20.100000000000001" customHeight="1" x14ac:dyDescent="0.35">
      <c r="A9" s="54"/>
      <c r="B9" s="54" t="s">
        <v>37</v>
      </c>
      <c r="C9" s="54" t="s">
        <v>40</v>
      </c>
      <c r="D9" s="53"/>
      <c r="E9" s="53"/>
      <c r="F9" s="53"/>
      <c r="G9" s="53"/>
      <c r="H9" s="53"/>
      <c r="I9" s="53"/>
      <c r="J9" s="53"/>
      <c r="K9" s="53"/>
      <c r="L9" s="53"/>
      <c r="M9" s="53"/>
      <c r="N9" s="53"/>
    </row>
    <row r="10" spans="1:14" ht="20.100000000000001" customHeight="1" x14ac:dyDescent="0.35">
      <c r="A10" s="54"/>
      <c r="B10" s="54" t="s">
        <v>38</v>
      </c>
      <c r="C10" s="54" t="s">
        <v>42</v>
      </c>
      <c r="D10" s="53"/>
      <c r="E10" s="53"/>
      <c r="F10" s="53"/>
      <c r="G10" s="53"/>
      <c r="H10" s="53"/>
      <c r="I10" s="53"/>
      <c r="J10" s="53"/>
      <c r="K10" s="53"/>
      <c r="L10" s="53"/>
      <c r="M10" s="53"/>
      <c r="N10" s="53"/>
    </row>
    <row r="11" spans="1:14" ht="20.100000000000001" customHeight="1" x14ac:dyDescent="0.35">
      <c r="A11" s="54"/>
      <c r="B11" s="54" t="s">
        <v>39</v>
      </c>
      <c r="C11" s="54" t="s">
        <v>43</v>
      </c>
      <c r="D11" s="53"/>
      <c r="E11" s="53"/>
      <c r="F11" s="53"/>
      <c r="G11" s="53"/>
      <c r="H11" s="53"/>
      <c r="I11" s="53"/>
      <c r="J11" s="53"/>
      <c r="K11" s="53"/>
      <c r="L11" s="53"/>
      <c r="M11" s="53"/>
      <c r="N11" s="53"/>
    </row>
    <row r="12" spans="1:14" ht="20.100000000000001" customHeight="1" x14ac:dyDescent="0.35">
      <c r="A12" s="54"/>
      <c r="B12" s="54" t="s">
        <v>41</v>
      </c>
      <c r="C12" s="54" t="s">
        <v>44</v>
      </c>
      <c r="D12" s="53"/>
      <c r="E12" s="53"/>
      <c r="F12" s="53"/>
      <c r="G12" s="53"/>
      <c r="H12" s="53"/>
      <c r="I12" s="53"/>
      <c r="J12" s="53"/>
      <c r="K12" s="53"/>
      <c r="L12" s="53"/>
      <c r="M12" s="53"/>
      <c r="N12" s="53"/>
    </row>
    <row r="13" spans="1:14" ht="18.75" customHeight="1" x14ac:dyDescent="0.35">
      <c r="A13" s="54"/>
      <c r="B13" s="54"/>
      <c r="C13" s="54"/>
      <c r="D13" s="53"/>
      <c r="E13" s="53"/>
      <c r="F13" s="53"/>
      <c r="G13" s="53"/>
      <c r="H13" s="53"/>
      <c r="I13" s="53"/>
      <c r="J13" s="53"/>
      <c r="K13" s="53"/>
      <c r="L13" s="53"/>
      <c r="M13" s="53"/>
      <c r="N13" s="53"/>
    </row>
    <row r="14" spans="1:14" ht="20.100000000000001" customHeight="1" x14ac:dyDescent="0.35">
      <c r="A14" s="259" t="s">
        <v>45</v>
      </c>
      <c r="B14" s="55"/>
      <c r="C14" s="54"/>
      <c r="D14" s="53"/>
      <c r="E14" s="53"/>
      <c r="F14" s="53"/>
      <c r="G14" s="53"/>
      <c r="H14" s="53"/>
      <c r="I14" s="53"/>
      <c r="J14" s="53"/>
      <c r="K14" s="53"/>
      <c r="L14" s="53"/>
      <c r="M14" s="53"/>
      <c r="N14" s="53"/>
    </row>
    <row r="15" spans="1:14" ht="20.100000000000001" customHeight="1" x14ac:dyDescent="0.35">
      <c r="A15" s="54"/>
      <c r="B15" s="54" t="s">
        <v>46</v>
      </c>
      <c r="C15" s="54"/>
      <c r="D15" s="53"/>
      <c r="E15" s="53"/>
      <c r="F15" s="53"/>
      <c r="G15" s="53"/>
      <c r="H15" s="53"/>
      <c r="I15" s="53"/>
      <c r="J15" s="53"/>
      <c r="K15" s="53"/>
      <c r="L15" s="53"/>
      <c r="M15" s="53"/>
      <c r="N15" s="53"/>
    </row>
    <row r="16" spans="1:14" ht="20.100000000000001" customHeight="1" x14ac:dyDescent="0.35">
      <c r="A16" s="54"/>
      <c r="B16" s="55" t="s">
        <v>47</v>
      </c>
      <c r="C16" s="54" t="s">
        <v>48</v>
      </c>
      <c r="D16" s="53"/>
      <c r="E16" s="53"/>
      <c r="F16" s="53"/>
      <c r="G16" s="53"/>
      <c r="H16" s="53"/>
      <c r="I16" s="53"/>
      <c r="J16" s="53"/>
      <c r="K16" s="53"/>
      <c r="L16" s="53"/>
      <c r="M16" s="53"/>
      <c r="N16" s="53"/>
    </row>
    <row r="17" spans="1:14" ht="20.100000000000001" customHeight="1" x14ac:dyDescent="0.35">
      <c r="A17" s="54"/>
      <c r="B17" s="55" t="s">
        <v>49</v>
      </c>
      <c r="C17" s="54" t="s">
        <v>50</v>
      </c>
      <c r="D17" s="53"/>
      <c r="E17" s="53"/>
      <c r="F17" s="53"/>
      <c r="G17" s="53"/>
      <c r="H17" s="53"/>
      <c r="I17" s="53"/>
      <c r="J17" s="53"/>
      <c r="K17" s="53"/>
      <c r="L17" s="53"/>
      <c r="M17" s="53"/>
      <c r="N17" s="53"/>
    </row>
    <row r="18" spans="1:14" ht="20.100000000000001" customHeight="1" x14ac:dyDescent="0.35">
      <c r="A18" s="54"/>
      <c r="B18" s="55" t="s">
        <v>300</v>
      </c>
      <c r="C18" s="54" t="s">
        <v>301</v>
      </c>
      <c r="D18" s="53"/>
      <c r="E18" s="53"/>
      <c r="F18" s="53"/>
      <c r="G18" s="53"/>
      <c r="H18" s="53"/>
      <c r="I18" s="53"/>
      <c r="J18" s="53"/>
      <c r="K18" s="53"/>
      <c r="L18" s="53"/>
      <c r="M18" s="53"/>
      <c r="N18" s="53"/>
    </row>
    <row r="19" spans="1:14" ht="20.100000000000001" customHeight="1" x14ac:dyDescent="0.35">
      <c r="A19" s="54"/>
      <c r="B19" s="54" t="s">
        <v>302</v>
      </c>
      <c r="C19" s="54" t="s">
        <v>241</v>
      </c>
      <c r="D19" s="53"/>
      <c r="E19" s="53"/>
      <c r="F19" s="53"/>
      <c r="G19" s="53"/>
      <c r="H19" s="53"/>
      <c r="I19" s="53"/>
      <c r="J19" s="53"/>
      <c r="K19" s="53"/>
      <c r="L19" s="53"/>
      <c r="M19" s="53"/>
      <c r="N19" s="53"/>
    </row>
    <row r="20" spans="1:14" s="332" customFormat="1" ht="20.100000000000001" customHeight="1" x14ac:dyDescent="0.35">
      <c r="A20" s="330"/>
      <c r="B20" s="330" t="s">
        <v>304</v>
      </c>
      <c r="C20" s="330" t="s">
        <v>303</v>
      </c>
      <c r="D20" s="331"/>
      <c r="E20" s="331"/>
      <c r="F20" s="331"/>
      <c r="G20" s="331"/>
      <c r="H20" s="331"/>
      <c r="I20" s="331"/>
      <c r="J20" s="331"/>
      <c r="K20" s="331"/>
      <c r="L20" s="331"/>
      <c r="M20" s="331"/>
      <c r="N20" s="331"/>
    </row>
    <row r="21" spans="1:14" ht="20.100000000000001" customHeight="1" x14ac:dyDescent="0.35">
      <c r="A21" s="54"/>
      <c r="B21" s="54"/>
      <c r="C21" s="54"/>
    </row>
    <row r="22" spans="1:14" ht="18.75" customHeight="1" x14ac:dyDescent="0.35">
      <c r="A22" s="54"/>
      <c r="B22" s="330" t="s">
        <v>225</v>
      </c>
      <c r="C22" s="330"/>
    </row>
    <row r="23" spans="1:14" ht="20.100000000000001" customHeight="1" x14ac:dyDescent="0.35">
      <c r="A23" s="54"/>
      <c r="B23" s="333" t="s">
        <v>226</v>
      </c>
      <c r="C23" s="330" t="s">
        <v>227</v>
      </c>
    </row>
    <row r="24" spans="1:14" ht="20.100000000000001" hidden="1" customHeight="1" x14ac:dyDescent="0.35">
      <c r="A24" s="54"/>
      <c r="B24" s="333" t="s">
        <v>228</v>
      </c>
      <c r="C24" s="330" t="s">
        <v>229</v>
      </c>
    </row>
    <row r="25" spans="1:14" ht="20.100000000000001" hidden="1" customHeight="1" x14ac:dyDescent="0.35">
      <c r="A25" s="54"/>
      <c r="B25" s="333" t="s">
        <v>230</v>
      </c>
      <c r="C25" s="330" t="s">
        <v>231</v>
      </c>
    </row>
    <row r="26" spans="1:14" ht="20.100000000000001" hidden="1" customHeight="1" x14ac:dyDescent="0.35">
      <c r="A26" s="54"/>
      <c r="B26" s="333" t="s">
        <v>232</v>
      </c>
      <c r="C26" s="330" t="s">
        <v>233</v>
      </c>
    </row>
    <row r="27" spans="1:14" ht="20.100000000000001" customHeight="1" x14ac:dyDescent="0.35">
      <c r="A27" s="54"/>
      <c r="B27" s="333" t="s">
        <v>153</v>
      </c>
      <c r="C27" s="330" t="s">
        <v>234</v>
      </c>
    </row>
    <row r="28" spans="1:14" ht="20.100000000000001" hidden="1" customHeight="1" x14ac:dyDescent="0.35">
      <c r="A28" s="54"/>
      <c r="B28" s="327" t="s">
        <v>235</v>
      </c>
      <c r="C28" s="258" t="s">
        <v>236</v>
      </c>
    </row>
    <row r="29" spans="1:14" ht="20.100000000000001" hidden="1" customHeight="1" x14ac:dyDescent="0.35">
      <c r="A29" s="54"/>
      <c r="B29" s="327" t="s">
        <v>237</v>
      </c>
      <c r="C29" s="258" t="s">
        <v>238</v>
      </c>
    </row>
    <row r="30" spans="1:14" ht="18.75" customHeight="1" x14ac:dyDescent="0.35">
      <c r="A30" s="54"/>
      <c r="B30" s="333" t="s">
        <v>239</v>
      </c>
      <c r="C30" s="330" t="s">
        <v>240</v>
      </c>
    </row>
    <row r="31" spans="1:14" ht="18.75" customHeight="1" x14ac:dyDescent="0.35">
      <c r="A31" s="54"/>
      <c r="B31" s="333"/>
      <c r="C31" s="330"/>
    </row>
    <row r="32" spans="1:14" ht="20.100000000000001" customHeight="1" x14ac:dyDescent="0.35">
      <c r="A32" s="54"/>
      <c r="B32" s="54"/>
      <c r="C32" s="54"/>
    </row>
    <row r="33" spans="1:14" x14ac:dyDescent="0.35">
      <c r="A33" s="55" t="s">
        <v>51</v>
      </c>
      <c r="B33" s="54"/>
      <c r="C33" s="54"/>
    </row>
    <row r="34" spans="1:14" ht="26.25" hidden="1" customHeight="1" x14ac:dyDescent="0.4">
      <c r="C34" s="56"/>
    </row>
    <row r="35" spans="1:14" ht="26.25" hidden="1" customHeight="1" x14ac:dyDescent="0.4">
      <c r="C35" s="56"/>
    </row>
    <row r="36" spans="1:14" ht="18.75" customHeight="1" x14ac:dyDescent="0.4">
      <c r="C36" s="328"/>
      <c r="D36" s="329"/>
    </row>
    <row r="37" spans="1:14" ht="26.25" x14ac:dyDescent="0.4">
      <c r="C37" s="56"/>
    </row>
    <row r="38" spans="1:14" ht="26.25" x14ac:dyDescent="0.4">
      <c r="C38" s="56"/>
    </row>
    <row r="39" spans="1:14" ht="26.25" x14ac:dyDescent="0.4">
      <c r="C39" s="328"/>
      <c r="D39" s="332"/>
      <c r="E39" s="332"/>
      <c r="F39" s="332"/>
      <c r="G39" s="332"/>
      <c r="H39" s="332"/>
      <c r="I39" s="332"/>
      <c r="J39" s="332"/>
      <c r="K39" s="332"/>
      <c r="L39" s="332"/>
      <c r="M39" s="332"/>
      <c r="N39" s="332"/>
    </row>
    <row r="40" spans="1:14" ht="26.25" x14ac:dyDescent="0.4">
      <c r="C40" s="56"/>
    </row>
    <row r="41" spans="1:14" ht="26.25" x14ac:dyDescent="0.4">
      <c r="C41" s="56"/>
    </row>
    <row r="42" spans="1:14" ht="26.25" x14ac:dyDescent="0.4">
      <c r="C42" s="56"/>
    </row>
    <row r="43" spans="1:14" ht="26.25" x14ac:dyDescent="0.4">
      <c r="C43" s="56"/>
    </row>
    <row r="44" spans="1:14" ht="26.25" x14ac:dyDescent="0.4">
      <c r="C44" s="56"/>
    </row>
    <row r="45" spans="1:14" ht="26.25" x14ac:dyDescent="0.4">
      <c r="C45" s="56"/>
    </row>
    <row r="46" spans="1:14" ht="26.25" x14ac:dyDescent="0.4">
      <c r="C46" s="56"/>
    </row>
    <row r="47" spans="1:14" ht="26.25" x14ac:dyDescent="0.4">
      <c r="C47" s="56"/>
    </row>
    <row r="48" spans="1:14" ht="26.25" x14ac:dyDescent="0.4">
      <c r="C48" s="56"/>
    </row>
    <row r="49" spans="3:3" ht="26.25" x14ac:dyDescent="0.4">
      <c r="C49" s="56"/>
    </row>
    <row r="50" spans="3:3" ht="26.25" x14ac:dyDescent="0.4">
      <c r="C50" s="56"/>
    </row>
    <row r="51" spans="3:3" ht="26.25" x14ac:dyDescent="0.4">
      <c r="C51" s="56"/>
    </row>
    <row r="52" spans="3:3" ht="26.25" x14ac:dyDescent="0.4">
      <c r="C52" s="56"/>
    </row>
    <row r="53" spans="3:3" ht="26.25" x14ac:dyDescent="0.4">
      <c r="C53" s="56"/>
    </row>
    <row r="54" spans="3:3" ht="26.25" x14ac:dyDescent="0.4">
      <c r="C54" s="56"/>
    </row>
    <row r="55" spans="3:3" ht="26.25" x14ac:dyDescent="0.4">
      <c r="C55" s="56"/>
    </row>
    <row r="56" spans="3:3" ht="26.25" x14ac:dyDescent="0.4">
      <c r="C56" s="56"/>
    </row>
    <row r="57" spans="3:3" ht="26.25" x14ac:dyDescent="0.4">
      <c r="C57" s="56"/>
    </row>
    <row r="58" spans="3:3" ht="26.25" x14ac:dyDescent="0.4">
      <c r="C58" s="56"/>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D853-0DF0-4C61-8584-51A962037551}">
  <dimension ref="A1:N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369</v>
      </c>
      <c r="D1" s="26"/>
      <c r="E1" s="26"/>
      <c r="F1" s="26"/>
      <c r="G1" s="26"/>
      <c r="H1" s="26"/>
      <c r="I1" s="26"/>
      <c r="J1" s="26"/>
      <c r="K1" s="26"/>
      <c r="L1" s="26"/>
      <c r="M1" s="26"/>
    </row>
    <row r="2" spans="1:14" ht="15.75" x14ac:dyDescent="0.25">
      <c r="A2" s="149" t="s">
        <v>28</v>
      </c>
      <c r="B2" s="707"/>
      <c r="C2" s="707"/>
      <c r="D2" s="707"/>
      <c r="E2" s="520"/>
      <c r="F2" s="707"/>
      <c r="G2" s="707"/>
      <c r="H2" s="707"/>
      <c r="I2" s="520"/>
      <c r="J2" s="707"/>
      <c r="K2" s="707"/>
      <c r="L2" s="707"/>
      <c r="M2" s="520"/>
    </row>
    <row r="3" spans="1:14" ht="15.75" x14ac:dyDescent="0.25">
      <c r="A3" s="147"/>
      <c r="B3" s="520"/>
      <c r="C3" s="520"/>
      <c r="D3" s="520"/>
      <c r="E3" s="520"/>
      <c r="F3" s="520"/>
      <c r="G3" s="520"/>
      <c r="H3" s="520"/>
      <c r="I3" s="520"/>
      <c r="J3" s="520"/>
      <c r="K3" s="520"/>
      <c r="L3" s="520"/>
      <c r="M3" s="520"/>
    </row>
    <row r="4" spans="1:14" x14ac:dyDescent="0.2">
      <c r="A4" s="128"/>
      <c r="B4" s="705" t="s">
        <v>0</v>
      </c>
      <c r="C4" s="706"/>
      <c r="D4" s="706"/>
      <c r="E4" s="518"/>
      <c r="F4" s="705" t="s">
        <v>1</v>
      </c>
      <c r="G4" s="706"/>
      <c r="H4" s="706"/>
      <c r="I4" s="519"/>
      <c r="J4" s="705" t="s">
        <v>2</v>
      </c>
      <c r="K4" s="706"/>
      <c r="L4" s="706"/>
      <c r="M4" s="51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4"/>
      <c r="M7" s="11"/>
    </row>
    <row r="8" spans="1:14" ht="15.75" x14ac:dyDescent="0.2">
      <c r="A8" s="21" t="s">
        <v>25</v>
      </c>
      <c r="B8" s="266"/>
      <c r="C8" s="267"/>
      <c r="D8" s="150"/>
      <c r="E8" s="27"/>
      <c r="F8" s="270"/>
      <c r="G8" s="271"/>
      <c r="H8" s="150"/>
      <c r="I8" s="160"/>
      <c r="J8" s="217"/>
      <c r="K8" s="272"/>
      <c r="L8" s="150"/>
      <c r="M8" s="27"/>
    </row>
    <row r="9" spans="1:14" ht="15.75" x14ac:dyDescent="0.2">
      <c r="A9" s="21" t="s">
        <v>24</v>
      </c>
      <c r="B9" s="266"/>
      <c r="C9" s="267"/>
      <c r="D9" s="150"/>
      <c r="E9" s="27"/>
      <c r="F9" s="270"/>
      <c r="G9" s="271"/>
      <c r="H9" s="150"/>
      <c r="I9" s="160"/>
      <c r="J9" s="217"/>
      <c r="K9" s="272"/>
      <c r="L9" s="150"/>
      <c r="M9" s="27"/>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520"/>
      <c r="F18" s="704"/>
      <c r="G18" s="704"/>
      <c r="H18" s="704"/>
      <c r="I18" s="520"/>
      <c r="J18" s="704"/>
      <c r="K18" s="704"/>
      <c r="L18" s="704"/>
      <c r="M18" s="520"/>
    </row>
    <row r="19" spans="1:14" x14ac:dyDescent="0.2">
      <c r="A19" s="128"/>
      <c r="B19" s="705" t="s">
        <v>0</v>
      </c>
      <c r="C19" s="706"/>
      <c r="D19" s="706"/>
      <c r="E19" s="518"/>
      <c r="F19" s="705" t="s">
        <v>1</v>
      </c>
      <c r="G19" s="706"/>
      <c r="H19" s="706"/>
      <c r="I19" s="519"/>
      <c r="J19" s="705" t="s">
        <v>2</v>
      </c>
      <c r="K19" s="706"/>
      <c r="L19" s="706"/>
      <c r="M19" s="51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521"/>
    </row>
    <row r="41" spans="1:14" x14ac:dyDescent="0.2">
      <c r="A41" s="139"/>
    </row>
    <row r="42" spans="1:14" ht="15.75" x14ac:dyDescent="0.25">
      <c r="A42" s="131" t="s">
        <v>243</v>
      </c>
      <c r="B42" s="707"/>
      <c r="C42" s="707"/>
      <c r="D42" s="707"/>
      <c r="E42" s="520"/>
      <c r="F42" s="709"/>
      <c r="G42" s="709"/>
      <c r="H42" s="709"/>
      <c r="I42" s="521"/>
      <c r="J42" s="709"/>
      <c r="K42" s="709"/>
      <c r="L42" s="709"/>
      <c r="M42" s="521"/>
    </row>
    <row r="43" spans="1:14" ht="15.75" x14ac:dyDescent="0.25">
      <c r="A43" s="147"/>
      <c r="B43" s="516"/>
      <c r="C43" s="516"/>
      <c r="D43" s="516"/>
      <c r="E43" s="516"/>
      <c r="F43" s="521"/>
      <c r="G43" s="521"/>
      <c r="H43" s="521"/>
      <c r="I43" s="521"/>
      <c r="J43" s="521"/>
      <c r="K43" s="521"/>
      <c r="L43" s="521"/>
      <c r="M43" s="521"/>
    </row>
    <row r="44" spans="1:14" ht="15.75" x14ac:dyDescent="0.25">
      <c r="A44" s="232"/>
      <c r="B44" s="705" t="s">
        <v>0</v>
      </c>
      <c r="C44" s="706"/>
      <c r="D44" s="706"/>
      <c r="E44" s="227"/>
      <c r="F44" s="521"/>
      <c r="G44" s="521"/>
      <c r="H44" s="521"/>
      <c r="I44" s="521"/>
      <c r="J44" s="521"/>
      <c r="K44" s="521"/>
      <c r="L44" s="521"/>
      <c r="M44" s="521"/>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12079</v>
      </c>
      <c r="C47" s="296">
        <v>14299.8</v>
      </c>
      <c r="D47" s="404">
        <f t="shared" ref="D47:D48" si="0">IF(B47=0, "    ---- ", IF(ABS(ROUND(100/B47*C47-100,1))&lt;999,ROUND(100/B47*C47-100,1),IF(ROUND(100/B47*C47-100,1)&gt;999,999,-999)))</f>
        <v>18.399999999999999</v>
      </c>
      <c r="E47" s="11">
        <f>IFERROR(100/'Skjema total MA'!C47*C47,0)</f>
        <v>0.34721499146922224</v>
      </c>
      <c r="F47" s="129"/>
      <c r="G47" s="33"/>
      <c r="H47" s="143"/>
      <c r="I47" s="143"/>
      <c r="J47" s="37"/>
      <c r="K47" s="37"/>
      <c r="L47" s="143"/>
      <c r="M47" s="143"/>
      <c r="N47" s="132"/>
    </row>
    <row r="48" spans="1:14" s="3" customFormat="1" ht="15.75" x14ac:dyDescent="0.2">
      <c r="A48" s="38" t="s">
        <v>332</v>
      </c>
      <c r="B48" s="266">
        <v>12079</v>
      </c>
      <c r="C48" s="267">
        <v>14299.8</v>
      </c>
      <c r="D48" s="242">
        <f t="shared" si="0"/>
        <v>18.399999999999999</v>
      </c>
      <c r="E48" s="27">
        <f>IFERROR(100/'Skjema total MA'!C48*C48,0)</f>
        <v>0.64979325533293464</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520"/>
      <c r="F62" s="704"/>
      <c r="G62" s="704"/>
      <c r="H62" s="704"/>
      <c r="I62" s="520"/>
      <c r="J62" s="704"/>
      <c r="K62" s="704"/>
      <c r="L62" s="704"/>
      <c r="M62" s="520"/>
    </row>
    <row r="63" spans="1:14" x14ac:dyDescent="0.2">
      <c r="A63" s="128"/>
      <c r="B63" s="705" t="s">
        <v>0</v>
      </c>
      <c r="C63" s="706"/>
      <c r="D63" s="710"/>
      <c r="E63" s="517"/>
      <c r="F63" s="706" t="s">
        <v>1</v>
      </c>
      <c r="G63" s="706"/>
      <c r="H63" s="706"/>
      <c r="I63" s="519"/>
      <c r="J63" s="705" t="s">
        <v>2</v>
      </c>
      <c r="K63" s="706"/>
      <c r="L63" s="706"/>
      <c r="M63" s="51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520"/>
      <c r="F130" s="704"/>
      <c r="G130" s="704"/>
      <c r="H130" s="704"/>
      <c r="I130" s="520"/>
      <c r="J130" s="704"/>
      <c r="K130" s="704"/>
      <c r="L130" s="704"/>
      <c r="M130" s="520"/>
    </row>
    <row r="131" spans="1:14" s="3" customFormat="1" x14ac:dyDescent="0.2">
      <c r="A131" s="128"/>
      <c r="B131" s="705" t="s">
        <v>0</v>
      </c>
      <c r="C131" s="706"/>
      <c r="D131" s="706"/>
      <c r="E131" s="518"/>
      <c r="F131" s="705" t="s">
        <v>1</v>
      </c>
      <c r="G131" s="706"/>
      <c r="H131" s="706"/>
      <c r="I131" s="519"/>
      <c r="J131" s="705" t="s">
        <v>2</v>
      </c>
      <c r="K131" s="706"/>
      <c r="L131" s="706"/>
      <c r="M131" s="51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799" priority="59">
      <formula>kvartal &lt; 4</formula>
    </cfRule>
  </conditionalFormatting>
  <conditionalFormatting sqref="B69">
    <cfRule type="expression" dxfId="798" priority="58">
      <formula>kvartal &lt; 4</formula>
    </cfRule>
  </conditionalFormatting>
  <conditionalFormatting sqref="C69">
    <cfRule type="expression" dxfId="797" priority="57">
      <formula>kvartal &lt; 4</formula>
    </cfRule>
  </conditionalFormatting>
  <conditionalFormatting sqref="B72">
    <cfRule type="expression" dxfId="796" priority="56">
      <formula>kvartal &lt; 4</formula>
    </cfRule>
  </conditionalFormatting>
  <conditionalFormatting sqref="C72">
    <cfRule type="expression" dxfId="795" priority="55">
      <formula>kvartal &lt; 4</formula>
    </cfRule>
  </conditionalFormatting>
  <conditionalFormatting sqref="B80">
    <cfRule type="expression" dxfId="794" priority="54">
      <formula>kvartal &lt; 4</formula>
    </cfRule>
  </conditionalFormatting>
  <conditionalFormatting sqref="C80">
    <cfRule type="expression" dxfId="793" priority="53">
      <formula>kvartal &lt; 4</formula>
    </cfRule>
  </conditionalFormatting>
  <conditionalFormatting sqref="B83">
    <cfRule type="expression" dxfId="792" priority="52">
      <formula>kvartal &lt; 4</formula>
    </cfRule>
  </conditionalFormatting>
  <conditionalFormatting sqref="C83">
    <cfRule type="expression" dxfId="791" priority="51">
      <formula>kvartal &lt; 4</formula>
    </cfRule>
  </conditionalFormatting>
  <conditionalFormatting sqref="B90">
    <cfRule type="expression" dxfId="790" priority="50">
      <formula>kvartal &lt; 4</formula>
    </cfRule>
  </conditionalFormatting>
  <conditionalFormatting sqref="C90">
    <cfRule type="expression" dxfId="789" priority="49">
      <formula>kvartal &lt; 4</formula>
    </cfRule>
  </conditionalFormatting>
  <conditionalFormatting sqref="B93">
    <cfRule type="expression" dxfId="788" priority="48">
      <formula>kvartal &lt; 4</formula>
    </cfRule>
  </conditionalFormatting>
  <conditionalFormatting sqref="C93">
    <cfRule type="expression" dxfId="787" priority="47">
      <formula>kvartal &lt; 4</formula>
    </cfRule>
  </conditionalFormatting>
  <conditionalFormatting sqref="B101">
    <cfRule type="expression" dxfId="786" priority="46">
      <formula>kvartal &lt; 4</formula>
    </cfRule>
  </conditionalFormatting>
  <conditionalFormatting sqref="C101">
    <cfRule type="expression" dxfId="785" priority="45">
      <formula>kvartal &lt; 4</formula>
    </cfRule>
  </conditionalFormatting>
  <conditionalFormatting sqref="B104">
    <cfRule type="expression" dxfId="784" priority="44">
      <formula>kvartal &lt; 4</formula>
    </cfRule>
  </conditionalFormatting>
  <conditionalFormatting sqref="C104">
    <cfRule type="expression" dxfId="783" priority="43">
      <formula>kvartal &lt; 4</formula>
    </cfRule>
  </conditionalFormatting>
  <conditionalFormatting sqref="B115">
    <cfRule type="expression" dxfId="782" priority="42">
      <formula>kvartal &lt; 4</formula>
    </cfRule>
  </conditionalFormatting>
  <conditionalFormatting sqref="C115">
    <cfRule type="expression" dxfId="781" priority="41">
      <formula>kvartal &lt; 4</formula>
    </cfRule>
  </conditionalFormatting>
  <conditionalFormatting sqref="B123">
    <cfRule type="expression" dxfId="780" priority="40">
      <formula>kvartal &lt; 4</formula>
    </cfRule>
  </conditionalFormatting>
  <conditionalFormatting sqref="C123">
    <cfRule type="expression" dxfId="779" priority="39">
      <formula>kvartal &lt; 4</formula>
    </cfRule>
  </conditionalFormatting>
  <conditionalFormatting sqref="F70">
    <cfRule type="expression" dxfId="778" priority="38">
      <formula>kvartal &lt; 4</formula>
    </cfRule>
  </conditionalFormatting>
  <conditionalFormatting sqref="G70">
    <cfRule type="expression" dxfId="777" priority="37">
      <formula>kvartal &lt; 4</formula>
    </cfRule>
  </conditionalFormatting>
  <conditionalFormatting sqref="F71:G71">
    <cfRule type="expression" dxfId="776" priority="36">
      <formula>kvartal &lt; 4</formula>
    </cfRule>
  </conditionalFormatting>
  <conditionalFormatting sqref="F73:G74">
    <cfRule type="expression" dxfId="775" priority="35">
      <formula>kvartal &lt; 4</formula>
    </cfRule>
  </conditionalFormatting>
  <conditionalFormatting sqref="F81:G82">
    <cfRule type="expression" dxfId="774" priority="34">
      <formula>kvartal &lt; 4</formula>
    </cfRule>
  </conditionalFormatting>
  <conditionalFormatting sqref="F84:G85">
    <cfRule type="expression" dxfId="773" priority="33">
      <formula>kvartal &lt; 4</formula>
    </cfRule>
  </conditionalFormatting>
  <conditionalFormatting sqref="F91:G92">
    <cfRule type="expression" dxfId="772" priority="32">
      <formula>kvartal &lt; 4</formula>
    </cfRule>
  </conditionalFormatting>
  <conditionalFormatting sqref="F94:G95">
    <cfRule type="expression" dxfId="771" priority="31">
      <formula>kvartal &lt; 4</formula>
    </cfRule>
  </conditionalFormatting>
  <conditionalFormatting sqref="F102:G103">
    <cfRule type="expression" dxfId="770" priority="30">
      <formula>kvartal &lt; 4</formula>
    </cfRule>
  </conditionalFormatting>
  <conditionalFormatting sqref="F105:G106">
    <cfRule type="expression" dxfId="769" priority="29">
      <formula>kvartal &lt; 4</formula>
    </cfRule>
  </conditionalFormatting>
  <conditionalFormatting sqref="F115">
    <cfRule type="expression" dxfId="768" priority="28">
      <formula>kvartal &lt; 4</formula>
    </cfRule>
  </conditionalFormatting>
  <conditionalFormatting sqref="G115">
    <cfRule type="expression" dxfId="767" priority="27">
      <formula>kvartal &lt; 4</formula>
    </cfRule>
  </conditionalFormatting>
  <conditionalFormatting sqref="F123:G123">
    <cfRule type="expression" dxfId="766" priority="26">
      <formula>kvartal &lt; 4</formula>
    </cfRule>
  </conditionalFormatting>
  <conditionalFormatting sqref="F69:G69">
    <cfRule type="expression" dxfId="765" priority="25">
      <formula>kvartal &lt; 4</formula>
    </cfRule>
  </conditionalFormatting>
  <conditionalFormatting sqref="F72:G72">
    <cfRule type="expression" dxfId="764" priority="24">
      <formula>kvartal &lt; 4</formula>
    </cfRule>
  </conditionalFormatting>
  <conditionalFormatting sqref="F80:G80">
    <cfRule type="expression" dxfId="763" priority="23">
      <formula>kvartal &lt; 4</formula>
    </cfRule>
  </conditionalFormatting>
  <conditionalFormatting sqref="F83:G83">
    <cfRule type="expression" dxfId="762" priority="22">
      <formula>kvartal &lt; 4</formula>
    </cfRule>
  </conditionalFormatting>
  <conditionalFormatting sqref="F90:G90">
    <cfRule type="expression" dxfId="761" priority="21">
      <formula>kvartal &lt; 4</formula>
    </cfRule>
  </conditionalFormatting>
  <conditionalFormatting sqref="F93">
    <cfRule type="expression" dxfId="760" priority="20">
      <formula>kvartal &lt; 4</formula>
    </cfRule>
  </conditionalFormatting>
  <conditionalFormatting sqref="G93">
    <cfRule type="expression" dxfId="759" priority="19">
      <formula>kvartal &lt; 4</formula>
    </cfRule>
  </conditionalFormatting>
  <conditionalFormatting sqref="F101">
    <cfRule type="expression" dxfId="758" priority="18">
      <formula>kvartal &lt; 4</formula>
    </cfRule>
  </conditionalFormatting>
  <conditionalFormatting sqref="G101">
    <cfRule type="expression" dxfId="757" priority="17">
      <formula>kvartal &lt; 4</formula>
    </cfRule>
  </conditionalFormatting>
  <conditionalFormatting sqref="G104">
    <cfRule type="expression" dxfId="756" priority="16">
      <formula>kvartal &lt; 4</formula>
    </cfRule>
  </conditionalFormatting>
  <conditionalFormatting sqref="F104">
    <cfRule type="expression" dxfId="755" priority="15">
      <formula>kvartal &lt; 4</formula>
    </cfRule>
  </conditionalFormatting>
  <conditionalFormatting sqref="J69:K73">
    <cfRule type="expression" dxfId="754" priority="14">
      <formula>kvartal &lt; 4</formula>
    </cfRule>
  </conditionalFormatting>
  <conditionalFormatting sqref="J74:K74">
    <cfRule type="expression" dxfId="753" priority="13">
      <formula>kvartal &lt; 4</formula>
    </cfRule>
  </conditionalFormatting>
  <conditionalFormatting sqref="J80:K85">
    <cfRule type="expression" dxfId="752" priority="12">
      <formula>kvartal &lt; 4</formula>
    </cfRule>
  </conditionalFormatting>
  <conditionalFormatting sqref="J90:K95">
    <cfRule type="expression" dxfId="751" priority="11">
      <formula>kvartal &lt; 4</formula>
    </cfRule>
  </conditionalFormatting>
  <conditionalFormatting sqref="J101:K106">
    <cfRule type="expression" dxfId="750" priority="10">
      <formula>kvartal &lt; 4</formula>
    </cfRule>
  </conditionalFormatting>
  <conditionalFormatting sqref="J115:K115">
    <cfRule type="expression" dxfId="749" priority="9">
      <formula>kvartal &lt; 4</formula>
    </cfRule>
  </conditionalFormatting>
  <conditionalFormatting sqref="J123:K123">
    <cfRule type="expression" dxfId="748" priority="8">
      <formula>kvartal &lt; 4</formula>
    </cfRule>
  </conditionalFormatting>
  <conditionalFormatting sqref="A50:A52">
    <cfRule type="expression" dxfId="747" priority="7">
      <formula>kvartal &lt; 4</formula>
    </cfRule>
  </conditionalFormatting>
  <conditionalFormatting sqref="A69:A74">
    <cfRule type="expression" dxfId="746" priority="6">
      <formula>kvartal &lt; 4</formula>
    </cfRule>
  </conditionalFormatting>
  <conditionalFormatting sqref="A80:A85">
    <cfRule type="expression" dxfId="745" priority="5">
      <formula>kvartal &lt; 4</formula>
    </cfRule>
  </conditionalFormatting>
  <conditionalFormatting sqref="A90:A95">
    <cfRule type="expression" dxfId="744" priority="4">
      <formula>kvartal &lt; 4</formula>
    </cfRule>
  </conditionalFormatting>
  <conditionalFormatting sqref="A101:A106">
    <cfRule type="expression" dxfId="743" priority="3">
      <formula>kvartal &lt; 4</formula>
    </cfRule>
  </conditionalFormatting>
  <conditionalFormatting sqref="A115">
    <cfRule type="expression" dxfId="742" priority="2">
      <formula>kvartal &lt; 4</formula>
    </cfRule>
  </conditionalFormatting>
  <conditionalFormatting sqref="A123">
    <cfRule type="expression" dxfId="741" priority="1">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topLeftCell="A11"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119</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v>134070.96738566499</v>
      </c>
      <c r="C7" s="292">
        <v>138670.85144447401</v>
      </c>
      <c r="D7" s="334">
        <f>IF(B7=0, "    ---- ", IF(ABS(ROUND(100/B7*C7-100,1))&lt;999,ROUND(100/B7*C7-100,1),IF(ROUND(100/B7*C7-100,1)&gt;999,999,-999)))</f>
        <v>3.4</v>
      </c>
      <c r="E7" s="11">
        <f>IFERROR(100/'Skjema total MA'!C7*C7,0)</f>
        <v>7.2368318780507401</v>
      </c>
      <c r="F7" s="291">
        <v>2078714.0746200001</v>
      </c>
      <c r="G7" s="292">
        <v>3161800.1961599998</v>
      </c>
      <c r="H7" s="334">
        <f>IF(F7=0, "    ---- ", IF(ABS(ROUND(100/F7*G7-100,1))&lt;999,ROUND(100/F7*G7-100,1),IF(ROUND(100/F7*G7-100,1)&gt;999,999,-999)))</f>
        <v>52.1</v>
      </c>
      <c r="I7" s="144">
        <f>IFERROR(100/'Skjema total MA'!F7*G7,0)</f>
        <v>80.797468555296135</v>
      </c>
      <c r="J7" s="293">
        <f t="shared" ref="J7:K12" si="0">SUM(B7,F7)</f>
        <v>2212785.0420056651</v>
      </c>
      <c r="K7" s="294">
        <f t="shared" si="0"/>
        <v>3300471.0476044738</v>
      </c>
      <c r="L7" s="404">
        <f>IF(J7=0, "    ---- ", IF(ABS(ROUND(100/J7*K7-100,1))&lt;999,ROUND(100/J7*K7-100,1),IF(ROUND(100/J7*K7-100,1)&gt;999,999,-999)))</f>
        <v>49.2</v>
      </c>
      <c r="M7" s="11">
        <f>IFERROR(100/'Skjema total MA'!I7*K7,0)</f>
        <v>56.617452879524485</v>
      </c>
    </row>
    <row r="8" spans="1:14" ht="15.75" x14ac:dyDescent="0.2">
      <c r="A8" s="21" t="s">
        <v>25</v>
      </c>
      <c r="B8" s="266">
        <v>115797.892779867</v>
      </c>
      <c r="C8" s="267">
        <v>120979.86989029701</v>
      </c>
      <c r="D8" s="150">
        <f t="shared" ref="D8:D10" si="1">IF(B8=0, "    ---- ", IF(ABS(ROUND(100/B8*C8-100,1))&lt;999,ROUND(100/B8*C8-100,1),IF(ROUND(100/B8*C8-100,1)&gt;999,999,-999)))</f>
        <v>4.5</v>
      </c>
      <c r="E8" s="27">
        <f>IFERROR(100/'Skjema total MA'!C8*C8,0)</f>
        <v>9.3508740073072207</v>
      </c>
      <c r="F8" s="270"/>
      <c r="G8" s="271"/>
      <c r="H8" s="150"/>
      <c r="I8" s="160"/>
      <c r="J8" s="217">
        <f t="shared" si="0"/>
        <v>115797.892779867</v>
      </c>
      <c r="K8" s="272">
        <f t="shared" si="0"/>
        <v>120979.86989029701</v>
      </c>
      <c r="L8" s="150">
        <f t="shared" ref="L8:L9" si="2">IF(J8=0, "    ---- ", IF(ABS(ROUND(100/J8*K8-100,1))&lt;999,ROUND(100/J8*K8-100,1),IF(ROUND(100/J8*K8-100,1)&gt;999,999,-999)))</f>
        <v>4.5</v>
      </c>
      <c r="M8" s="27">
        <f>IFERROR(100/'Skjema total MA'!I8*K8,0)</f>
        <v>9.3508740073072207</v>
      </c>
    </row>
    <row r="9" spans="1:14" ht="15.75" x14ac:dyDescent="0.2">
      <c r="A9" s="21" t="s">
        <v>24</v>
      </c>
      <c r="B9" s="266">
        <v>16890.783554036501</v>
      </c>
      <c r="C9" s="267">
        <v>16411.967533266299</v>
      </c>
      <c r="D9" s="150">
        <f t="shared" si="1"/>
        <v>-2.8</v>
      </c>
      <c r="E9" s="27">
        <f>IFERROR(100/'Skjema total MA'!C9*C9,0)</f>
        <v>3.8377326108720804</v>
      </c>
      <c r="F9" s="270"/>
      <c r="G9" s="271"/>
      <c r="H9" s="150"/>
      <c r="I9" s="160"/>
      <c r="J9" s="217">
        <f t="shared" si="0"/>
        <v>16890.783554036501</v>
      </c>
      <c r="K9" s="272">
        <f t="shared" si="0"/>
        <v>16411.967533266299</v>
      </c>
      <c r="L9" s="150">
        <f t="shared" si="2"/>
        <v>-2.8</v>
      </c>
      <c r="M9" s="27">
        <f>IFERROR(100/'Skjema total MA'!I9*K9,0)</f>
        <v>3.8377326108720804</v>
      </c>
    </row>
    <row r="10" spans="1:14" ht="15.75" x14ac:dyDescent="0.2">
      <c r="A10" s="13" t="s">
        <v>321</v>
      </c>
      <c r="B10" s="295">
        <v>647781.08329253295</v>
      </c>
      <c r="C10" s="296">
        <v>567367.75051859801</v>
      </c>
      <c r="D10" s="155">
        <f t="shared" si="1"/>
        <v>-12.4</v>
      </c>
      <c r="E10" s="11">
        <f>IFERROR(100/'Skjema total MA'!C10*C10,0)</f>
        <v>4.1935007576543475</v>
      </c>
      <c r="F10" s="295">
        <v>47423770.349009998</v>
      </c>
      <c r="G10" s="296">
        <v>57945313.705119997</v>
      </c>
      <c r="H10" s="155">
        <f t="shared" ref="H10:H12" si="3">IF(F10=0, "    ---- ", IF(ABS(ROUND(100/F10*G10-100,1))&lt;999,ROUND(100/F10*G10-100,1),IF(ROUND(100/F10*G10-100,1)&gt;999,999,-999)))</f>
        <v>22.2</v>
      </c>
      <c r="I10" s="144">
        <f>IFERROR(100/'Skjema total MA'!F10*G10,0)</f>
        <v>64.188118030970259</v>
      </c>
      <c r="J10" s="293">
        <f t="shared" si="0"/>
        <v>48071551.432302535</v>
      </c>
      <c r="K10" s="294">
        <f t="shared" si="0"/>
        <v>58512681.455638595</v>
      </c>
      <c r="L10" s="405">
        <f t="shared" ref="L10:L12" si="4">IF(J10=0, "    ---- ", IF(ABS(ROUND(100/J10*K10-100,1))&lt;999,ROUND(100/J10*K10-100,1),IF(ROUND(100/J10*K10-100,1)&gt;999,999,-999)))</f>
        <v>21.7</v>
      </c>
      <c r="M10" s="11">
        <f>IFERROR(100/'Skjema total MA'!I10*K10,0)</f>
        <v>56.368481882702632</v>
      </c>
    </row>
    <row r="11" spans="1:14" s="43" customFormat="1" ht="15.75" x14ac:dyDescent="0.2">
      <c r="A11" s="13" t="s">
        <v>322</v>
      </c>
      <c r="B11" s="295"/>
      <c r="C11" s="296"/>
      <c r="D11" s="155"/>
      <c r="E11" s="11"/>
      <c r="F11" s="295">
        <v>30295.409950000001</v>
      </c>
      <c r="G11" s="296">
        <v>49886.958919999997</v>
      </c>
      <c r="H11" s="155">
        <f t="shared" si="3"/>
        <v>64.7</v>
      </c>
      <c r="I11" s="144">
        <f>IFERROR(100/'Skjema total MA'!F11*G11,0)</f>
        <v>47.779045288574913</v>
      </c>
      <c r="J11" s="293">
        <f t="shared" si="0"/>
        <v>30295.409950000001</v>
      </c>
      <c r="K11" s="294">
        <f t="shared" si="0"/>
        <v>49886.958919999997</v>
      </c>
      <c r="L11" s="405">
        <f t="shared" si="4"/>
        <v>64.7</v>
      </c>
      <c r="M11" s="11">
        <f>IFERROR(100/'Skjema total MA'!I11*K11,0)</f>
        <v>47.779045288574913</v>
      </c>
      <c r="N11" s="127"/>
    </row>
    <row r="12" spans="1:14" s="43" customFormat="1" ht="15.75" x14ac:dyDescent="0.2">
      <c r="A12" s="41" t="s">
        <v>323</v>
      </c>
      <c r="B12" s="297"/>
      <c r="C12" s="298"/>
      <c r="D12" s="153"/>
      <c r="E12" s="36"/>
      <c r="F12" s="297">
        <v>10843.09492</v>
      </c>
      <c r="G12" s="298">
        <v>35152.293740000001</v>
      </c>
      <c r="H12" s="153">
        <f t="shared" si="3"/>
        <v>224.2</v>
      </c>
      <c r="I12" s="153">
        <f>IFERROR(100/'Skjema total MA'!F12*G12,0)</f>
        <v>32.849269197387017</v>
      </c>
      <c r="J12" s="299">
        <f t="shared" si="0"/>
        <v>10843.09492</v>
      </c>
      <c r="K12" s="300">
        <f t="shared" si="0"/>
        <v>35152.293740000001</v>
      </c>
      <c r="L12" s="406">
        <f t="shared" si="4"/>
        <v>224.2</v>
      </c>
      <c r="M12" s="36">
        <f>IFERROR(100/'Skjema total MA'!I12*K12,0)</f>
        <v>32.849269197387017</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53842.532399333402</v>
      </c>
      <c r="C22" s="295">
        <v>59397.0746225084</v>
      </c>
      <c r="D22" s="334">
        <f t="shared" ref="D22:D32" si="5">IF(B22=0, "    ---- ", IF(ABS(ROUND(100/B22*C22-100,1))&lt;999,ROUND(100/B22*C22-100,1),IF(ROUND(100/B22*C22-100,1)&gt;999,999,-999)))</f>
        <v>10.3</v>
      </c>
      <c r="E22" s="11">
        <f>IFERROR(100/'Skjema total MA'!C22*C22,0)</f>
        <v>6.720389202831738</v>
      </c>
      <c r="F22" s="303">
        <v>58351.801740000003</v>
      </c>
      <c r="G22" s="303">
        <v>63034.62599</v>
      </c>
      <c r="H22" s="334">
        <f t="shared" ref="H22:H35" si="6">IF(F22=0, "    ---- ", IF(ABS(ROUND(100/F22*G22-100,1))&lt;999,ROUND(100/F22*G22-100,1),IF(ROUND(100/F22*G22-100,1)&gt;999,999,-999)))</f>
        <v>8</v>
      </c>
      <c r="I22" s="11">
        <f>IFERROR(100/'Skjema total MA'!F22*G22,0)</f>
        <v>24.795126450072928</v>
      </c>
      <c r="J22" s="301">
        <f t="shared" ref="J22:K35" si="7">SUM(B22,F22)</f>
        <v>112194.3341393334</v>
      </c>
      <c r="K22" s="301">
        <f t="shared" si="7"/>
        <v>122431.7006125084</v>
      </c>
      <c r="L22" s="404">
        <f t="shared" ref="L22:L35" si="8">IF(J22=0, "    ---- ", IF(ABS(ROUND(100/J22*K22-100,1))&lt;999,ROUND(100/J22*K22-100,1),IF(ROUND(100/J22*K22-100,1)&gt;999,999,-999)))</f>
        <v>9.1</v>
      </c>
      <c r="M22" s="24">
        <f>IFERROR(100/'Skjema total MA'!I22*K22,0)</f>
        <v>10.757970984982634</v>
      </c>
    </row>
    <row r="23" spans="1:14" ht="15.75" x14ac:dyDescent="0.2">
      <c r="A23" s="454" t="s">
        <v>324</v>
      </c>
      <c r="B23" s="266">
        <v>53772.904399333398</v>
      </c>
      <c r="C23" s="266">
        <v>59358.3206225084</v>
      </c>
      <c r="D23" s="150">
        <f t="shared" si="5"/>
        <v>10.4</v>
      </c>
      <c r="E23" s="11">
        <f>IFERROR(100/'Skjema total MA'!C23*C23,0)</f>
        <v>9.3398103731015709</v>
      </c>
      <c r="F23" s="275">
        <v>651.38599999999997</v>
      </c>
      <c r="G23" s="275">
        <v>513.51199999999994</v>
      </c>
      <c r="H23" s="150">
        <f t="shared" si="6"/>
        <v>-21.2</v>
      </c>
      <c r="I23" s="394">
        <f>IFERROR(100/'Skjema total MA'!F23*G23,0)</f>
        <v>2.8707773853582328</v>
      </c>
      <c r="J23" s="275">
        <f t="shared" ref="J23:J26" si="9">SUM(B23,F23)</f>
        <v>54424.290399333397</v>
      </c>
      <c r="K23" s="275">
        <f t="shared" ref="K23:K26" si="10">SUM(C23,G23)</f>
        <v>59871.832622508402</v>
      </c>
      <c r="L23" s="150">
        <f t="shared" si="8"/>
        <v>10</v>
      </c>
      <c r="M23" s="23">
        <f>IFERROR(100/'Skjema total MA'!I23*K23,0)</f>
        <v>9.1627210573266513</v>
      </c>
    </row>
    <row r="24" spans="1:14" ht="15.75" x14ac:dyDescent="0.2">
      <c r="A24" s="454" t="s">
        <v>325</v>
      </c>
      <c r="B24" s="266">
        <v>69.628</v>
      </c>
      <c r="C24" s="266">
        <v>38.753999999999998</v>
      </c>
      <c r="D24" s="150">
        <f t="shared" si="5"/>
        <v>-44.3</v>
      </c>
      <c r="E24" s="11">
        <f>IFERROR(100/'Skjema total MA'!C24*C24,0)</f>
        <v>1.2600077770435822</v>
      </c>
      <c r="F24" s="275"/>
      <c r="G24" s="275"/>
      <c r="H24" s="150"/>
      <c r="I24" s="394"/>
      <c r="J24" s="275">
        <f t="shared" si="9"/>
        <v>69.628</v>
      </c>
      <c r="K24" s="275">
        <f t="shared" si="10"/>
        <v>38.753999999999998</v>
      </c>
      <c r="L24" s="150">
        <f t="shared" si="8"/>
        <v>-44.3</v>
      </c>
      <c r="M24" s="23">
        <f>IFERROR(100/'Skjema total MA'!I24*K24,0)</f>
        <v>0.98711655690884792</v>
      </c>
    </row>
    <row r="25" spans="1:14" ht="15.75" x14ac:dyDescent="0.2">
      <c r="A25" s="454" t="s">
        <v>326</v>
      </c>
      <c r="B25" s="266"/>
      <c r="C25" s="266"/>
      <c r="D25" s="150"/>
      <c r="E25" s="11"/>
      <c r="F25" s="275">
        <v>254.8</v>
      </c>
      <c r="G25" s="275">
        <v>231.05</v>
      </c>
      <c r="H25" s="150">
        <f t="shared" si="6"/>
        <v>-9.3000000000000007</v>
      </c>
      <c r="I25" s="394">
        <f>IFERROR(100/'Skjema total MA'!F25*G25,0)</f>
        <v>6.671857287895528</v>
      </c>
      <c r="J25" s="275">
        <f t="shared" si="9"/>
        <v>254.8</v>
      </c>
      <c r="K25" s="275">
        <f t="shared" si="10"/>
        <v>231.05</v>
      </c>
      <c r="L25" s="150">
        <f t="shared" si="8"/>
        <v>-9.3000000000000007</v>
      </c>
      <c r="M25" s="23">
        <f>IFERROR(100/'Skjema total MA'!I25*K25,0)</f>
        <v>2.7004375274276833</v>
      </c>
    </row>
    <row r="26" spans="1:14" ht="15.75" x14ac:dyDescent="0.2">
      <c r="A26" s="454" t="s">
        <v>327</v>
      </c>
      <c r="B26" s="266"/>
      <c r="C26" s="266"/>
      <c r="D26" s="150"/>
      <c r="E26" s="11"/>
      <c r="F26" s="275">
        <v>57445.615740000001</v>
      </c>
      <c r="G26" s="275">
        <v>62290.063990000002</v>
      </c>
      <c r="H26" s="150">
        <f t="shared" si="6"/>
        <v>8.4</v>
      </c>
      <c r="I26" s="394">
        <f>IFERROR(100/'Skjema total MA'!F26*G26,0)</f>
        <v>26.846742410435731</v>
      </c>
      <c r="J26" s="275">
        <f t="shared" si="9"/>
        <v>57445.615740000001</v>
      </c>
      <c r="K26" s="275">
        <f t="shared" si="10"/>
        <v>62290.063990000002</v>
      </c>
      <c r="L26" s="150">
        <f t="shared" si="8"/>
        <v>8.4</v>
      </c>
      <c r="M26" s="23">
        <f>IFERROR(100/'Skjema total MA'!I26*K26,0)</f>
        <v>26.846742410435731</v>
      </c>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v>55726.670849554801</v>
      </c>
      <c r="C28" s="272">
        <v>61490.111796419202</v>
      </c>
      <c r="D28" s="150">
        <f t="shared" si="5"/>
        <v>10.3</v>
      </c>
      <c r="E28" s="11">
        <f>IFERROR(100/'Skjema total MA'!C28*C28,0)</f>
        <v>5.8261214029229924</v>
      </c>
      <c r="F28" s="217"/>
      <c r="G28" s="272"/>
      <c r="H28" s="150"/>
      <c r="I28" s="27"/>
      <c r="J28" s="44">
        <f t="shared" si="7"/>
        <v>55726.670849554801</v>
      </c>
      <c r="K28" s="44">
        <f t="shared" si="7"/>
        <v>61490.111796419202</v>
      </c>
      <c r="L28" s="242">
        <f t="shared" si="8"/>
        <v>10.3</v>
      </c>
      <c r="M28" s="23">
        <f>IFERROR(100/'Skjema total MA'!I28*K28,0)</f>
        <v>5.8261214029229924</v>
      </c>
    </row>
    <row r="29" spans="1:14" s="3" customFormat="1" ht="15.75" x14ac:dyDescent="0.2">
      <c r="A29" s="13" t="s">
        <v>321</v>
      </c>
      <c r="B29" s="219">
        <v>3981121.7562038801</v>
      </c>
      <c r="C29" s="219">
        <v>3983479.4246413098</v>
      </c>
      <c r="D29" s="155">
        <f t="shared" si="5"/>
        <v>0.1</v>
      </c>
      <c r="E29" s="11">
        <f>IFERROR(100/'Skjema total MA'!C29*C29,0)</f>
        <v>9.0495314692423285</v>
      </c>
      <c r="F29" s="293">
        <v>5540632.1600000001</v>
      </c>
      <c r="G29" s="293">
        <v>6443012.5999999996</v>
      </c>
      <c r="H29" s="155">
        <f t="shared" si="6"/>
        <v>16.3</v>
      </c>
      <c r="I29" s="11">
        <f>IFERROR(100/'Skjema total MA'!F29*G29,0)</f>
        <v>22.928109886068654</v>
      </c>
      <c r="J29" s="219">
        <f t="shared" si="7"/>
        <v>9521753.9162038807</v>
      </c>
      <c r="K29" s="219">
        <f t="shared" si="7"/>
        <v>10426492.024641309</v>
      </c>
      <c r="L29" s="405">
        <f t="shared" si="8"/>
        <v>9.5</v>
      </c>
      <c r="M29" s="24">
        <f>IFERROR(100/'Skjema total MA'!I29*K29,0)</f>
        <v>14.457232231741729</v>
      </c>
      <c r="N29" s="132"/>
    </row>
    <row r="30" spans="1:14" s="3" customFormat="1" ht="15.75" x14ac:dyDescent="0.2">
      <c r="A30" s="454" t="s">
        <v>324</v>
      </c>
      <c r="B30" s="266">
        <v>532624.84929568798</v>
      </c>
      <c r="C30" s="266">
        <v>476164.21967465302</v>
      </c>
      <c r="D30" s="150">
        <f t="shared" si="5"/>
        <v>-10.6</v>
      </c>
      <c r="E30" s="11">
        <f>IFERROR(100/'Skjema total MA'!C30*C30,0)</f>
        <v>2.6630897880932793</v>
      </c>
      <c r="F30" s="275">
        <v>382508.63537396898</v>
      </c>
      <c r="G30" s="275">
        <v>391831.15892456099</v>
      </c>
      <c r="H30" s="150">
        <f t="shared" si="6"/>
        <v>2.4</v>
      </c>
      <c r="I30" s="394">
        <f>IFERROR(100/'Skjema total MA'!F30*G30,0)</f>
        <v>10.37784223383742</v>
      </c>
      <c r="J30" s="275">
        <f t="shared" ref="J30:J33" si="11">SUM(B30,F30)</f>
        <v>915133.48466965696</v>
      </c>
      <c r="K30" s="275">
        <f t="shared" ref="K30:K33" si="12">SUM(C30,G30)</f>
        <v>867995.37859921402</v>
      </c>
      <c r="L30" s="150">
        <f t="shared" si="8"/>
        <v>-5.2</v>
      </c>
      <c r="M30" s="23">
        <f>IFERROR(100/'Skjema total MA'!I30*K30,0)</f>
        <v>4.0081440635046954</v>
      </c>
      <c r="N30" s="132"/>
    </row>
    <row r="31" spans="1:14" s="3" customFormat="1" ht="15.75" x14ac:dyDescent="0.2">
      <c r="A31" s="454" t="s">
        <v>325</v>
      </c>
      <c r="B31" s="266">
        <v>2700040.6071470599</v>
      </c>
      <c r="C31" s="266">
        <v>2671031.60474212</v>
      </c>
      <c r="D31" s="150">
        <f t="shared" si="5"/>
        <v>-1.1000000000000001</v>
      </c>
      <c r="E31" s="11">
        <f>IFERROR(100/'Skjema total MA'!C31*C31,0)</f>
        <v>11.235697145783137</v>
      </c>
      <c r="F31" s="275">
        <v>685172.48378383997</v>
      </c>
      <c r="G31" s="275">
        <v>696347.26498291199</v>
      </c>
      <c r="H31" s="150">
        <f t="shared" si="6"/>
        <v>1.6</v>
      </c>
      <c r="I31" s="394">
        <f>IFERROR(100/'Skjema total MA'!F31*G31,0)</f>
        <v>8.9005953241482096</v>
      </c>
      <c r="J31" s="275">
        <f t="shared" si="11"/>
        <v>3385213.0909308996</v>
      </c>
      <c r="K31" s="275">
        <f t="shared" si="12"/>
        <v>3367378.8697250318</v>
      </c>
      <c r="L31" s="150">
        <f t="shared" si="8"/>
        <v>-0.5</v>
      </c>
      <c r="M31" s="23">
        <f>IFERROR(100/'Skjema total MA'!I31*K31,0)</f>
        <v>10.657499928671387</v>
      </c>
      <c r="N31" s="132"/>
    </row>
    <row r="32" spans="1:14" ht="15.75" x14ac:dyDescent="0.2">
      <c r="A32" s="454" t="s">
        <v>326</v>
      </c>
      <c r="B32" s="266">
        <v>748456.29976112396</v>
      </c>
      <c r="C32" s="266">
        <v>836283.60022453696</v>
      </c>
      <c r="D32" s="150">
        <f t="shared" si="5"/>
        <v>11.7</v>
      </c>
      <c r="E32" s="11">
        <f>IFERROR(100/'Skjema total MA'!C32*C32,0)</f>
        <v>37.212126547249511</v>
      </c>
      <c r="F32" s="275">
        <v>2335711.20194908</v>
      </c>
      <c r="G32" s="275">
        <v>2649044.5110153002</v>
      </c>
      <c r="H32" s="150">
        <f t="shared" si="6"/>
        <v>13.4</v>
      </c>
      <c r="I32" s="394">
        <f>IFERROR(100/'Skjema total MA'!F32*G32,0)</f>
        <v>41.88163228978356</v>
      </c>
      <c r="J32" s="275">
        <f t="shared" si="11"/>
        <v>3084167.5017102039</v>
      </c>
      <c r="K32" s="275">
        <f t="shared" si="12"/>
        <v>3485328.111239837</v>
      </c>
      <c r="L32" s="150">
        <f t="shared" si="8"/>
        <v>13</v>
      </c>
      <c r="M32" s="23">
        <f>IFERROR(100/'Skjema total MA'!I32*K32,0)</f>
        <v>40.657476323771363</v>
      </c>
    </row>
    <row r="33" spans="1:14" ht="15.75" x14ac:dyDescent="0.2">
      <c r="A33" s="454" t="s">
        <v>327</v>
      </c>
      <c r="B33" s="266"/>
      <c r="C33" s="266"/>
      <c r="D33" s="150"/>
      <c r="E33" s="11"/>
      <c r="F33" s="275">
        <v>2137239.8388931099</v>
      </c>
      <c r="G33" s="275">
        <v>2705789.66507723</v>
      </c>
      <c r="H33" s="150">
        <f t="shared" si="6"/>
        <v>26.6</v>
      </c>
      <c r="I33" s="394">
        <f>IFERROR(100/'Skjema total MA'!F33*G33,0)</f>
        <v>26.588339392121263</v>
      </c>
      <c r="J33" s="275">
        <f t="shared" si="11"/>
        <v>2137239.8388931099</v>
      </c>
      <c r="K33" s="275">
        <f t="shared" si="12"/>
        <v>2705789.66507723</v>
      </c>
      <c r="L33" s="150">
        <f t="shared" si="8"/>
        <v>26.6</v>
      </c>
      <c r="M33" s="23">
        <f>IFERROR(100/'Skjema total MA'!I33*K33,0)</f>
        <v>26.588339392121263</v>
      </c>
    </row>
    <row r="34" spans="1:14" ht="15.75" x14ac:dyDescent="0.2">
      <c r="A34" s="13" t="s">
        <v>322</v>
      </c>
      <c r="B34" s="219"/>
      <c r="C34" s="294"/>
      <c r="D34" s="155"/>
      <c r="E34" s="11"/>
      <c r="F34" s="293">
        <v>6284.2581499999997</v>
      </c>
      <c r="G34" s="294">
        <v>16529.754349999999</v>
      </c>
      <c r="H34" s="155">
        <f t="shared" si="6"/>
        <v>163</v>
      </c>
      <c r="I34" s="11">
        <f>IFERROR(100/'Skjema total MA'!F34*G34,0)</f>
        <v>-164.76904021275601</v>
      </c>
      <c r="J34" s="219">
        <f t="shared" si="7"/>
        <v>6284.2581499999997</v>
      </c>
      <c r="K34" s="219">
        <f t="shared" si="7"/>
        <v>16529.754349999999</v>
      </c>
      <c r="L34" s="405">
        <f t="shared" si="8"/>
        <v>163</v>
      </c>
      <c r="M34" s="24">
        <f>IFERROR(100/'Skjema total MA'!I34*K34,0)</f>
        <v>-350.88215270524836</v>
      </c>
    </row>
    <row r="35" spans="1:14" ht="15.75" x14ac:dyDescent="0.2">
      <c r="A35" s="13" t="s">
        <v>323</v>
      </c>
      <c r="B35" s="219"/>
      <c r="C35" s="294"/>
      <c r="D35" s="155"/>
      <c r="E35" s="11"/>
      <c r="F35" s="293">
        <v>9464.8160800000005</v>
      </c>
      <c r="G35" s="294">
        <v>16248.165360000001</v>
      </c>
      <c r="H35" s="155">
        <f t="shared" si="6"/>
        <v>71.7</v>
      </c>
      <c r="I35" s="11">
        <f>IFERROR(100/'Skjema total MA'!F35*G35,0)</f>
        <v>27.599272954492942</v>
      </c>
      <c r="J35" s="219">
        <f t="shared" si="7"/>
        <v>9464.8160800000005</v>
      </c>
      <c r="K35" s="219">
        <f t="shared" si="7"/>
        <v>16248.165360000001</v>
      </c>
      <c r="L35" s="405">
        <f t="shared" si="8"/>
        <v>71.7</v>
      </c>
      <c r="M35" s="24">
        <f>IFERROR(100/'Skjema total MA'!I35*K35,0)</f>
        <v>1245.5734687456008</v>
      </c>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c r="D47" s="404"/>
      <c r="E47" s="11"/>
      <c r="F47" s="129"/>
      <c r="G47" s="33"/>
      <c r="H47" s="143"/>
      <c r="I47" s="143"/>
      <c r="J47" s="37"/>
      <c r="K47" s="37"/>
      <c r="L47" s="143"/>
      <c r="M47" s="143"/>
      <c r="N47" s="132"/>
    </row>
    <row r="48" spans="1:14" s="3" customFormat="1" ht="15.75" x14ac:dyDescent="0.2">
      <c r="A48" s="38" t="s">
        <v>332</v>
      </c>
      <c r="B48" s="266"/>
      <c r="C48" s="267"/>
      <c r="D48" s="242"/>
      <c r="E48" s="27"/>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502416.00000000023</v>
      </c>
      <c r="C66" s="337">
        <v>550944</v>
      </c>
      <c r="D66" s="334">
        <f t="shared" ref="D66:D111" si="13">IF(B66=0, "    ---- ", IF(ABS(ROUND(100/B66*C66-100,1))&lt;999,ROUND(100/B66*C66-100,1),IF(ROUND(100/B66*C66-100,1)&gt;999,999,-999)))</f>
        <v>9.6999999999999993</v>
      </c>
      <c r="E66" s="11">
        <f>IFERROR(100/'Skjema total MA'!C66*C66,0)</f>
        <v>18.679114917017397</v>
      </c>
      <c r="F66" s="336">
        <v>1928790.9779999999</v>
      </c>
      <c r="G66" s="336">
        <v>2086478.5460000001</v>
      </c>
      <c r="H66" s="334">
        <f t="shared" ref="H66:H111" si="14">IF(F66=0, "    ---- ", IF(ABS(ROUND(100/F66*G66-100,1))&lt;999,ROUND(100/F66*G66-100,1),IF(ROUND(100/F66*G66-100,1)&gt;999,999,-999)))</f>
        <v>8.1999999999999993</v>
      </c>
      <c r="I66" s="11">
        <f>IFERROR(100/'Skjema total MA'!F66*G66,0)</f>
        <v>16.461739315295063</v>
      </c>
      <c r="J66" s="294">
        <f t="shared" ref="J66:K86" si="15">SUM(B66,F66)</f>
        <v>2431206.9780000001</v>
      </c>
      <c r="K66" s="301">
        <f t="shared" si="15"/>
        <v>2637422.5460000001</v>
      </c>
      <c r="L66" s="405">
        <f t="shared" ref="L66:L111" si="16">IF(J66=0, "    ---- ", IF(ABS(ROUND(100/J66*K66-100,1))&lt;999,ROUND(100/J66*K66-100,1),IF(ROUND(100/J66*K66-100,1)&gt;999,999,-999)))</f>
        <v>8.5</v>
      </c>
      <c r="M66" s="11">
        <f>IFERROR(100/'Skjema total MA'!I66*K66,0)</f>
        <v>16.880332062875976</v>
      </c>
    </row>
    <row r="67" spans="1:14" x14ac:dyDescent="0.2">
      <c r="A67" s="396" t="s">
        <v>9</v>
      </c>
      <c r="B67" s="44">
        <v>405538.69519728801</v>
      </c>
      <c r="C67" s="129">
        <v>436036.06098626897</v>
      </c>
      <c r="D67" s="150">
        <f t="shared" si="13"/>
        <v>7.5</v>
      </c>
      <c r="E67" s="27">
        <f>IFERROR(100/'Skjema total MA'!C67*C67,0)</f>
        <v>22.022061998407178</v>
      </c>
      <c r="F67" s="217"/>
      <c r="G67" s="129"/>
      <c r="H67" s="150"/>
      <c r="I67" s="27"/>
      <c r="J67" s="272">
        <f t="shared" si="15"/>
        <v>405538.69519728801</v>
      </c>
      <c r="K67" s="44">
        <f t="shared" si="15"/>
        <v>436036.06098626897</v>
      </c>
      <c r="L67" s="242">
        <f t="shared" si="16"/>
        <v>7.5</v>
      </c>
      <c r="M67" s="27">
        <f>IFERROR(100/'Skjema total MA'!I67*K67,0)</f>
        <v>22.022061998407178</v>
      </c>
    </row>
    <row r="68" spans="1:14" x14ac:dyDescent="0.2">
      <c r="A68" s="21" t="s">
        <v>10</v>
      </c>
      <c r="B68" s="277">
        <v>680</v>
      </c>
      <c r="C68" s="278">
        <v>320</v>
      </c>
      <c r="D68" s="150">
        <f t="shared" si="13"/>
        <v>-52.9</v>
      </c>
      <c r="E68" s="27">
        <f>IFERROR(100/'Skjema total MA'!C68*C68,0)</f>
        <v>3.302692936762424</v>
      </c>
      <c r="F68" s="277">
        <v>1928790.9779999999</v>
      </c>
      <c r="G68" s="509">
        <v>2086478.5460000001</v>
      </c>
      <c r="H68" s="150">
        <f t="shared" si="14"/>
        <v>8.1999999999999993</v>
      </c>
      <c r="I68" s="27">
        <f>IFERROR(100/'Skjema total MA'!F68*G68,0)</f>
        <v>17.165466989383063</v>
      </c>
      <c r="J68" s="272">
        <f t="shared" si="15"/>
        <v>1929470.9779999999</v>
      </c>
      <c r="K68" s="44">
        <f t="shared" si="15"/>
        <v>2086798.5460000001</v>
      </c>
      <c r="L68" s="242">
        <f t="shared" si="16"/>
        <v>8.1999999999999993</v>
      </c>
      <c r="M68" s="27">
        <f>IFERROR(100/'Skjema total MA'!I68*K68,0)</f>
        <v>17.154425502058597</v>
      </c>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v>96197.304802712199</v>
      </c>
      <c r="C76" s="129">
        <v>114587.939013731</v>
      </c>
      <c r="D76" s="150">
        <f t="shared" ref="D76" si="17">IF(B76=0, "    ---- ", IF(ABS(ROUND(100/B76*C76-100,1))&lt;999,ROUND(100/B76*C76-100,1),IF(ROUND(100/B76*C76-100,1)&gt;999,999,-999)))</f>
        <v>19.100000000000001</v>
      </c>
      <c r="E76" s="27">
        <f>IFERROR(100/'Skjema total MA'!C77*C76,0)</f>
        <v>5.9937504981205514</v>
      </c>
      <c r="F76" s="217"/>
      <c r="G76" s="129"/>
      <c r="H76" s="150"/>
      <c r="I76" s="27"/>
      <c r="J76" s="272">
        <f t="shared" ref="J76" si="18">SUM(B76,F76)</f>
        <v>96197.304802712199</v>
      </c>
      <c r="K76" s="44">
        <f t="shared" ref="K76" si="19">SUM(C76,G76)</f>
        <v>114587.939013731</v>
      </c>
      <c r="L76" s="242">
        <f t="shared" ref="L76" si="20">IF(J76=0, "    ---- ", IF(ABS(ROUND(100/J76*K76-100,1))&lt;999,ROUND(100/J76*K76-100,1),IF(ROUND(100/J76*K76-100,1)&gt;999,999,-999)))</f>
        <v>19.100000000000001</v>
      </c>
      <c r="M76" s="27">
        <f>IFERROR(100/'Skjema total MA'!I77*K76,0)</f>
        <v>0.81480346911229695</v>
      </c>
      <c r="N76" s="132"/>
    </row>
    <row r="77" spans="1:14" ht="15.75" x14ac:dyDescent="0.2">
      <c r="A77" s="21" t="s">
        <v>338</v>
      </c>
      <c r="B77" s="217">
        <v>401098.65619728802</v>
      </c>
      <c r="C77" s="217">
        <v>431756.90898626897</v>
      </c>
      <c r="D77" s="150">
        <f t="shared" si="13"/>
        <v>7.6</v>
      </c>
      <c r="E77" s="27">
        <f>IFERROR(100/'Skjema total MA'!C77*C77,0)</f>
        <v>22.583905519003526</v>
      </c>
      <c r="F77" s="217">
        <v>1927770.936</v>
      </c>
      <c r="G77" s="129">
        <v>2085391.649</v>
      </c>
      <c r="H77" s="150">
        <f t="shared" si="14"/>
        <v>8.1999999999999993</v>
      </c>
      <c r="I77" s="27">
        <f>IFERROR(100/'Skjema total MA'!F77*G77,0)</f>
        <v>17.161639813018553</v>
      </c>
      <c r="J77" s="272">
        <f t="shared" si="15"/>
        <v>2328869.5921972878</v>
      </c>
      <c r="K77" s="44">
        <f t="shared" si="15"/>
        <v>2517148.5579862688</v>
      </c>
      <c r="L77" s="242">
        <f t="shared" si="16"/>
        <v>8.1</v>
      </c>
      <c r="M77" s="27">
        <f>IFERROR(100/'Skjema total MA'!I77*K77,0)</f>
        <v>17.898754397462895</v>
      </c>
    </row>
    <row r="78" spans="1:14" x14ac:dyDescent="0.2">
      <c r="A78" s="21" t="s">
        <v>9</v>
      </c>
      <c r="B78" s="217">
        <v>400418.65619728802</v>
      </c>
      <c r="C78" s="129">
        <v>431436.90898626897</v>
      </c>
      <c r="D78" s="150">
        <f t="shared" si="13"/>
        <v>7.7</v>
      </c>
      <c r="E78" s="27">
        <f>IFERROR(100/'Skjema total MA'!C78*C78,0)</f>
        <v>22.682121577553204</v>
      </c>
      <c r="F78" s="217"/>
      <c r="G78" s="129"/>
      <c r="H78" s="150"/>
      <c r="I78" s="27"/>
      <c r="J78" s="272">
        <f t="shared" si="15"/>
        <v>400418.65619728802</v>
      </c>
      <c r="K78" s="44">
        <f t="shared" si="15"/>
        <v>431436.90898626897</v>
      </c>
      <c r="L78" s="242">
        <f t="shared" si="16"/>
        <v>7.7</v>
      </c>
      <c r="M78" s="27">
        <f>IFERROR(100/'Skjema total MA'!I78*K78,0)</f>
        <v>22.682121577553204</v>
      </c>
    </row>
    <row r="79" spans="1:14" x14ac:dyDescent="0.2">
      <c r="A79" s="38" t="s">
        <v>366</v>
      </c>
      <c r="B79" s="277">
        <v>680</v>
      </c>
      <c r="C79" s="278">
        <v>320</v>
      </c>
      <c r="D79" s="150">
        <f t="shared" si="13"/>
        <v>-52.9</v>
      </c>
      <c r="E79" s="27">
        <f>IFERROR(100/'Skjema total MA'!C79*C79,0)</f>
        <v>3.302692936762424</v>
      </c>
      <c r="F79" s="277">
        <v>1927770.936</v>
      </c>
      <c r="G79" s="278">
        <v>2085391.649</v>
      </c>
      <c r="H79" s="150">
        <f t="shared" si="14"/>
        <v>8.1999999999999993</v>
      </c>
      <c r="I79" s="27">
        <f>IFERROR(100/'Skjema total MA'!F79*G79,0)</f>
        <v>17.161639813018553</v>
      </c>
      <c r="J79" s="272">
        <f t="shared" si="15"/>
        <v>1928450.936</v>
      </c>
      <c r="K79" s="44">
        <f t="shared" si="15"/>
        <v>2085711.649</v>
      </c>
      <c r="L79" s="242">
        <f t="shared" si="16"/>
        <v>8.1999999999999993</v>
      </c>
      <c r="M79" s="27">
        <f>IFERROR(100/'Skjema total MA'!I79*K79,0)</f>
        <v>17.150598085807051</v>
      </c>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v>5120.1409999999996</v>
      </c>
      <c r="C86" s="129">
        <v>4599.2560000000003</v>
      </c>
      <c r="D86" s="150">
        <f t="shared" si="13"/>
        <v>-10.199999999999999</v>
      </c>
      <c r="E86" s="27">
        <f>IFERROR(100/'Skjema total MA'!C86*C86,0)</f>
        <v>5.9043693046114623</v>
      </c>
      <c r="F86" s="217">
        <v>1020.042</v>
      </c>
      <c r="G86" s="129">
        <v>1086.8969999999999</v>
      </c>
      <c r="H86" s="150">
        <f t="shared" si="14"/>
        <v>6.6</v>
      </c>
      <c r="I86" s="27">
        <f>IFERROR(100/'Skjema total MA'!F86*G86,0)</f>
        <v>30.003105491475079</v>
      </c>
      <c r="J86" s="272">
        <f t="shared" si="15"/>
        <v>6140.183</v>
      </c>
      <c r="K86" s="44">
        <f t="shared" si="15"/>
        <v>5686.1530000000002</v>
      </c>
      <c r="L86" s="242">
        <f t="shared" si="16"/>
        <v>-7.4</v>
      </c>
      <c r="M86" s="27">
        <f>IFERROR(100/'Skjema total MA'!I86*K86,0)</f>
        <v>6.9752983436136278</v>
      </c>
    </row>
    <row r="87" spans="1:13" ht="15.75" x14ac:dyDescent="0.2">
      <c r="A87" s="13" t="s">
        <v>321</v>
      </c>
      <c r="B87" s="337">
        <v>50358707.160513476</v>
      </c>
      <c r="C87" s="337">
        <v>50049132.824844114</v>
      </c>
      <c r="D87" s="155">
        <f t="shared" si="13"/>
        <v>-0.6</v>
      </c>
      <c r="E87" s="11">
        <f>IFERROR(100/'Skjema total MA'!C87*C87,0)</f>
        <v>12.410002215260478</v>
      </c>
      <c r="F87" s="336">
        <v>73493157.490989998</v>
      </c>
      <c r="G87" s="336">
        <v>94741753.694879994</v>
      </c>
      <c r="H87" s="155">
        <f t="shared" si="14"/>
        <v>28.9</v>
      </c>
      <c r="I87" s="11">
        <f>IFERROR(100/'Skjema total MA'!F87*G87,0)</f>
        <v>16.112044296139274</v>
      </c>
      <c r="J87" s="294">
        <f t="shared" ref="J87:K111" si="21">SUM(B87,F87)</f>
        <v>123851864.65150347</v>
      </c>
      <c r="K87" s="219">
        <f t="shared" si="21"/>
        <v>144790886.5197241</v>
      </c>
      <c r="L87" s="405">
        <f t="shared" si="16"/>
        <v>16.899999999999999</v>
      </c>
      <c r="M87" s="11">
        <f>IFERROR(100/'Skjema total MA'!I87*K87,0)</f>
        <v>14.60594224204568</v>
      </c>
    </row>
    <row r="88" spans="1:13" x14ac:dyDescent="0.2">
      <c r="A88" s="21" t="s">
        <v>9</v>
      </c>
      <c r="B88" s="217">
        <v>48599711.468276702</v>
      </c>
      <c r="C88" s="129">
        <v>48189526.589127898</v>
      </c>
      <c r="D88" s="150">
        <f t="shared" si="13"/>
        <v>-0.8</v>
      </c>
      <c r="E88" s="27">
        <f>IFERROR(100/'Skjema total MA'!C88*C88,0)</f>
        <v>12.544670559596726</v>
      </c>
      <c r="F88" s="217"/>
      <c r="G88" s="129"/>
      <c r="H88" s="150"/>
      <c r="I88" s="27"/>
      <c r="J88" s="272">
        <f t="shared" si="21"/>
        <v>48599711.468276702</v>
      </c>
      <c r="K88" s="44">
        <f t="shared" si="21"/>
        <v>48189526.589127898</v>
      </c>
      <c r="L88" s="242">
        <f t="shared" si="16"/>
        <v>-0.8</v>
      </c>
      <c r="M88" s="27">
        <f>IFERROR(100/'Skjema total MA'!I88*K88,0)</f>
        <v>12.544670559596726</v>
      </c>
    </row>
    <row r="89" spans="1:13" x14ac:dyDescent="0.2">
      <c r="A89" s="21" t="s">
        <v>10</v>
      </c>
      <c r="B89" s="217">
        <v>1432679.51923677</v>
      </c>
      <c r="C89" s="129">
        <v>1539794.08971622</v>
      </c>
      <c r="D89" s="150">
        <f t="shared" si="13"/>
        <v>7.5</v>
      </c>
      <c r="E89" s="27">
        <f>IFERROR(100/'Skjema total MA'!C89*C89,0)</f>
        <v>65.764671586422153</v>
      </c>
      <c r="F89" s="217">
        <v>73493157.490989998</v>
      </c>
      <c r="G89" s="129">
        <v>94741753.694879994</v>
      </c>
      <c r="H89" s="150">
        <f t="shared" si="14"/>
        <v>28.9</v>
      </c>
      <c r="I89" s="27">
        <f>IFERROR(100/'Skjema total MA'!F89*G89,0)</f>
        <v>16.353919085231094</v>
      </c>
      <c r="J89" s="272">
        <f t="shared" si="21"/>
        <v>74925837.010226771</v>
      </c>
      <c r="K89" s="44">
        <f t="shared" si="21"/>
        <v>96281547.78459622</v>
      </c>
      <c r="L89" s="242">
        <f t="shared" si="16"/>
        <v>28.5</v>
      </c>
      <c r="M89" s="27">
        <f>IFERROR(100/'Skjema total MA'!I89*K89,0)</f>
        <v>16.552812402172457</v>
      </c>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v>326316.17300000001</v>
      </c>
      <c r="C97" s="129">
        <v>319812.14600000001</v>
      </c>
      <c r="D97" s="150">
        <f t="shared" ref="D97" si="22">IF(B97=0, "    ---- ", IF(ABS(ROUND(100/B97*C97-100,1))&lt;999,ROUND(100/B97*C97-100,1),IF(ROUND(100/B97*C97-100,1)&gt;999,999,-999)))</f>
        <v>-2</v>
      </c>
      <c r="E97" s="27">
        <f>IFERROR(100/'Skjema total MA'!C98*C97,0)</f>
        <v>8.3688756927249641E-2</v>
      </c>
      <c r="F97" s="217"/>
      <c r="G97" s="129"/>
      <c r="H97" s="150"/>
      <c r="I97" s="27"/>
      <c r="J97" s="272">
        <f t="shared" ref="J97" si="23">SUM(B97,F97)</f>
        <v>326316.17300000001</v>
      </c>
      <c r="K97" s="44">
        <f t="shared" ref="K97" si="24">SUM(C97,G97)</f>
        <v>319812.14600000001</v>
      </c>
      <c r="L97" s="242">
        <f t="shared" ref="L97" si="25">IF(J97=0, "    ---- ", IF(ABS(ROUND(100/J97*K97-100,1))&lt;999,ROUND(100/J97*K97-100,1),IF(ROUND(100/J97*K97-100,1)&gt;999,999,-999)))</f>
        <v>-2</v>
      </c>
      <c r="M97" s="27">
        <f>IFERROR(100/'Skjema total MA'!I98*K97,0)</f>
        <v>3.3276764607797577E-2</v>
      </c>
    </row>
    <row r="98" spans="1:13" ht="15.75" x14ac:dyDescent="0.2">
      <c r="A98" s="21" t="s">
        <v>338</v>
      </c>
      <c r="B98" s="217">
        <v>50021678.840513475</v>
      </c>
      <c r="C98" s="217">
        <v>49718863.305844121</v>
      </c>
      <c r="D98" s="150">
        <f t="shared" si="13"/>
        <v>-0.6</v>
      </c>
      <c r="E98" s="27">
        <f>IFERROR(100/'Skjema total MA'!C98*C98,0)</f>
        <v>13.010481052529945</v>
      </c>
      <c r="F98" s="277">
        <v>73478733.88899</v>
      </c>
      <c r="G98" s="277">
        <v>94725954.310880005</v>
      </c>
      <c r="H98" s="150">
        <f t="shared" si="14"/>
        <v>28.9</v>
      </c>
      <c r="I98" s="27">
        <f>IFERROR(100/'Skjema total MA'!F98*G98,0)</f>
        <v>16.362452015727428</v>
      </c>
      <c r="J98" s="272">
        <f t="shared" si="21"/>
        <v>123500412.72950348</v>
      </c>
      <c r="K98" s="44">
        <f t="shared" si="21"/>
        <v>144444817.61672413</v>
      </c>
      <c r="L98" s="242">
        <f t="shared" si="16"/>
        <v>17</v>
      </c>
      <c r="M98" s="27">
        <f>IFERROR(100/'Skjema total MA'!I98*K98,0)</f>
        <v>15.029623654906407</v>
      </c>
    </row>
    <row r="99" spans="1:13" x14ac:dyDescent="0.2">
      <c r="A99" s="21" t="s">
        <v>9</v>
      </c>
      <c r="B99" s="277">
        <v>48588999.321276702</v>
      </c>
      <c r="C99" s="278">
        <v>48179069.216127902</v>
      </c>
      <c r="D99" s="150">
        <f t="shared" si="13"/>
        <v>-0.8</v>
      </c>
      <c r="E99" s="27">
        <f>IFERROR(100/'Skjema total MA'!C99*C99,0)</f>
        <v>12.685267832212341</v>
      </c>
      <c r="F99" s="217"/>
      <c r="G99" s="129"/>
      <c r="H99" s="150"/>
      <c r="I99" s="27"/>
      <c r="J99" s="272">
        <f t="shared" si="21"/>
        <v>48588999.321276702</v>
      </c>
      <c r="K99" s="44">
        <f t="shared" si="21"/>
        <v>48179069.216127902</v>
      </c>
      <c r="L99" s="242">
        <f t="shared" si="16"/>
        <v>-0.8</v>
      </c>
      <c r="M99" s="27">
        <f>IFERROR(100/'Skjema total MA'!I99*K99,0)</f>
        <v>12.685267832212341</v>
      </c>
    </row>
    <row r="100" spans="1:13" x14ac:dyDescent="0.2">
      <c r="A100" s="38" t="s">
        <v>366</v>
      </c>
      <c r="B100" s="277">
        <v>1432679.51923677</v>
      </c>
      <c r="C100" s="278">
        <v>1539794.08971622</v>
      </c>
      <c r="D100" s="150">
        <f t="shared" si="13"/>
        <v>7.5</v>
      </c>
      <c r="E100" s="27">
        <f>IFERROR(100/'Skjema total MA'!C100*C100,0)</f>
        <v>65.764671586422153</v>
      </c>
      <c r="F100" s="217">
        <v>73478733.88899</v>
      </c>
      <c r="G100" s="217">
        <v>94725954.310880005</v>
      </c>
      <c r="H100" s="150">
        <f t="shared" si="14"/>
        <v>28.9</v>
      </c>
      <c r="I100" s="27">
        <f>IFERROR(100/'Skjema total MA'!F100*G100,0)</f>
        <v>16.362452015727428</v>
      </c>
      <c r="J100" s="272">
        <f t="shared" si="21"/>
        <v>74911413.408226773</v>
      </c>
      <c r="K100" s="44">
        <f t="shared" si="21"/>
        <v>96265748.400596231</v>
      </c>
      <c r="L100" s="242">
        <f t="shared" si="16"/>
        <v>28.5</v>
      </c>
      <c r="M100" s="27">
        <f>IFERROR(100/'Skjema total MA'!I100*K100,0)</f>
        <v>16.56144737648204</v>
      </c>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v>10712.147000000001</v>
      </c>
      <c r="C107" s="129">
        <v>10457.373</v>
      </c>
      <c r="D107" s="150">
        <f t="shared" si="13"/>
        <v>-2.4</v>
      </c>
      <c r="E107" s="27">
        <f>IFERROR(100/'Skjema total MA'!C107*C107,0)</f>
        <v>0.24094807746119271</v>
      </c>
      <c r="F107" s="217">
        <v>14423.602000000001</v>
      </c>
      <c r="G107" s="129">
        <v>15799.384</v>
      </c>
      <c r="H107" s="150">
        <f t="shared" si="14"/>
        <v>9.5</v>
      </c>
      <c r="I107" s="27">
        <f>IFERROR(100/'Skjema total MA'!F107*G107,0)</f>
        <v>3.9630022935745126</v>
      </c>
      <c r="J107" s="272">
        <f t="shared" si="21"/>
        <v>25135.749000000003</v>
      </c>
      <c r="K107" s="44">
        <f t="shared" si="21"/>
        <v>26256.756999999998</v>
      </c>
      <c r="L107" s="242">
        <f t="shared" si="16"/>
        <v>4.5</v>
      </c>
      <c r="M107" s="27">
        <f>IFERROR(100/'Skjema total MA'!I107*K107,0)</f>
        <v>0.55408426229709162</v>
      </c>
    </row>
    <row r="108" spans="1:13" ht="15.75" x14ac:dyDescent="0.2">
      <c r="A108" s="21" t="s">
        <v>340</v>
      </c>
      <c r="B108" s="217">
        <v>39202836.391544603</v>
      </c>
      <c r="C108" s="217">
        <v>39746763.097082101</v>
      </c>
      <c r="D108" s="150">
        <f t="shared" si="13"/>
        <v>1.4</v>
      </c>
      <c r="E108" s="27">
        <f>IFERROR(100/'Skjema total MA'!C108*C108,0)</f>
        <v>11.984651031066369</v>
      </c>
      <c r="F108" s="217"/>
      <c r="G108" s="217"/>
      <c r="H108" s="150"/>
      <c r="I108" s="27"/>
      <c r="J108" s="272">
        <f t="shared" si="21"/>
        <v>39202836.391544603</v>
      </c>
      <c r="K108" s="44">
        <f t="shared" si="21"/>
        <v>39746763.097082101</v>
      </c>
      <c r="L108" s="242">
        <f t="shared" si="16"/>
        <v>1.4</v>
      </c>
      <c r="M108" s="27">
        <f>IFERROR(100/'Skjema total MA'!I108*K108,0)</f>
        <v>11.236112483802014</v>
      </c>
    </row>
    <row r="109" spans="1:13" ht="15.75" x14ac:dyDescent="0.2">
      <c r="A109" s="38" t="s">
        <v>374</v>
      </c>
      <c r="B109" s="217">
        <v>1147474.58891725</v>
      </c>
      <c r="C109" s="217">
        <v>1305914.8640900501</v>
      </c>
      <c r="D109" s="150">
        <f t="shared" si="13"/>
        <v>13.8</v>
      </c>
      <c r="E109" s="27">
        <f>IFERROR(100/'Skjema total MA'!C109*C109,0)</f>
        <v>53.243541855456918</v>
      </c>
      <c r="F109" s="217">
        <v>29505128.56315</v>
      </c>
      <c r="G109" s="217">
        <v>40485648.36011</v>
      </c>
      <c r="H109" s="150">
        <f t="shared" si="14"/>
        <v>37.200000000000003</v>
      </c>
      <c r="I109" s="27">
        <f>IFERROR(100/'Skjema total MA'!F109*G109,0)</f>
        <v>18.626647596166055</v>
      </c>
      <c r="J109" s="272">
        <f t="shared" si="21"/>
        <v>30652603.152067252</v>
      </c>
      <c r="K109" s="44">
        <f t="shared" si="21"/>
        <v>41791563.224200048</v>
      </c>
      <c r="L109" s="242">
        <f t="shared" si="16"/>
        <v>36.299999999999997</v>
      </c>
      <c r="M109" s="27">
        <f>IFERROR(100/'Skjema total MA'!I109*K109,0)</f>
        <v>19.012922315965618</v>
      </c>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v>105.152</v>
      </c>
      <c r="C111" s="143">
        <v>0</v>
      </c>
      <c r="D111" s="155">
        <f t="shared" si="13"/>
        <v>-100</v>
      </c>
      <c r="E111" s="11">
        <f>IFERROR(100/'Skjema total MA'!C111*C111,0)</f>
        <v>0</v>
      </c>
      <c r="F111" s="293">
        <v>2039751.0079999999</v>
      </c>
      <c r="G111" s="143">
        <v>2816179.36</v>
      </c>
      <c r="H111" s="155">
        <f t="shared" si="14"/>
        <v>38.1</v>
      </c>
      <c r="I111" s="11">
        <f>IFERROR(100/'Skjema total MA'!F111*G111,0)</f>
        <v>20.266571699260723</v>
      </c>
      <c r="J111" s="294">
        <f t="shared" si="21"/>
        <v>2039856.16</v>
      </c>
      <c r="K111" s="219">
        <f t="shared" si="21"/>
        <v>2816179.36</v>
      </c>
      <c r="L111" s="405">
        <f t="shared" si="16"/>
        <v>38.1</v>
      </c>
      <c r="M111" s="11">
        <f>IFERROR(100/'Skjema total MA'!I111*K111,0)</f>
        <v>19.948354238193211</v>
      </c>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v>105.152</v>
      </c>
      <c r="C113" s="129">
        <v>0</v>
      </c>
      <c r="D113" s="150">
        <f t="shared" ref="D113:D120" si="26">IF(B113=0, "    ---- ", IF(ABS(ROUND(100/B113*C113-100,1))&lt;999,ROUND(100/B113*C113-100,1),IF(ROUND(100/B113*C113-100,1)&gt;999,999,-999)))</f>
        <v>-100</v>
      </c>
      <c r="E113" s="27">
        <f>IFERROR(100/'Skjema total MA'!C113*C113,0)</f>
        <v>0</v>
      </c>
      <c r="F113" s="217">
        <v>2039751.0079999999</v>
      </c>
      <c r="G113" s="129">
        <v>2816179.36</v>
      </c>
      <c r="H113" s="150">
        <f t="shared" ref="H113:H125" si="27">IF(F113=0, "    ---- ", IF(ABS(ROUND(100/F113*G113-100,1))&lt;999,ROUND(100/F113*G113-100,1),IF(ROUND(100/F113*G113-100,1)&gt;999,999,-999)))</f>
        <v>38.1</v>
      </c>
      <c r="I113" s="27">
        <f>IFERROR(100/'Skjema total MA'!F113*G113,0)</f>
        <v>20.268006372715565</v>
      </c>
      <c r="J113" s="272">
        <f t="shared" ref="J113:K125" si="28">SUM(B113,F113)</f>
        <v>2039856.16</v>
      </c>
      <c r="K113" s="44">
        <f t="shared" si="28"/>
        <v>2816179.36</v>
      </c>
      <c r="L113" s="242">
        <f t="shared" ref="L113:L125" si="29">IF(J113=0, "    ---- ", IF(ABS(ROUND(100/J113*K113-100,1))&lt;999,ROUND(100/J113*K113-100,1),IF(ROUND(100/J113*K113-100,1)&gt;999,999,-999)))</f>
        <v>38.1</v>
      </c>
      <c r="M113" s="27">
        <f>IFERROR(100/'Skjema total MA'!I113*K113,0)</f>
        <v>20.268006372715565</v>
      </c>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v>105.152</v>
      </c>
      <c r="C117" s="217">
        <v>0</v>
      </c>
      <c r="D117" s="150">
        <f t="shared" si="26"/>
        <v>-100</v>
      </c>
      <c r="E117" s="27">
        <f>IFERROR(100/'Skjema total MA'!C117*C117,0)</f>
        <v>0</v>
      </c>
      <c r="F117" s="217">
        <v>1324060.2420000001</v>
      </c>
      <c r="G117" s="217">
        <v>1691590.959</v>
      </c>
      <c r="H117" s="150">
        <f t="shared" si="27"/>
        <v>27.8</v>
      </c>
      <c r="I117" s="27">
        <f>IFERROR(100/'Skjema total MA'!F117*G117,0)</f>
        <v>25.141863082405632</v>
      </c>
      <c r="J117" s="272">
        <f t="shared" si="28"/>
        <v>1324165.3940000001</v>
      </c>
      <c r="K117" s="44">
        <f t="shared" si="28"/>
        <v>1691590.959</v>
      </c>
      <c r="L117" s="242">
        <f t="shared" si="29"/>
        <v>27.7</v>
      </c>
      <c r="M117" s="27">
        <f>IFERROR(100/'Skjema total MA'!I117*K117,0)</f>
        <v>25.141863082405632</v>
      </c>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v>2016.46400000015</v>
      </c>
      <c r="C119" s="143">
        <v>1336.18390000006</v>
      </c>
      <c r="D119" s="155">
        <f t="shared" si="26"/>
        <v>-33.700000000000003</v>
      </c>
      <c r="E119" s="11">
        <f>IFERROR(100/'Skjema total MA'!C119*C119,0)</f>
        <v>1.2746797684252484</v>
      </c>
      <c r="F119" s="293">
        <v>2674675.625</v>
      </c>
      <c r="G119" s="143">
        <v>3630263.3569999998</v>
      </c>
      <c r="H119" s="155">
        <f t="shared" si="27"/>
        <v>35.700000000000003</v>
      </c>
      <c r="I119" s="11">
        <f>IFERROR(100/'Skjema total MA'!F119*G119,0)</f>
        <v>23.683092116532883</v>
      </c>
      <c r="J119" s="294">
        <f t="shared" si="28"/>
        <v>2676692.0890000002</v>
      </c>
      <c r="K119" s="219">
        <f t="shared" si="28"/>
        <v>3631599.5408999999</v>
      </c>
      <c r="L119" s="405">
        <f t="shared" si="29"/>
        <v>35.700000000000003</v>
      </c>
      <c r="M119" s="11">
        <f>IFERROR(100/'Skjema total MA'!I119*K119,0)</f>
        <v>23.53089141419451</v>
      </c>
    </row>
    <row r="120" spans="1:14" x14ac:dyDescent="0.2">
      <c r="A120" s="21" t="s">
        <v>9</v>
      </c>
      <c r="B120" s="217">
        <v>2016.46400000015</v>
      </c>
      <c r="C120" s="129">
        <v>1336.18390000006</v>
      </c>
      <c r="D120" s="150">
        <f t="shared" si="26"/>
        <v>-33.700000000000003</v>
      </c>
      <c r="E120" s="27">
        <f>IFERROR(100/'Skjema total MA'!C120*C120,0)</f>
        <v>2.3099018020769599</v>
      </c>
      <c r="F120" s="217"/>
      <c r="G120" s="129"/>
      <c r="H120" s="150"/>
      <c r="I120" s="27"/>
      <c r="J120" s="272">
        <f t="shared" si="28"/>
        <v>2016.46400000015</v>
      </c>
      <c r="K120" s="44">
        <f t="shared" si="28"/>
        <v>1336.18390000006</v>
      </c>
      <c r="L120" s="242">
        <f t="shared" si="29"/>
        <v>-33.700000000000003</v>
      </c>
      <c r="M120" s="27">
        <f>IFERROR(100/'Skjema total MA'!I120*K120,0)</f>
        <v>2.3099018020769599</v>
      </c>
    </row>
    <row r="121" spans="1:14" x14ac:dyDescent="0.2">
      <c r="A121" s="21" t="s">
        <v>10</v>
      </c>
      <c r="B121" s="217"/>
      <c r="C121" s="129"/>
      <c r="D121" s="150"/>
      <c r="E121" s="27"/>
      <c r="F121" s="217">
        <v>2674675.625</v>
      </c>
      <c r="G121" s="129">
        <v>3630263.3569999998</v>
      </c>
      <c r="H121" s="150">
        <f t="shared" si="27"/>
        <v>35.700000000000003</v>
      </c>
      <c r="I121" s="27">
        <f>IFERROR(100/'Skjema total MA'!F121*G121,0)</f>
        <v>23.683092116532883</v>
      </c>
      <c r="J121" s="272">
        <f t="shared" si="28"/>
        <v>2674675.625</v>
      </c>
      <c r="K121" s="44">
        <f t="shared" si="28"/>
        <v>3630263.3569999998</v>
      </c>
      <c r="L121" s="242">
        <f t="shared" si="29"/>
        <v>35.700000000000003</v>
      </c>
      <c r="M121" s="27">
        <f>IFERROR(100/'Skjema total MA'!I121*K121,0)</f>
        <v>23.673782363148788</v>
      </c>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v>1509280.9169999999</v>
      </c>
      <c r="G125" s="217">
        <v>1664504.2039999999</v>
      </c>
      <c r="H125" s="150">
        <f t="shared" si="27"/>
        <v>10.3</v>
      </c>
      <c r="I125" s="27">
        <f>IFERROR(100/'Skjema total MA'!F125*G125,0)</f>
        <v>24.216959619348902</v>
      </c>
      <c r="J125" s="272">
        <f t="shared" si="28"/>
        <v>1509280.9169999999</v>
      </c>
      <c r="K125" s="44">
        <f t="shared" si="28"/>
        <v>1664504.2039999999</v>
      </c>
      <c r="L125" s="242">
        <f t="shared" si="29"/>
        <v>10.3</v>
      </c>
      <c r="M125" s="27">
        <f>IFERROR(100/'Skjema total MA'!I125*K125,0)</f>
        <v>24.216959619348902</v>
      </c>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740" priority="132">
      <formula>kvartal &lt; 4</formula>
    </cfRule>
  </conditionalFormatting>
  <conditionalFormatting sqref="B69">
    <cfRule type="expression" dxfId="739" priority="100">
      <formula>kvartal &lt; 4</formula>
    </cfRule>
  </conditionalFormatting>
  <conditionalFormatting sqref="C69">
    <cfRule type="expression" dxfId="738" priority="99">
      <formula>kvartal &lt; 4</formula>
    </cfRule>
  </conditionalFormatting>
  <conditionalFormatting sqref="B72">
    <cfRule type="expression" dxfId="737" priority="98">
      <formula>kvartal &lt; 4</formula>
    </cfRule>
  </conditionalFormatting>
  <conditionalFormatting sqref="C72">
    <cfRule type="expression" dxfId="736" priority="97">
      <formula>kvartal &lt; 4</formula>
    </cfRule>
  </conditionalFormatting>
  <conditionalFormatting sqref="B80">
    <cfRule type="expression" dxfId="735" priority="96">
      <formula>kvartal &lt; 4</formula>
    </cfRule>
  </conditionalFormatting>
  <conditionalFormatting sqref="C80">
    <cfRule type="expression" dxfId="734" priority="95">
      <formula>kvartal &lt; 4</formula>
    </cfRule>
  </conditionalFormatting>
  <conditionalFormatting sqref="B83">
    <cfRule type="expression" dxfId="733" priority="94">
      <formula>kvartal &lt; 4</formula>
    </cfRule>
  </conditionalFormatting>
  <conditionalFormatting sqref="C83">
    <cfRule type="expression" dxfId="732" priority="93">
      <formula>kvartal &lt; 4</formula>
    </cfRule>
  </conditionalFormatting>
  <conditionalFormatting sqref="B90">
    <cfRule type="expression" dxfId="731" priority="84">
      <formula>kvartal &lt; 4</formula>
    </cfRule>
  </conditionalFormatting>
  <conditionalFormatting sqref="C90">
    <cfRule type="expression" dxfId="730" priority="83">
      <formula>kvartal &lt; 4</formula>
    </cfRule>
  </conditionalFormatting>
  <conditionalFormatting sqref="B93">
    <cfRule type="expression" dxfId="729" priority="82">
      <formula>kvartal &lt; 4</formula>
    </cfRule>
  </conditionalFormatting>
  <conditionalFormatting sqref="C93">
    <cfRule type="expression" dxfId="728" priority="81">
      <formula>kvartal &lt; 4</formula>
    </cfRule>
  </conditionalFormatting>
  <conditionalFormatting sqref="B101">
    <cfRule type="expression" dxfId="727" priority="80">
      <formula>kvartal &lt; 4</formula>
    </cfRule>
  </conditionalFormatting>
  <conditionalFormatting sqref="C101">
    <cfRule type="expression" dxfId="726" priority="79">
      <formula>kvartal &lt; 4</formula>
    </cfRule>
  </conditionalFormatting>
  <conditionalFormatting sqref="B104">
    <cfRule type="expression" dxfId="725" priority="78">
      <formula>kvartal &lt; 4</formula>
    </cfRule>
  </conditionalFormatting>
  <conditionalFormatting sqref="C104">
    <cfRule type="expression" dxfId="724" priority="77">
      <formula>kvartal &lt; 4</formula>
    </cfRule>
  </conditionalFormatting>
  <conditionalFormatting sqref="B115">
    <cfRule type="expression" dxfId="723" priority="76">
      <formula>kvartal &lt; 4</formula>
    </cfRule>
  </conditionalFormatting>
  <conditionalFormatting sqref="C115">
    <cfRule type="expression" dxfId="722" priority="75">
      <formula>kvartal &lt; 4</formula>
    </cfRule>
  </conditionalFormatting>
  <conditionalFormatting sqref="B123">
    <cfRule type="expression" dxfId="721" priority="74">
      <formula>kvartal &lt; 4</formula>
    </cfRule>
  </conditionalFormatting>
  <conditionalFormatting sqref="C123">
    <cfRule type="expression" dxfId="720" priority="73">
      <formula>kvartal &lt; 4</formula>
    </cfRule>
  </conditionalFormatting>
  <conditionalFormatting sqref="F70">
    <cfRule type="expression" dxfId="719" priority="72">
      <formula>kvartal &lt; 4</formula>
    </cfRule>
  </conditionalFormatting>
  <conditionalFormatting sqref="G70">
    <cfRule type="expression" dxfId="718" priority="71">
      <formula>kvartal &lt; 4</formula>
    </cfRule>
  </conditionalFormatting>
  <conditionalFormatting sqref="F71:G71">
    <cfRule type="expression" dxfId="717" priority="70">
      <formula>kvartal &lt; 4</formula>
    </cfRule>
  </conditionalFormatting>
  <conditionalFormatting sqref="F73:G74">
    <cfRule type="expression" dxfId="716" priority="69">
      <formula>kvartal &lt; 4</formula>
    </cfRule>
  </conditionalFormatting>
  <conditionalFormatting sqref="F81:G82">
    <cfRule type="expression" dxfId="715" priority="68">
      <formula>kvartal &lt; 4</formula>
    </cfRule>
  </conditionalFormatting>
  <conditionalFormatting sqref="F84:G85">
    <cfRule type="expression" dxfId="714" priority="67">
      <formula>kvartal &lt; 4</formula>
    </cfRule>
  </conditionalFormatting>
  <conditionalFormatting sqref="F91:G92">
    <cfRule type="expression" dxfId="713" priority="62">
      <formula>kvartal &lt; 4</formula>
    </cfRule>
  </conditionalFormatting>
  <conditionalFormatting sqref="F94:G95">
    <cfRule type="expression" dxfId="712" priority="61">
      <formula>kvartal &lt; 4</formula>
    </cfRule>
  </conditionalFormatting>
  <conditionalFormatting sqref="F102:G103">
    <cfRule type="expression" dxfId="711" priority="60">
      <formula>kvartal &lt; 4</formula>
    </cfRule>
  </conditionalFormatting>
  <conditionalFormatting sqref="F105:G106">
    <cfRule type="expression" dxfId="710" priority="59">
      <formula>kvartal &lt; 4</formula>
    </cfRule>
  </conditionalFormatting>
  <conditionalFormatting sqref="F115">
    <cfRule type="expression" dxfId="709" priority="58">
      <formula>kvartal &lt; 4</formula>
    </cfRule>
  </conditionalFormatting>
  <conditionalFormatting sqref="G115">
    <cfRule type="expression" dxfId="708" priority="57">
      <formula>kvartal &lt; 4</formula>
    </cfRule>
  </conditionalFormatting>
  <conditionalFormatting sqref="F123:G123">
    <cfRule type="expression" dxfId="707" priority="56">
      <formula>kvartal &lt; 4</formula>
    </cfRule>
  </conditionalFormatting>
  <conditionalFormatting sqref="F69:G69">
    <cfRule type="expression" dxfId="706" priority="55">
      <formula>kvartal &lt; 4</formula>
    </cfRule>
  </conditionalFormatting>
  <conditionalFormatting sqref="F72:G72">
    <cfRule type="expression" dxfId="705" priority="54">
      <formula>kvartal &lt; 4</formula>
    </cfRule>
  </conditionalFormatting>
  <conditionalFormatting sqref="F80:G80">
    <cfRule type="expression" dxfId="704" priority="53">
      <formula>kvartal &lt; 4</formula>
    </cfRule>
  </conditionalFormatting>
  <conditionalFormatting sqref="F83:G83">
    <cfRule type="expression" dxfId="703" priority="52">
      <formula>kvartal &lt; 4</formula>
    </cfRule>
  </conditionalFormatting>
  <conditionalFormatting sqref="F90:G90">
    <cfRule type="expression" dxfId="702" priority="46">
      <formula>kvartal &lt; 4</formula>
    </cfRule>
  </conditionalFormatting>
  <conditionalFormatting sqref="F93">
    <cfRule type="expression" dxfId="701" priority="45">
      <formula>kvartal &lt; 4</formula>
    </cfRule>
  </conditionalFormatting>
  <conditionalFormatting sqref="G93">
    <cfRule type="expression" dxfId="700" priority="44">
      <formula>kvartal &lt; 4</formula>
    </cfRule>
  </conditionalFormatting>
  <conditionalFormatting sqref="F101">
    <cfRule type="expression" dxfId="699" priority="43">
      <formula>kvartal &lt; 4</formula>
    </cfRule>
  </conditionalFormatting>
  <conditionalFormatting sqref="G101">
    <cfRule type="expression" dxfId="698" priority="42">
      <formula>kvartal &lt; 4</formula>
    </cfRule>
  </conditionalFormatting>
  <conditionalFormatting sqref="G104">
    <cfRule type="expression" dxfId="697" priority="41">
      <formula>kvartal &lt; 4</formula>
    </cfRule>
  </conditionalFormatting>
  <conditionalFormatting sqref="F104">
    <cfRule type="expression" dxfId="696" priority="40">
      <formula>kvartal &lt; 4</formula>
    </cfRule>
  </conditionalFormatting>
  <conditionalFormatting sqref="J69:K73">
    <cfRule type="expression" dxfId="695" priority="39">
      <formula>kvartal &lt; 4</formula>
    </cfRule>
  </conditionalFormatting>
  <conditionalFormatting sqref="J74:K74">
    <cfRule type="expression" dxfId="694" priority="38">
      <formula>kvartal &lt; 4</formula>
    </cfRule>
  </conditionalFormatting>
  <conditionalFormatting sqref="J80:K85">
    <cfRule type="expression" dxfId="693" priority="37">
      <formula>kvartal &lt; 4</formula>
    </cfRule>
  </conditionalFormatting>
  <conditionalFormatting sqref="J90:K95">
    <cfRule type="expression" dxfId="692" priority="34">
      <formula>kvartal &lt; 4</formula>
    </cfRule>
  </conditionalFormatting>
  <conditionalFormatting sqref="J101:K106">
    <cfRule type="expression" dxfId="691" priority="33">
      <formula>kvartal &lt; 4</formula>
    </cfRule>
  </conditionalFormatting>
  <conditionalFormatting sqref="J115:K115">
    <cfRule type="expression" dxfId="690" priority="32">
      <formula>kvartal &lt; 4</formula>
    </cfRule>
  </conditionalFormatting>
  <conditionalFormatting sqref="J123:K123">
    <cfRule type="expression" dxfId="689" priority="31">
      <formula>kvartal &lt; 4</formula>
    </cfRule>
  </conditionalFormatting>
  <conditionalFormatting sqref="A50:A52">
    <cfRule type="expression" dxfId="688" priority="12">
      <formula>kvartal &lt; 4</formula>
    </cfRule>
  </conditionalFormatting>
  <conditionalFormatting sqref="A69:A74">
    <cfRule type="expression" dxfId="687" priority="10">
      <formula>kvartal &lt; 4</formula>
    </cfRule>
  </conditionalFormatting>
  <conditionalFormatting sqref="A80:A85">
    <cfRule type="expression" dxfId="686" priority="9">
      <formula>kvartal &lt; 4</formula>
    </cfRule>
  </conditionalFormatting>
  <conditionalFormatting sqref="A90:A95">
    <cfRule type="expression" dxfId="685" priority="6">
      <formula>kvartal &lt; 4</formula>
    </cfRule>
  </conditionalFormatting>
  <conditionalFormatting sqref="A101:A106">
    <cfRule type="expression" dxfId="684" priority="5">
      <formula>kvartal &lt; 4</formula>
    </cfRule>
  </conditionalFormatting>
  <conditionalFormatting sqref="A115">
    <cfRule type="expression" dxfId="683" priority="4">
      <formula>kvartal &lt; 4</formula>
    </cfRule>
  </conditionalFormatting>
  <conditionalFormatting sqref="A123">
    <cfRule type="expression" dxfId="682" priority="3">
      <formula>kvartal &lt; 4</formula>
    </cfRule>
  </conditionalFormatting>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B776-7493-49DD-AC0B-7DA3EF0FADE0}">
  <sheetPr codeName="Ark27"/>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403</v>
      </c>
      <c r="D1" s="26"/>
      <c r="E1" s="26"/>
      <c r="F1" s="26"/>
      <c r="G1" s="26"/>
      <c r="H1" s="26"/>
      <c r="I1" s="26"/>
      <c r="J1" s="26"/>
      <c r="K1" s="26"/>
      <c r="L1" s="26"/>
      <c r="M1" s="26"/>
    </row>
    <row r="2" spans="1:14" ht="15.75" x14ac:dyDescent="0.25">
      <c r="A2" s="149" t="s">
        <v>28</v>
      </c>
      <c r="B2" s="707"/>
      <c r="C2" s="707"/>
      <c r="D2" s="707"/>
      <c r="E2" s="660"/>
      <c r="F2" s="711"/>
      <c r="G2" s="711"/>
      <c r="H2" s="711"/>
      <c r="I2" s="660"/>
      <c r="J2" s="707"/>
      <c r="K2" s="707"/>
      <c r="L2" s="707"/>
      <c r="M2" s="660"/>
    </row>
    <row r="3" spans="1:14" ht="15.75" x14ac:dyDescent="0.25">
      <c r="A3" s="147"/>
      <c r="B3" s="660"/>
      <c r="C3" s="660"/>
      <c r="D3" s="660"/>
      <c r="E3" s="660"/>
      <c r="F3" s="660"/>
      <c r="G3" s="660"/>
      <c r="H3" s="660"/>
      <c r="I3" s="660"/>
      <c r="J3" s="660"/>
      <c r="K3" s="660"/>
      <c r="L3" s="660"/>
      <c r="M3" s="660"/>
    </row>
    <row r="4" spans="1:14" x14ac:dyDescent="0.2">
      <c r="A4" s="128"/>
      <c r="B4" s="705" t="s">
        <v>0</v>
      </c>
      <c r="C4" s="706"/>
      <c r="D4" s="706"/>
      <c r="E4" s="659"/>
      <c r="F4" s="705" t="s">
        <v>1</v>
      </c>
      <c r="G4" s="706"/>
      <c r="H4" s="706"/>
      <c r="I4" s="662"/>
      <c r="J4" s="705" t="s">
        <v>2</v>
      </c>
      <c r="K4" s="706"/>
      <c r="L4" s="706"/>
      <c r="M4" s="662"/>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4"/>
      <c r="M7" s="11"/>
    </row>
    <row r="8" spans="1:14" ht="15.75" x14ac:dyDescent="0.2">
      <c r="A8" s="21" t="s">
        <v>25</v>
      </c>
      <c r="B8" s="266"/>
      <c r="C8" s="267"/>
      <c r="D8" s="150"/>
      <c r="E8" s="27"/>
      <c r="F8" s="270"/>
      <c r="G8" s="271"/>
      <c r="H8" s="150"/>
      <c r="I8" s="160"/>
      <c r="J8" s="217"/>
      <c r="K8" s="272"/>
      <c r="L8" s="150"/>
      <c r="M8" s="27"/>
    </row>
    <row r="9" spans="1:14" ht="15.75" x14ac:dyDescent="0.2">
      <c r="A9" s="21" t="s">
        <v>24</v>
      </c>
      <c r="B9" s="266"/>
      <c r="C9" s="267"/>
      <c r="D9" s="150"/>
      <c r="E9" s="27"/>
      <c r="F9" s="270"/>
      <c r="G9" s="271"/>
      <c r="H9" s="150"/>
      <c r="I9" s="160"/>
      <c r="J9" s="217"/>
      <c r="K9" s="272"/>
      <c r="L9" s="150"/>
      <c r="M9" s="27"/>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660"/>
      <c r="F18" s="704"/>
      <c r="G18" s="704"/>
      <c r="H18" s="704"/>
      <c r="I18" s="660"/>
      <c r="J18" s="704"/>
      <c r="K18" s="704"/>
      <c r="L18" s="704"/>
      <c r="M18" s="660"/>
    </row>
    <row r="19" spans="1:14" x14ac:dyDescent="0.2">
      <c r="A19" s="128"/>
      <c r="B19" s="705" t="s">
        <v>0</v>
      </c>
      <c r="C19" s="706"/>
      <c r="D19" s="706"/>
      <c r="E19" s="659"/>
      <c r="F19" s="705" t="s">
        <v>1</v>
      </c>
      <c r="G19" s="706"/>
      <c r="H19" s="706"/>
      <c r="I19" s="662"/>
      <c r="J19" s="705" t="s">
        <v>2</v>
      </c>
      <c r="K19" s="706"/>
      <c r="L19" s="706"/>
      <c r="M19" s="662"/>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661"/>
    </row>
    <row r="41" spans="1:14" x14ac:dyDescent="0.2">
      <c r="A41" s="139"/>
    </row>
    <row r="42" spans="1:14" ht="15.75" x14ac:dyDescent="0.25">
      <c r="A42" s="131" t="s">
        <v>243</v>
      </c>
      <c r="B42" s="707"/>
      <c r="C42" s="707"/>
      <c r="D42" s="707"/>
      <c r="E42" s="660"/>
      <c r="F42" s="709"/>
      <c r="G42" s="709"/>
      <c r="H42" s="709"/>
      <c r="I42" s="661"/>
      <c r="J42" s="709"/>
      <c r="K42" s="709"/>
      <c r="L42" s="709"/>
      <c r="M42" s="661"/>
    </row>
    <row r="43" spans="1:14" ht="15.75" x14ac:dyDescent="0.25">
      <c r="A43" s="147"/>
      <c r="B43" s="657"/>
      <c r="C43" s="657"/>
      <c r="D43" s="657"/>
      <c r="E43" s="657"/>
      <c r="F43" s="661"/>
      <c r="G43" s="661"/>
      <c r="H43" s="661"/>
      <c r="I43" s="661"/>
      <c r="J43" s="661"/>
      <c r="K43" s="661"/>
      <c r="L43" s="661"/>
      <c r="M43" s="661"/>
    </row>
    <row r="44" spans="1:14" ht="15.75" x14ac:dyDescent="0.25">
      <c r="A44" s="232"/>
      <c r="B44" s="705" t="s">
        <v>0</v>
      </c>
      <c r="C44" s="706"/>
      <c r="D44" s="706"/>
      <c r="E44" s="227"/>
      <c r="F44" s="661"/>
      <c r="G44" s="661"/>
      <c r="H44" s="661"/>
      <c r="I44" s="661"/>
      <c r="J44" s="661"/>
      <c r="K44" s="661"/>
      <c r="L44" s="661"/>
      <c r="M44" s="661"/>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f>SUM(C48:C49)</f>
        <v>8485</v>
      </c>
      <c r="D47" s="404" t="str">
        <f t="shared" ref="D47:D48" si="0">IF(B47=0, "    ---- ", IF(ABS(ROUND(100/B47*C47-100,1))&lt;999,ROUND(100/B47*C47-100,1),IF(ROUND(100/B47*C47-100,1)&gt;999,999,-999)))</f>
        <v xml:space="preserve">    ---- </v>
      </c>
      <c r="E47" s="11">
        <f>IFERROR(100/'Skjema total MA'!C47*C47,0)</f>
        <v>0.20602520333265859</v>
      </c>
      <c r="F47" s="129"/>
      <c r="G47" s="33"/>
      <c r="H47" s="143"/>
      <c r="I47" s="143"/>
      <c r="J47" s="37"/>
      <c r="K47" s="37"/>
      <c r="L47" s="143"/>
      <c r="M47" s="143"/>
      <c r="N47" s="132"/>
    </row>
    <row r="48" spans="1:14" s="3" customFormat="1" ht="15.75" x14ac:dyDescent="0.2">
      <c r="A48" s="38" t="s">
        <v>332</v>
      </c>
      <c r="B48" s="266"/>
      <c r="C48" s="267">
        <v>8485</v>
      </c>
      <c r="D48" s="242" t="str">
        <f t="shared" si="0"/>
        <v xml:space="preserve">    ---- </v>
      </c>
      <c r="E48" s="27">
        <f>IFERROR(100/'Skjema total MA'!C48*C48,0)</f>
        <v>0.3855645373711486</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660"/>
      <c r="F62" s="704"/>
      <c r="G62" s="704"/>
      <c r="H62" s="704"/>
      <c r="I62" s="660"/>
      <c r="J62" s="704"/>
      <c r="K62" s="704"/>
      <c r="L62" s="704"/>
      <c r="M62" s="660"/>
    </row>
    <row r="63" spans="1:14" x14ac:dyDescent="0.2">
      <c r="A63" s="128"/>
      <c r="B63" s="705" t="s">
        <v>0</v>
      </c>
      <c r="C63" s="706"/>
      <c r="D63" s="710"/>
      <c r="E63" s="658"/>
      <c r="F63" s="706" t="s">
        <v>1</v>
      </c>
      <c r="G63" s="706"/>
      <c r="H63" s="706"/>
      <c r="I63" s="662"/>
      <c r="J63" s="705" t="s">
        <v>2</v>
      </c>
      <c r="K63" s="706"/>
      <c r="L63" s="706"/>
      <c r="M63" s="662"/>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660"/>
      <c r="F130" s="704"/>
      <c r="G130" s="704"/>
      <c r="H130" s="704"/>
      <c r="I130" s="660"/>
      <c r="J130" s="704"/>
      <c r="K130" s="704"/>
      <c r="L130" s="704"/>
      <c r="M130" s="660"/>
    </row>
    <row r="131" spans="1:14" s="3" customFormat="1" x14ac:dyDescent="0.2">
      <c r="A131" s="128"/>
      <c r="B131" s="705" t="s">
        <v>0</v>
      </c>
      <c r="C131" s="706"/>
      <c r="D131" s="706"/>
      <c r="E131" s="659"/>
      <c r="F131" s="705" t="s">
        <v>1</v>
      </c>
      <c r="G131" s="706"/>
      <c r="H131" s="706"/>
      <c r="I131" s="662"/>
      <c r="J131" s="705" t="s">
        <v>2</v>
      </c>
      <c r="K131" s="706"/>
      <c r="L131" s="706"/>
      <c r="M131" s="662"/>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681" priority="59">
      <formula>kvartal &lt; 4</formula>
    </cfRule>
  </conditionalFormatting>
  <conditionalFormatting sqref="B69">
    <cfRule type="expression" dxfId="680" priority="58">
      <formula>kvartal &lt; 4</formula>
    </cfRule>
  </conditionalFormatting>
  <conditionalFormatting sqref="C69">
    <cfRule type="expression" dxfId="679" priority="57">
      <formula>kvartal &lt; 4</formula>
    </cfRule>
  </conditionalFormatting>
  <conditionalFormatting sqref="B72">
    <cfRule type="expression" dxfId="678" priority="56">
      <formula>kvartal &lt; 4</formula>
    </cfRule>
  </conditionalFormatting>
  <conditionalFormatting sqref="C72">
    <cfRule type="expression" dxfId="677" priority="55">
      <formula>kvartal &lt; 4</formula>
    </cfRule>
  </conditionalFormatting>
  <conditionalFormatting sqref="B80">
    <cfRule type="expression" dxfId="676" priority="54">
      <formula>kvartal &lt; 4</formula>
    </cfRule>
  </conditionalFormatting>
  <conditionalFormatting sqref="C80">
    <cfRule type="expression" dxfId="675" priority="53">
      <formula>kvartal &lt; 4</formula>
    </cfRule>
  </conditionalFormatting>
  <conditionalFormatting sqref="B83">
    <cfRule type="expression" dxfId="674" priority="52">
      <formula>kvartal &lt; 4</formula>
    </cfRule>
  </conditionalFormatting>
  <conditionalFormatting sqref="C83">
    <cfRule type="expression" dxfId="673" priority="51">
      <formula>kvartal &lt; 4</formula>
    </cfRule>
  </conditionalFormatting>
  <conditionalFormatting sqref="B90">
    <cfRule type="expression" dxfId="672" priority="50">
      <formula>kvartal &lt; 4</formula>
    </cfRule>
  </conditionalFormatting>
  <conditionalFormatting sqref="C90">
    <cfRule type="expression" dxfId="671" priority="49">
      <formula>kvartal &lt; 4</formula>
    </cfRule>
  </conditionalFormatting>
  <conditionalFormatting sqref="B93">
    <cfRule type="expression" dxfId="670" priority="48">
      <formula>kvartal &lt; 4</formula>
    </cfRule>
  </conditionalFormatting>
  <conditionalFormatting sqref="C93">
    <cfRule type="expression" dxfId="669" priority="47">
      <formula>kvartal &lt; 4</formula>
    </cfRule>
  </conditionalFormatting>
  <conditionalFormatting sqref="B101">
    <cfRule type="expression" dxfId="668" priority="46">
      <formula>kvartal &lt; 4</formula>
    </cfRule>
  </conditionalFormatting>
  <conditionalFormatting sqref="C101">
    <cfRule type="expression" dxfId="667" priority="45">
      <formula>kvartal &lt; 4</formula>
    </cfRule>
  </conditionalFormatting>
  <conditionalFormatting sqref="B104">
    <cfRule type="expression" dxfId="666" priority="44">
      <formula>kvartal &lt; 4</formula>
    </cfRule>
  </conditionalFormatting>
  <conditionalFormatting sqref="C104">
    <cfRule type="expression" dxfId="665" priority="43">
      <formula>kvartal &lt; 4</formula>
    </cfRule>
  </conditionalFormatting>
  <conditionalFormatting sqref="B115">
    <cfRule type="expression" dxfId="664" priority="42">
      <formula>kvartal &lt; 4</formula>
    </cfRule>
  </conditionalFormatting>
  <conditionalFormatting sqref="C115">
    <cfRule type="expression" dxfId="663" priority="41">
      <formula>kvartal &lt; 4</formula>
    </cfRule>
  </conditionalFormatting>
  <conditionalFormatting sqref="B123">
    <cfRule type="expression" dxfId="662" priority="40">
      <formula>kvartal &lt; 4</formula>
    </cfRule>
  </conditionalFormatting>
  <conditionalFormatting sqref="C123">
    <cfRule type="expression" dxfId="661" priority="39">
      <formula>kvartal &lt; 4</formula>
    </cfRule>
  </conditionalFormatting>
  <conditionalFormatting sqref="F70">
    <cfRule type="expression" dxfId="660" priority="38">
      <formula>kvartal &lt; 4</formula>
    </cfRule>
  </conditionalFormatting>
  <conditionalFormatting sqref="G70">
    <cfRule type="expression" dxfId="659" priority="37">
      <formula>kvartal &lt; 4</formula>
    </cfRule>
  </conditionalFormatting>
  <conditionalFormatting sqref="F71:G71">
    <cfRule type="expression" dxfId="658" priority="36">
      <formula>kvartal &lt; 4</formula>
    </cfRule>
  </conditionalFormatting>
  <conditionalFormatting sqref="F73:G74">
    <cfRule type="expression" dxfId="657" priority="35">
      <formula>kvartal &lt; 4</formula>
    </cfRule>
  </conditionalFormatting>
  <conditionalFormatting sqref="F81:G82">
    <cfRule type="expression" dxfId="656" priority="34">
      <formula>kvartal &lt; 4</formula>
    </cfRule>
  </conditionalFormatting>
  <conditionalFormatting sqref="F84:G85">
    <cfRule type="expression" dxfId="655" priority="33">
      <formula>kvartal &lt; 4</formula>
    </cfRule>
  </conditionalFormatting>
  <conditionalFormatting sqref="F91:G92">
    <cfRule type="expression" dxfId="654" priority="32">
      <formula>kvartal &lt; 4</formula>
    </cfRule>
  </conditionalFormatting>
  <conditionalFormatting sqref="F94:G95">
    <cfRule type="expression" dxfId="653" priority="31">
      <formula>kvartal &lt; 4</formula>
    </cfRule>
  </conditionalFormatting>
  <conditionalFormatting sqref="F102:G103">
    <cfRule type="expression" dxfId="652" priority="30">
      <formula>kvartal &lt; 4</formula>
    </cfRule>
  </conditionalFormatting>
  <conditionalFormatting sqref="F105:G106">
    <cfRule type="expression" dxfId="651" priority="29">
      <formula>kvartal &lt; 4</formula>
    </cfRule>
  </conditionalFormatting>
  <conditionalFormatting sqref="F115">
    <cfRule type="expression" dxfId="650" priority="28">
      <formula>kvartal &lt; 4</formula>
    </cfRule>
  </conditionalFormatting>
  <conditionalFormatting sqref="G115">
    <cfRule type="expression" dxfId="649" priority="27">
      <formula>kvartal &lt; 4</formula>
    </cfRule>
  </conditionalFormatting>
  <conditionalFormatting sqref="F123:G123">
    <cfRule type="expression" dxfId="648" priority="26">
      <formula>kvartal &lt; 4</formula>
    </cfRule>
  </conditionalFormatting>
  <conditionalFormatting sqref="F69:G69">
    <cfRule type="expression" dxfId="647" priority="25">
      <formula>kvartal &lt; 4</formula>
    </cfRule>
  </conditionalFormatting>
  <conditionalFormatting sqref="F72:G72">
    <cfRule type="expression" dxfId="646" priority="24">
      <formula>kvartal &lt; 4</formula>
    </cfRule>
  </conditionalFormatting>
  <conditionalFormatting sqref="F80:G80">
    <cfRule type="expression" dxfId="645" priority="23">
      <formula>kvartal &lt; 4</formula>
    </cfRule>
  </conditionalFormatting>
  <conditionalFormatting sqref="F83:G83">
    <cfRule type="expression" dxfId="644" priority="22">
      <formula>kvartal &lt; 4</formula>
    </cfRule>
  </conditionalFormatting>
  <conditionalFormatting sqref="F90:G90">
    <cfRule type="expression" dxfId="643" priority="21">
      <formula>kvartal &lt; 4</formula>
    </cfRule>
  </conditionalFormatting>
  <conditionalFormatting sqref="F93">
    <cfRule type="expression" dxfId="642" priority="20">
      <formula>kvartal &lt; 4</formula>
    </cfRule>
  </conditionalFormatting>
  <conditionalFormatting sqref="G93">
    <cfRule type="expression" dxfId="641" priority="19">
      <formula>kvartal &lt; 4</formula>
    </cfRule>
  </conditionalFormatting>
  <conditionalFormatting sqref="F101">
    <cfRule type="expression" dxfId="640" priority="18">
      <formula>kvartal &lt; 4</formula>
    </cfRule>
  </conditionalFormatting>
  <conditionalFormatting sqref="G101">
    <cfRule type="expression" dxfId="639" priority="17">
      <formula>kvartal &lt; 4</formula>
    </cfRule>
  </conditionalFormatting>
  <conditionalFormatting sqref="G104">
    <cfRule type="expression" dxfId="638" priority="16">
      <formula>kvartal &lt; 4</formula>
    </cfRule>
  </conditionalFormatting>
  <conditionalFormatting sqref="F104">
    <cfRule type="expression" dxfId="637" priority="15">
      <formula>kvartal &lt; 4</formula>
    </cfRule>
  </conditionalFormatting>
  <conditionalFormatting sqref="J69:K73">
    <cfRule type="expression" dxfId="636" priority="14">
      <formula>kvartal &lt; 4</formula>
    </cfRule>
  </conditionalFormatting>
  <conditionalFormatting sqref="J74:K74">
    <cfRule type="expression" dxfId="635" priority="13">
      <formula>kvartal &lt; 4</formula>
    </cfRule>
  </conditionalFormatting>
  <conditionalFormatting sqref="J80:K85">
    <cfRule type="expression" dxfId="634" priority="12">
      <formula>kvartal &lt; 4</formula>
    </cfRule>
  </conditionalFormatting>
  <conditionalFormatting sqref="J90:K95">
    <cfRule type="expression" dxfId="633" priority="11">
      <formula>kvartal &lt; 4</formula>
    </cfRule>
  </conditionalFormatting>
  <conditionalFormatting sqref="J101:K106">
    <cfRule type="expression" dxfId="632" priority="10">
      <formula>kvartal &lt; 4</formula>
    </cfRule>
  </conditionalFormatting>
  <conditionalFormatting sqref="J115:K115">
    <cfRule type="expression" dxfId="631" priority="9">
      <formula>kvartal &lt; 4</formula>
    </cfRule>
  </conditionalFormatting>
  <conditionalFormatting sqref="J123:K123">
    <cfRule type="expression" dxfId="630" priority="8">
      <formula>kvartal &lt; 4</formula>
    </cfRule>
  </conditionalFormatting>
  <conditionalFormatting sqref="A50:A52">
    <cfRule type="expression" dxfId="629" priority="7">
      <formula>kvartal &lt; 4</formula>
    </cfRule>
  </conditionalFormatting>
  <conditionalFormatting sqref="A69:A74">
    <cfRule type="expression" dxfId="628" priority="6">
      <formula>kvartal &lt; 4</formula>
    </cfRule>
  </conditionalFormatting>
  <conditionalFormatting sqref="A80:A85">
    <cfRule type="expression" dxfId="627" priority="5">
      <formula>kvartal &lt; 4</formula>
    </cfRule>
  </conditionalFormatting>
  <conditionalFormatting sqref="A90:A95">
    <cfRule type="expression" dxfId="626" priority="4">
      <formula>kvartal &lt; 4</formula>
    </cfRule>
  </conditionalFormatting>
  <conditionalFormatting sqref="A101:A106">
    <cfRule type="expression" dxfId="625" priority="3">
      <formula>kvartal &lt; 4</formula>
    </cfRule>
  </conditionalFormatting>
  <conditionalFormatting sqref="A115">
    <cfRule type="expression" dxfId="624" priority="2">
      <formula>kvartal &lt; 4</formula>
    </cfRule>
  </conditionalFormatting>
  <conditionalFormatting sqref="A123">
    <cfRule type="expression" dxfId="623" priority="1">
      <formula>kvartal &lt; 4</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88</v>
      </c>
      <c r="D1" s="26"/>
      <c r="E1" s="26"/>
      <c r="F1" s="26"/>
      <c r="G1" s="26"/>
      <c r="H1" s="26"/>
      <c r="I1" s="26"/>
      <c r="J1" s="26"/>
      <c r="K1" s="26"/>
      <c r="L1" s="26"/>
      <c r="M1" s="26"/>
    </row>
    <row r="2" spans="1:14" ht="15.75" x14ac:dyDescent="0.25">
      <c r="A2" s="149" t="s">
        <v>28</v>
      </c>
      <c r="B2" s="707"/>
      <c r="C2" s="707"/>
      <c r="D2" s="707"/>
      <c r="E2" s="284"/>
      <c r="F2" s="711"/>
      <c r="G2" s="711"/>
      <c r="H2" s="711"/>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4"/>
      <c r="M7" s="11"/>
    </row>
    <row r="8" spans="1:14" ht="15.75" x14ac:dyDescent="0.2">
      <c r="A8" s="21" t="s">
        <v>25</v>
      </c>
      <c r="B8" s="266"/>
      <c r="C8" s="267"/>
      <c r="D8" s="150"/>
      <c r="E8" s="27"/>
      <c r="F8" s="270"/>
      <c r="G8" s="271"/>
      <c r="H8" s="150"/>
      <c r="I8" s="160"/>
      <c r="J8" s="217"/>
      <c r="K8" s="272"/>
      <c r="L8" s="150"/>
      <c r="M8" s="27"/>
    </row>
    <row r="9" spans="1:14" ht="15.75" x14ac:dyDescent="0.2">
      <c r="A9" s="21" t="s">
        <v>24</v>
      </c>
      <c r="B9" s="266"/>
      <c r="C9" s="267"/>
      <c r="D9" s="150"/>
      <c r="E9" s="27"/>
      <c r="F9" s="270"/>
      <c r="G9" s="271"/>
      <c r="H9" s="150"/>
      <c r="I9" s="160"/>
      <c r="J9" s="217"/>
      <c r="K9" s="272"/>
      <c r="L9" s="150"/>
      <c r="M9" s="27"/>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8302</v>
      </c>
      <c r="C47" s="296"/>
      <c r="D47" s="404">
        <f t="shared" ref="D47:D48" si="0">IF(B47=0, "    ---- ", IF(ABS(ROUND(100/B47*C47-100,1))&lt;999,ROUND(100/B47*C47-100,1),IF(ROUND(100/B47*C47-100,1)&gt;999,999,-999)))</f>
        <v>-100</v>
      </c>
      <c r="E47" s="11">
        <f>IFERROR(100/'Skjema total MA'!C47*C47,0)</f>
        <v>0</v>
      </c>
      <c r="F47" s="129"/>
      <c r="G47" s="33"/>
      <c r="H47" s="143"/>
      <c r="I47" s="143"/>
      <c r="J47" s="37"/>
      <c r="K47" s="37"/>
      <c r="L47" s="143"/>
      <c r="M47" s="143"/>
      <c r="N47" s="132"/>
    </row>
    <row r="48" spans="1:14" s="3" customFormat="1" ht="15.75" x14ac:dyDescent="0.2">
      <c r="A48" s="38" t="s">
        <v>332</v>
      </c>
      <c r="B48" s="266">
        <v>8302</v>
      </c>
      <c r="C48" s="267"/>
      <c r="D48" s="242">
        <f t="shared" si="0"/>
        <v>-100</v>
      </c>
      <c r="E48" s="27">
        <f>IFERROR(100/'Skjema total MA'!C48*C48,0)</f>
        <v>0</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v>1060364.4779999999</v>
      </c>
      <c r="C134" s="294">
        <v>908134</v>
      </c>
      <c r="D134" s="334">
        <f t="shared" ref="D134:D135" si="1">IF(B134=0, "    ---- ", IF(ABS(ROUND(100/B134*C134-100,1))&lt;999,ROUND(100/B134*C134-100,1),IF(ROUND(100/B134*C134-100,1)&gt;999,999,-999)))</f>
        <v>-14.4</v>
      </c>
      <c r="E134" s="11">
        <f>IFERROR(100/'Skjema total MA'!C134*C134,0)</f>
        <v>10.083887335559039</v>
      </c>
      <c r="F134" s="301"/>
      <c r="G134" s="302"/>
      <c r="H134" s="408"/>
      <c r="I134" s="24"/>
      <c r="J134" s="303">
        <f t="shared" ref="J134:K135" si="2">SUM(B134,F134)</f>
        <v>1060364.4779999999</v>
      </c>
      <c r="K134" s="303">
        <f t="shared" si="2"/>
        <v>908134</v>
      </c>
      <c r="L134" s="404">
        <f t="shared" ref="L134:L135" si="3">IF(J134=0, "    ---- ", IF(ABS(ROUND(100/J134*K134-100,1))&lt;999,ROUND(100/J134*K134-100,1),IF(ROUND(100/J134*K134-100,1)&gt;999,999,-999)))</f>
        <v>-14.4</v>
      </c>
      <c r="M134" s="11">
        <f>IFERROR(100/'Skjema total MA'!I134*K134,0)</f>
        <v>10.05854606623274</v>
      </c>
      <c r="N134" s="132"/>
    </row>
    <row r="135" spans="1:14" s="3" customFormat="1" ht="15.75" x14ac:dyDescent="0.2">
      <c r="A135" s="13" t="s">
        <v>348</v>
      </c>
      <c r="B135" s="219">
        <v>88090907</v>
      </c>
      <c r="C135" s="294">
        <v>94317675</v>
      </c>
      <c r="D135" s="155">
        <f t="shared" si="1"/>
        <v>7.1</v>
      </c>
      <c r="E135" s="11">
        <f>IFERROR(100/'Skjema total MA'!C135*C135,0)</f>
        <v>10.980108033946479</v>
      </c>
      <c r="F135" s="219"/>
      <c r="G135" s="294"/>
      <c r="H135" s="409"/>
      <c r="I135" s="24"/>
      <c r="J135" s="293">
        <f t="shared" si="2"/>
        <v>88090907</v>
      </c>
      <c r="K135" s="293">
        <f t="shared" si="2"/>
        <v>94317675</v>
      </c>
      <c r="L135" s="405">
        <f t="shared" si="3"/>
        <v>7.1</v>
      </c>
      <c r="M135" s="11">
        <f>IFERROR(100/'Skjema total MA'!I135*K135,0)</f>
        <v>10.944884287421921</v>
      </c>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22" priority="132">
      <formula>kvartal &lt; 4</formula>
    </cfRule>
  </conditionalFormatting>
  <conditionalFormatting sqref="B69">
    <cfRule type="expression" dxfId="621" priority="100">
      <formula>kvartal &lt; 4</formula>
    </cfRule>
  </conditionalFormatting>
  <conditionalFormatting sqref="C69">
    <cfRule type="expression" dxfId="620" priority="99">
      <formula>kvartal &lt; 4</formula>
    </cfRule>
  </conditionalFormatting>
  <conditionalFormatting sqref="B72">
    <cfRule type="expression" dxfId="619" priority="98">
      <formula>kvartal &lt; 4</formula>
    </cfRule>
  </conditionalFormatting>
  <conditionalFormatting sqref="C72">
    <cfRule type="expression" dxfId="618" priority="97">
      <formula>kvartal &lt; 4</formula>
    </cfRule>
  </conditionalFormatting>
  <conditionalFormatting sqref="B80">
    <cfRule type="expression" dxfId="617" priority="96">
      <formula>kvartal &lt; 4</formula>
    </cfRule>
  </conditionalFormatting>
  <conditionalFormatting sqref="C80">
    <cfRule type="expression" dxfId="616" priority="95">
      <formula>kvartal &lt; 4</formula>
    </cfRule>
  </conditionalFormatting>
  <conditionalFormatting sqref="B83">
    <cfRule type="expression" dxfId="615" priority="94">
      <formula>kvartal &lt; 4</formula>
    </cfRule>
  </conditionalFormatting>
  <conditionalFormatting sqref="C83">
    <cfRule type="expression" dxfId="614" priority="93">
      <formula>kvartal &lt; 4</formula>
    </cfRule>
  </conditionalFormatting>
  <conditionalFormatting sqref="B90">
    <cfRule type="expression" dxfId="613" priority="84">
      <formula>kvartal &lt; 4</formula>
    </cfRule>
  </conditionalFormatting>
  <conditionalFormatting sqref="C90">
    <cfRule type="expression" dxfId="612" priority="83">
      <formula>kvartal &lt; 4</formula>
    </cfRule>
  </conditionalFormatting>
  <conditionalFormatting sqref="B93">
    <cfRule type="expression" dxfId="611" priority="82">
      <formula>kvartal &lt; 4</formula>
    </cfRule>
  </conditionalFormatting>
  <conditionalFormatting sqref="C93">
    <cfRule type="expression" dxfId="610" priority="81">
      <formula>kvartal &lt; 4</formula>
    </cfRule>
  </conditionalFormatting>
  <conditionalFormatting sqref="B101">
    <cfRule type="expression" dxfId="609" priority="80">
      <formula>kvartal &lt; 4</formula>
    </cfRule>
  </conditionalFormatting>
  <conditionalFormatting sqref="C101">
    <cfRule type="expression" dxfId="608" priority="79">
      <formula>kvartal &lt; 4</formula>
    </cfRule>
  </conditionalFormatting>
  <conditionalFormatting sqref="B104">
    <cfRule type="expression" dxfId="607" priority="78">
      <formula>kvartal &lt; 4</formula>
    </cfRule>
  </conditionalFormatting>
  <conditionalFormatting sqref="C104">
    <cfRule type="expression" dxfId="606" priority="77">
      <formula>kvartal &lt; 4</formula>
    </cfRule>
  </conditionalFormatting>
  <conditionalFormatting sqref="B115">
    <cfRule type="expression" dxfId="605" priority="76">
      <formula>kvartal &lt; 4</formula>
    </cfRule>
  </conditionalFormatting>
  <conditionalFormatting sqref="C115">
    <cfRule type="expression" dxfId="604" priority="75">
      <formula>kvartal &lt; 4</formula>
    </cfRule>
  </conditionalFormatting>
  <conditionalFormatting sqref="B123">
    <cfRule type="expression" dxfId="603" priority="74">
      <formula>kvartal &lt; 4</formula>
    </cfRule>
  </conditionalFormatting>
  <conditionalFormatting sqref="C123">
    <cfRule type="expression" dxfId="602" priority="73">
      <formula>kvartal &lt; 4</formula>
    </cfRule>
  </conditionalFormatting>
  <conditionalFormatting sqref="F70">
    <cfRule type="expression" dxfId="601" priority="72">
      <formula>kvartal &lt; 4</formula>
    </cfRule>
  </conditionalFormatting>
  <conditionalFormatting sqref="G70">
    <cfRule type="expression" dxfId="600" priority="71">
      <formula>kvartal &lt; 4</formula>
    </cfRule>
  </conditionalFormatting>
  <conditionalFormatting sqref="F71:G71">
    <cfRule type="expression" dxfId="599" priority="70">
      <formula>kvartal &lt; 4</formula>
    </cfRule>
  </conditionalFormatting>
  <conditionalFormatting sqref="F73:G74">
    <cfRule type="expression" dxfId="598" priority="69">
      <formula>kvartal &lt; 4</formula>
    </cfRule>
  </conditionalFormatting>
  <conditionalFormatting sqref="F81:G82">
    <cfRule type="expression" dxfId="597" priority="68">
      <formula>kvartal &lt; 4</formula>
    </cfRule>
  </conditionalFormatting>
  <conditionalFormatting sqref="F84:G85">
    <cfRule type="expression" dxfId="596" priority="67">
      <formula>kvartal &lt; 4</formula>
    </cfRule>
  </conditionalFormatting>
  <conditionalFormatting sqref="F91:G92">
    <cfRule type="expression" dxfId="595" priority="62">
      <formula>kvartal &lt; 4</formula>
    </cfRule>
  </conditionalFormatting>
  <conditionalFormatting sqref="F94:G95">
    <cfRule type="expression" dxfId="594" priority="61">
      <formula>kvartal &lt; 4</formula>
    </cfRule>
  </conditionalFormatting>
  <conditionalFormatting sqref="F102:G103">
    <cfRule type="expression" dxfId="593" priority="60">
      <formula>kvartal &lt; 4</formula>
    </cfRule>
  </conditionalFormatting>
  <conditionalFormatting sqref="F105:G106">
    <cfRule type="expression" dxfId="592" priority="59">
      <formula>kvartal &lt; 4</formula>
    </cfRule>
  </conditionalFormatting>
  <conditionalFormatting sqref="F115">
    <cfRule type="expression" dxfId="591" priority="58">
      <formula>kvartal &lt; 4</formula>
    </cfRule>
  </conditionalFormatting>
  <conditionalFormatting sqref="G115">
    <cfRule type="expression" dxfId="590" priority="57">
      <formula>kvartal &lt; 4</formula>
    </cfRule>
  </conditionalFormatting>
  <conditionalFormatting sqref="F123:G123">
    <cfRule type="expression" dxfId="589" priority="56">
      <formula>kvartal &lt; 4</formula>
    </cfRule>
  </conditionalFormatting>
  <conditionalFormatting sqref="F69:G69">
    <cfRule type="expression" dxfId="588" priority="55">
      <formula>kvartal &lt; 4</formula>
    </cfRule>
  </conditionalFormatting>
  <conditionalFormatting sqref="F72:G72">
    <cfRule type="expression" dxfId="587" priority="54">
      <formula>kvartal &lt; 4</formula>
    </cfRule>
  </conditionalFormatting>
  <conditionalFormatting sqref="F80:G80">
    <cfRule type="expression" dxfId="586" priority="53">
      <formula>kvartal &lt; 4</formula>
    </cfRule>
  </conditionalFormatting>
  <conditionalFormatting sqref="F83:G83">
    <cfRule type="expression" dxfId="585" priority="52">
      <formula>kvartal &lt; 4</formula>
    </cfRule>
  </conditionalFormatting>
  <conditionalFormatting sqref="F90:G90">
    <cfRule type="expression" dxfId="584" priority="46">
      <formula>kvartal &lt; 4</formula>
    </cfRule>
  </conditionalFormatting>
  <conditionalFormatting sqref="F93">
    <cfRule type="expression" dxfId="583" priority="45">
      <formula>kvartal &lt; 4</formula>
    </cfRule>
  </conditionalFormatting>
  <conditionalFormatting sqref="G93">
    <cfRule type="expression" dxfId="582" priority="44">
      <formula>kvartal &lt; 4</formula>
    </cfRule>
  </conditionalFormatting>
  <conditionalFormatting sqref="F101">
    <cfRule type="expression" dxfId="581" priority="43">
      <formula>kvartal &lt; 4</formula>
    </cfRule>
  </conditionalFormatting>
  <conditionalFormatting sqref="G101">
    <cfRule type="expression" dxfId="580" priority="42">
      <formula>kvartal &lt; 4</formula>
    </cfRule>
  </conditionalFormatting>
  <conditionalFormatting sqref="G104">
    <cfRule type="expression" dxfId="579" priority="41">
      <formula>kvartal &lt; 4</formula>
    </cfRule>
  </conditionalFormatting>
  <conditionalFormatting sqref="F104">
    <cfRule type="expression" dxfId="578" priority="40">
      <formula>kvartal &lt; 4</formula>
    </cfRule>
  </conditionalFormatting>
  <conditionalFormatting sqref="J69:K73">
    <cfRule type="expression" dxfId="577" priority="39">
      <formula>kvartal &lt; 4</formula>
    </cfRule>
  </conditionalFormatting>
  <conditionalFormatting sqref="J74:K74">
    <cfRule type="expression" dxfId="576" priority="38">
      <formula>kvartal &lt; 4</formula>
    </cfRule>
  </conditionalFormatting>
  <conditionalFormatting sqref="J80:K85">
    <cfRule type="expression" dxfId="575" priority="37">
      <formula>kvartal &lt; 4</formula>
    </cfRule>
  </conditionalFormatting>
  <conditionalFormatting sqref="J90:K95">
    <cfRule type="expression" dxfId="574" priority="34">
      <formula>kvartal &lt; 4</formula>
    </cfRule>
  </conditionalFormatting>
  <conditionalFormatting sqref="J101:K106">
    <cfRule type="expression" dxfId="573" priority="33">
      <formula>kvartal &lt; 4</formula>
    </cfRule>
  </conditionalFormatting>
  <conditionalFormatting sqref="J115:K115">
    <cfRule type="expression" dxfId="572" priority="32">
      <formula>kvartal &lt; 4</formula>
    </cfRule>
  </conditionalFormatting>
  <conditionalFormatting sqref="J123:K123">
    <cfRule type="expression" dxfId="571" priority="31">
      <formula>kvartal &lt; 4</formula>
    </cfRule>
  </conditionalFormatting>
  <conditionalFormatting sqref="A50:A52">
    <cfRule type="expression" dxfId="570" priority="12">
      <formula>kvartal &lt; 4</formula>
    </cfRule>
  </conditionalFormatting>
  <conditionalFormatting sqref="A69:A74">
    <cfRule type="expression" dxfId="569" priority="10">
      <formula>kvartal &lt; 4</formula>
    </cfRule>
  </conditionalFormatting>
  <conditionalFormatting sqref="A80:A85">
    <cfRule type="expression" dxfId="568" priority="9">
      <formula>kvartal &lt; 4</formula>
    </cfRule>
  </conditionalFormatting>
  <conditionalFormatting sqref="A90:A95">
    <cfRule type="expression" dxfId="567" priority="6">
      <formula>kvartal &lt; 4</formula>
    </cfRule>
  </conditionalFormatting>
  <conditionalFormatting sqref="A101:A106">
    <cfRule type="expression" dxfId="566" priority="5">
      <formula>kvartal &lt; 4</formula>
    </cfRule>
  </conditionalFormatting>
  <conditionalFormatting sqref="A115">
    <cfRule type="expression" dxfId="565" priority="4">
      <formula>kvartal &lt; 4</formula>
    </cfRule>
  </conditionalFormatting>
  <conditionalFormatting sqref="A123">
    <cfRule type="expression" dxfId="564" priority="3">
      <formula>kvartal &lt; 4</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453" t="s">
        <v>320</v>
      </c>
      <c r="D1" s="26"/>
      <c r="E1" s="26"/>
      <c r="F1" s="26"/>
      <c r="G1" s="26"/>
      <c r="H1" s="26"/>
      <c r="I1" s="26"/>
      <c r="J1" s="26"/>
      <c r="K1" s="26"/>
      <c r="L1" s="26"/>
      <c r="M1" s="26"/>
    </row>
    <row r="2" spans="1:14" ht="15.75" x14ac:dyDescent="0.25">
      <c r="A2" s="149" t="s">
        <v>28</v>
      </c>
      <c r="B2" s="707"/>
      <c r="C2" s="707"/>
      <c r="D2" s="707"/>
      <c r="E2" s="450"/>
      <c r="F2" s="707"/>
      <c r="G2" s="707"/>
      <c r="H2" s="707"/>
      <c r="I2" s="450"/>
      <c r="J2" s="707"/>
      <c r="K2" s="707"/>
      <c r="L2" s="707"/>
      <c r="M2" s="450"/>
    </row>
    <row r="3" spans="1:14" ht="15.75" x14ac:dyDescent="0.25">
      <c r="A3" s="147"/>
      <c r="B3" s="450"/>
      <c r="C3" s="450"/>
      <c r="D3" s="450"/>
      <c r="E3" s="450"/>
      <c r="F3" s="450"/>
      <c r="G3" s="450"/>
      <c r="H3" s="450"/>
      <c r="I3" s="450"/>
      <c r="J3" s="450"/>
      <c r="K3" s="450"/>
      <c r="L3" s="450"/>
      <c r="M3" s="450"/>
    </row>
    <row r="4" spans="1:14" x14ac:dyDescent="0.2">
      <c r="A4" s="128"/>
      <c r="B4" s="705" t="s">
        <v>0</v>
      </c>
      <c r="C4" s="706"/>
      <c r="D4" s="706"/>
      <c r="E4" s="448"/>
      <c r="F4" s="705" t="s">
        <v>1</v>
      </c>
      <c r="G4" s="706"/>
      <c r="H4" s="706"/>
      <c r="I4" s="449"/>
      <c r="J4" s="705" t="s">
        <v>2</v>
      </c>
      <c r="K4" s="706"/>
      <c r="L4" s="706"/>
      <c r="M4" s="44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v>470.96053418105703</v>
      </c>
      <c r="C7" s="292">
        <v>3779</v>
      </c>
      <c r="D7" s="334">
        <f>IF(B7=0, "    ---- ", IF(ABS(ROUND(100/B7*C7-100,1))&lt;999,ROUND(100/B7*C7-100,1),IF(ROUND(100/B7*C7-100,1)&gt;999,999,-999)))</f>
        <v>702.4</v>
      </c>
      <c r="E7" s="11">
        <f>IFERROR(100/'Skjema total MA'!C7*C7,0)</f>
        <v>0.19721511321436078</v>
      </c>
      <c r="F7" s="291"/>
      <c r="G7" s="292"/>
      <c r="H7" s="334"/>
      <c r="I7" s="144"/>
      <c r="J7" s="293">
        <f t="shared" ref="J7:K9" si="0">SUM(B7,F7)</f>
        <v>470.96053418105703</v>
      </c>
      <c r="K7" s="294">
        <f t="shared" si="0"/>
        <v>3779</v>
      </c>
      <c r="L7" s="404">
        <f>IF(J7=0, "    ---- ", IF(ABS(ROUND(100/J7*K7-100,1))&lt;999,ROUND(100/J7*K7-100,1),IF(ROUND(100/J7*K7-100,1)&gt;999,999,-999)))</f>
        <v>702.4</v>
      </c>
      <c r="M7" s="11">
        <f>IFERROR(100/'Skjema total MA'!I7*K7,0)</f>
        <v>6.4826308531631016E-2</v>
      </c>
    </row>
    <row r="8" spans="1:14" ht="15.75" x14ac:dyDescent="0.2">
      <c r="A8" s="21" t="s">
        <v>25</v>
      </c>
      <c r="B8" s="266"/>
      <c r="C8" s="267"/>
      <c r="D8" s="150"/>
      <c r="E8" s="27"/>
      <c r="F8" s="270"/>
      <c r="G8" s="271"/>
      <c r="H8" s="150"/>
      <c r="I8" s="160"/>
      <c r="J8" s="217"/>
      <c r="K8" s="272"/>
      <c r="L8" s="150"/>
      <c r="M8" s="27"/>
    </row>
    <row r="9" spans="1:14" ht="15.75" x14ac:dyDescent="0.2">
      <c r="A9" s="21" t="s">
        <v>24</v>
      </c>
      <c r="B9" s="266">
        <v>470.96053418105703</v>
      </c>
      <c r="C9" s="267">
        <v>3779</v>
      </c>
      <c r="D9" s="150">
        <f t="shared" ref="D9" si="1">IF(B9=0, "    ---- ", IF(ABS(ROUND(100/B9*C9-100,1))&lt;999,ROUND(100/B9*C9-100,1),IF(ROUND(100/B9*C9-100,1)&gt;999,999,-999)))</f>
        <v>702.4</v>
      </c>
      <c r="E9" s="27">
        <f>IFERROR(100/'Skjema total MA'!C9*C9,0)</f>
        <v>0.88367171742748718</v>
      </c>
      <c r="F9" s="270"/>
      <c r="G9" s="271"/>
      <c r="H9" s="150"/>
      <c r="I9" s="160"/>
      <c r="J9" s="217">
        <f t="shared" si="0"/>
        <v>470.96053418105703</v>
      </c>
      <c r="K9" s="272">
        <f t="shared" si="0"/>
        <v>3779</v>
      </c>
      <c r="L9" s="150">
        <f t="shared" ref="L9" si="2">IF(J9=0, "    ---- ", IF(ABS(ROUND(100/J9*K9-100,1))&lt;999,ROUND(100/J9*K9-100,1),IF(ROUND(100/J9*K9-100,1)&gt;999,999,-999)))</f>
        <v>702.4</v>
      </c>
      <c r="M9" s="27">
        <f>IFERROR(100/'Skjema total MA'!I9*K9,0)</f>
        <v>0.88367171742748718</v>
      </c>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450"/>
      <c r="F18" s="704"/>
      <c r="G18" s="704"/>
      <c r="H18" s="704"/>
      <c r="I18" s="450"/>
      <c r="J18" s="704"/>
      <c r="K18" s="704"/>
      <c r="L18" s="704"/>
      <c r="M18" s="450"/>
    </row>
    <row r="19" spans="1:14" x14ac:dyDescent="0.2">
      <c r="A19" s="128"/>
      <c r="B19" s="705" t="s">
        <v>0</v>
      </c>
      <c r="C19" s="706"/>
      <c r="D19" s="706"/>
      <c r="E19" s="448"/>
      <c r="F19" s="705" t="s">
        <v>1</v>
      </c>
      <c r="G19" s="706"/>
      <c r="H19" s="706"/>
      <c r="I19" s="449"/>
      <c r="J19" s="705" t="s">
        <v>2</v>
      </c>
      <c r="K19" s="706"/>
      <c r="L19" s="706"/>
      <c r="M19" s="44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452"/>
    </row>
    <row r="41" spans="1:14" x14ac:dyDescent="0.2">
      <c r="A41" s="139"/>
    </row>
    <row r="42" spans="1:14" ht="15.75" x14ac:dyDescent="0.25">
      <c r="A42" s="131" t="s">
        <v>243</v>
      </c>
      <c r="B42" s="707"/>
      <c r="C42" s="707"/>
      <c r="D42" s="707"/>
      <c r="E42" s="450"/>
      <c r="F42" s="709"/>
      <c r="G42" s="709"/>
      <c r="H42" s="709"/>
      <c r="I42" s="452"/>
      <c r="J42" s="709"/>
      <c r="K42" s="709"/>
      <c r="L42" s="709"/>
      <c r="M42" s="452"/>
    </row>
    <row r="43" spans="1:14" ht="15.75" x14ac:dyDescent="0.25">
      <c r="A43" s="147"/>
      <c r="B43" s="451"/>
      <c r="C43" s="451"/>
      <c r="D43" s="451"/>
      <c r="E43" s="451"/>
      <c r="F43" s="452"/>
      <c r="G43" s="452"/>
      <c r="H43" s="452"/>
      <c r="I43" s="452"/>
      <c r="J43" s="452"/>
      <c r="K43" s="452"/>
      <c r="L43" s="452"/>
      <c r="M43" s="452"/>
    </row>
    <row r="44" spans="1:14" ht="15.75" x14ac:dyDescent="0.25">
      <c r="A44" s="232"/>
      <c r="B44" s="705" t="s">
        <v>0</v>
      </c>
      <c r="C44" s="706"/>
      <c r="D44" s="706"/>
      <c r="E44" s="227"/>
      <c r="F44" s="452"/>
      <c r="G44" s="452"/>
      <c r="H44" s="452"/>
      <c r="I44" s="452"/>
      <c r="J44" s="452"/>
      <c r="K44" s="452"/>
      <c r="L44" s="452"/>
      <c r="M44" s="452"/>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254654.84985039299</v>
      </c>
      <c r="C47" s="296">
        <v>265128</v>
      </c>
      <c r="D47" s="404">
        <f t="shared" ref="D47:D48" si="3">IF(B47=0, "    ---- ", IF(ABS(ROUND(100/B47*C47-100,1))&lt;999,ROUND(100/B47*C47-100,1),IF(ROUND(100/B47*C47-100,1)&gt;999,999,-999)))</f>
        <v>4.0999999999999996</v>
      </c>
      <c r="E47" s="11">
        <f>IFERROR(100/'Skjema total MA'!C47*C47,0)</f>
        <v>6.4376016628380794</v>
      </c>
      <c r="F47" s="129"/>
      <c r="G47" s="33"/>
      <c r="H47" s="143"/>
      <c r="I47" s="143"/>
      <c r="J47" s="37"/>
      <c r="K47" s="37"/>
      <c r="L47" s="143"/>
      <c r="M47" s="143"/>
      <c r="N47" s="132"/>
    </row>
    <row r="48" spans="1:14" s="3" customFormat="1" ht="15.75" x14ac:dyDescent="0.2">
      <c r="A48" s="38" t="s">
        <v>332</v>
      </c>
      <c r="B48" s="266">
        <v>254654.84985039299</v>
      </c>
      <c r="C48" s="267">
        <v>265128</v>
      </c>
      <c r="D48" s="242">
        <f t="shared" si="3"/>
        <v>4.0999999999999996</v>
      </c>
      <c r="E48" s="27">
        <f>IFERROR(100/'Skjema total MA'!C48*C48,0)</f>
        <v>12.047608092414601</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450"/>
      <c r="F62" s="704"/>
      <c r="G62" s="704"/>
      <c r="H62" s="704"/>
      <c r="I62" s="450"/>
      <c r="J62" s="704"/>
      <c r="K62" s="704"/>
      <c r="L62" s="704"/>
      <c r="M62" s="450"/>
    </row>
    <row r="63" spans="1:14" x14ac:dyDescent="0.2">
      <c r="A63" s="128"/>
      <c r="B63" s="705" t="s">
        <v>0</v>
      </c>
      <c r="C63" s="706"/>
      <c r="D63" s="710"/>
      <c r="E63" s="447"/>
      <c r="F63" s="706" t="s">
        <v>1</v>
      </c>
      <c r="G63" s="706"/>
      <c r="H63" s="706"/>
      <c r="I63" s="449"/>
      <c r="J63" s="705" t="s">
        <v>2</v>
      </c>
      <c r="K63" s="706"/>
      <c r="L63" s="706"/>
      <c r="M63" s="44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450"/>
      <c r="F130" s="704"/>
      <c r="G130" s="704"/>
      <c r="H130" s="704"/>
      <c r="I130" s="450"/>
      <c r="J130" s="704"/>
      <c r="K130" s="704"/>
      <c r="L130" s="704"/>
      <c r="M130" s="450"/>
    </row>
    <row r="131" spans="1:14" s="3" customFormat="1" x14ac:dyDescent="0.2">
      <c r="A131" s="128"/>
      <c r="B131" s="705" t="s">
        <v>0</v>
      </c>
      <c r="C131" s="706"/>
      <c r="D131" s="706"/>
      <c r="E131" s="448"/>
      <c r="F131" s="705" t="s">
        <v>1</v>
      </c>
      <c r="G131" s="706"/>
      <c r="H131" s="706"/>
      <c r="I131" s="449"/>
      <c r="J131" s="705" t="s">
        <v>2</v>
      </c>
      <c r="K131" s="706"/>
      <c r="L131" s="706"/>
      <c r="M131" s="44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563" priority="82">
      <formula>kvartal &lt; 4</formula>
    </cfRule>
  </conditionalFormatting>
  <conditionalFormatting sqref="B69">
    <cfRule type="expression" dxfId="562" priority="61">
      <formula>kvartal &lt; 4</formula>
    </cfRule>
  </conditionalFormatting>
  <conditionalFormatting sqref="C69">
    <cfRule type="expression" dxfId="561" priority="60">
      <formula>kvartal &lt; 4</formula>
    </cfRule>
  </conditionalFormatting>
  <conditionalFormatting sqref="B72">
    <cfRule type="expression" dxfId="560" priority="59">
      <formula>kvartal &lt; 4</formula>
    </cfRule>
  </conditionalFormatting>
  <conditionalFormatting sqref="C72">
    <cfRule type="expression" dxfId="559" priority="58">
      <formula>kvartal &lt; 4</formula>
    </cfRule>
  </conditionalFormatting>
  <conditionalFormatting sqref="B80">
    <cfRule type="expression" dxfId="558" priority="57">
      <formula>kvartal &lt; 4</formula>
    </cfRule>
  </conditionalFormatting>
  <conditionalFormatting sqref="C80">
    <cfRule type="expression" dxfId="557" priority="56">
      <formula>kvartal &lt; 4</formula>
    </cfRule>
  </conditionalFormatting>
  <conditionalFormatting sqref="B83">
    <cfRule type="expression" dxfId="556" priority="55">
      <formula>kvartal &lt; 4</formula>
    </cfRule>
  </conditionalFormatting>
  <conditionalFormatting sqref="C83">
    <cfRule type="expression" dxfId="555" priority="54">
      <formula>kvartal &lt; 4</formula>
    </cfRule>
  </conditionalFormatting>
  <conditionalFormatting sqref="B90">
    <cfRule type="expression" dxfId="554" priority="53">
      <formula>kvartal &lt; 4</formula>
    </cfRule>
  </conditionalFormatting>
  <conditionalFormatting sqref="C90">
    <cfRule type="expression" dxfId="553" priority="52">
      <formula>kvartal &lt; 4</formula>
    </cfRule>
  </conditionalFormatting>
  <conditionalFormatting sqref="B93">
    <cfRule type="expression" dxfId="552" priority="51">
      <formula>kvartal &lt; 4</formula>
    </cfRule>
  </conditionalFormatting>
  <conditionalFormatting sqref="C93">
    <cfRule type="expression" dxfId="551" priority="50">
      <formula>kvartal &lt; 4</formula>
    </cfRule>
  </conditionalFormatting>
  <conditionalFormatting sqref="B101">
    <cfRule type="expression" dxfId="550" priority="49">
      <formula>kvartal &lt; 4</formula>
    </cfRule>
  </conditionalFormatting>
  <conditionalFormatting sqref="C101">
    <cfRule type="expression" dxfId="549" priority="48">
      <formula>kvartal &lt; 4</formula>
    </cfRule>
  </conditionalFormatting>
  <conditionalFormatting sqref="B104">
    <cfRule type="expression" dxfId="548" priority="47">
      <formula>kvartal &lt; 4</formula>
    </cfRule>
  </conditionalFormatting>
  <conditionalFormatting sqref="C104">
    <cfRule type="expression" dxfId="547" priority="46">
      <formula>kvartal &lt; 4</formula>
    </cfRule>
  </conditionalFormatting>
  <conditionalFormatting sqref="B115">
    <cfRule type="expression" dxfId="546" priority="45">
      <formula>kvartal &lt; 4</formula>
    </cfRule>
  </conditionalFormatting>
  <conditionalFormatting sqref="C115">
    <cfRule type="expression" dxfId="545" priority="44">
      <formula>kvartal &lt; 4</formula>
    </cfRule>
  </conditionalFormatting>
  <conditionalFormatting sqref="B123">
    <cfRule type="expression" dxfId="544" priority="43">
      <formula>kvartal &lt; 4</formula>
    </cfRule>
  </conditionalFormatting>
  <conditionalFormatting sqref="C123">
    <cfRule type="expression" dxfId="543" priority="42">
      <formula>kvartal &lt; 4</formula>
    </cfRule>
  </conditionalFormatting>
  <conditionalFormatting sqref="F70">
    <cfRule type="expression" dxfId="542" priority="41">
      <formula>kvartal &lt; 4</formula>
    </cfRule>
  </conditionalFormatting>
  <conditionalFormatting sqref="G70">
    <cfRule type="expression" dxfId="541" priority="40">
      <formula>kvartal &lt; 4</formula>
    </cfRule>
  </conditionalFormatting>
  <conditionalFormatting sqref="F71:G71">
    <cfRule type="expression" dxfId="540" priority="39">
      <formula>kvartal &lt; 4</formula>
    </cfRule>
  </conditionalFormatting>
  <conditionalFormatting sqref="F73:G74">
    <cfRule type="expression" dxfId="539" priority="38">
      <formula>kvartal &lt; 4</formula>
    </cfRule>
  </conditionalFormatting>
  <conditionalFormatting sqref="F81:G82">
    <cfRule type="expression" dxfId="538" priority="37">
      <formula>kvartal &lt; 4</formula>
    </cfRule>
  </conditionalFormatting>
  <conditionalFormatting sqref="F84:G85">
    <cfRule type="expression" dxfId="537" priority="36">
      <formula>kvartal &lt; 4</formula>
    </cfRule>
  </conditionalFormatting>
  <conditionalFormatting sqref="F91:G92">
    <cfRule type="expression" dxfId="536" priority="35">
      <formula>kvartal &lt; 4</formula>
    </cfRule>
  </conditionalFormatting>
  <conditionalFormatting sqref="F94:G95">
    <cfRule type="expression" dxfId="535" priority="34">
      <formula>kvartal &lt; 4</formula>
    </cfRule>
  </conditionalFormatting>
  <conditionalFormatting sqref="F102:G103">
    <cfRule type="expression" dxfId="534" priority="33">
      <formula>kvartal &lt; 4</formula>
    </cfRule>
  </conditionalFormatting>
  <conditionalFormatting sqref="F105:G106">
    <cfRule type="expression" dxfId="533" priority="32">
      <formula>kvartal &lt; 4</formula>
    </cfRule>
  </conditionalFormatting>
  <conditionalFormatting sqref="F115">
    <cfRule type="expression" dxfId="532" priority="31">
      <formula>kvartal &lt; 4</formula>
    </cfRule>
  </conditionalFormatting>
  <conditionalFormatting sqref="G115">
    <cfRule type="expression" dxfId="531" priority="30">
      <formula>kvartal &lt; 4</formula>
    </cfRule>
  </conditionalFormatting>
  <conditionalFormatting sqref="F123:G123">
    <cfRule type="expression" dxfId="530" priority="29">
      <formula>kvartal &lt; 4</formula>
    </cfRule>
  </conditionalFormatting>
  <conditionalFormatting sqref="F69:G69">
    <cfRule type="expression" dxfId="529" priority="28">
      <formula>kvartal &lt; 4</formula>
    </cfRule>
  </conditionalFormatting>
  <conditionalFormatting sqref="F72:G72">
    <cfRule type="expression" dxfId="528" priority="27">
      <formula>kvartal &lt; 4</formula>
    </cfRule>
  </conditionalFormatting>
  <conditionalFormatting sqref="F80:G80">
    <cfRule type="expression" dxfId="527" priority="26">
      <formula>kvartal &lt; 4</formula>
    </cfRule>
  </conditionalFormatting>
  <conditionalFormatting sqref="F83:G83">
    <cfRule type="expression" dxfId="526" priority="25">
      <formula>kvartal &lt; 4</formula>
    </cfRule>
  </conditionalFormatting>
  <conditionalFormatting sqref="F90:G90">
    <cfRule type="expression" dxfId="525" priority="24">
      <formula>kvartal &lt; 4</formula>
    </cfRule>
  </conditionalFormatting>
  <conditionalFormatting sqref="F93">
    <cfRule type="expression" dxfId="524" priority="23">
      <formula>kvartal &lt; 4</formula>
    </cfRule>
  </conditionalFormatting>
  <conditionalFormatting sqref="G93">
    <cfRule type="expression" dxfId="523" priority="22">
      <formula>kvartal &lt; 4</formula>
    </cfRule>
  </conditionalFormatting>
  <conditionalFormatting sqref="F101">
    <cfRule type="expression" dxfId="522" priority="21">
      <formula>kvartal &lt; 4</formula>
    </cfRule>
  </conditionalFormatting>
  <conditionalFormatting sqref="G101">
    <cfRule type="expression" dxfId="521" priority="20">
      <formula>kvartal &lt; 4</formula>
    </cfRule>
  </conditionalFormatting>
  <conditionalFormatting sqref="G104">
    <cfRule type="expression" dxfId="520" priority="19">
      <formula>kvartal &lt; 4</formula>
    </cfRule>
  </conditionalFormatting>
  <conditionalFormatting sqref="F104">
    <cfRule type="expression" dxfId="519" priority="18">
      <formula>kvartal &lt; 4</formula>
    </cfRule>
  </conditionalFormatting>
  <conditionalFormatting sqref="J69:K73">
    <cfRule type="expression" dxfId="518" priority="17">
      <formula>kvartal &lt; 4</formula>
    </cfRule>
  </conditionalFormatting>
  <conditionalFormatting sqref="J74:K74">
    <cfRule type="expression" dxfId="517" priority="16">
      <formula>kvartal &lt; 4</formula>
    </cfRule>
  </conditionalFormatting>
  <conditionalFormatting sqref="J80:K85">
    <cfRule type="expression" dxfId="516" priority="15">
      <formula>kvartal &lt; 4</formula>
    </cfRule>
  </conditionalFormatting>
  <conditionalFormatting sqref="J90:K95">
    <cfRule type="expression" dxfId="515" priority="14">
      <formula>kvartal &lt; 4</formula>
    </cfRule>
  </conditionalFormatting>
  <conditionalFormatting sqref="J101:K106">
    <cfRule type="expression" dxfId="514" priority="13">
      <formula>kvartal &lt; 4</formula>
    </cfRule>
  </conditionalFormatting>
  <conditionalFormatting sqref="J115:K115">
    <cfRule type="expression" dxfId="513" priority="12">
      <formula>kvartal &lt; 4</formula>
    </cfRule>
  </conditionalFormatting>
  <conditionalFormatting sqref="J123:K123">
    <cfRule type="expression" dxfId="512" priority="11">
      <formula>kvartal &lt; 4</formula>
    </cfRule>
  </conditionalFormatting>
  <conditionalFormatting sqref="A50:A52">
    <cfRule type="expression" dxfId="511" priority="8">
      <formula>kvartal &lt; 4</formula>
    </cfRule>
  </conditionalFormatting>
  <conditionalFormatting sqref="A69:A74">
    <cfRule type="expression" dxfId="510" priority="7">
      <formula>kvartal &lt; 4</formula>
    </cfRule>
  </conditionalFormatting>
  <conditionalFormatting sqref="A80:A85">
    <cfRule type="expression" dxfId="509" priority="6">
      <formula>kvartal &lt; 4</formula>
    </cfRule>
  </conditionalFormatting>
  <conditionalFormatting sqref="A90:A95">
    <cfRule type="expression" dxfId="508" priority="5">
      <formula>kvartal &lt; 4</formula>
    </cfRule>
  </conditionalFormatting>
  <conditionalFormatting sqref="A101:A106">
    <cfRule type="expression" dxfId="507" priority="4">
      <formula>kvartal &lt; 4</formula>
    </cfRule>
  </conditionalFormatting>
  <conditionalFormatting sqref="A115">
    <cfRule type="expression" dxfId="506" priority="3">
      <formula>kvartal &lt; 4</formula>
    </cfRule>
  </conditionalFormatting>
  <conditionalFormatting sqref="A123">
    <cfRule type="expression" dxfId="505" priority="2">
      <formula>kvartal &lt; 4</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121</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v>1211.8048899999999</v>
      </c>
      <c r="C7" s="292">
        <v>1070.1621700000001</v>
      </c>
      <c r="D7" s="334">
        <f>IF(B7=0, "    ---- ", IF(ABS(ROUND(100/B7*C7-100,1))&lt;999,ROUND(100/B7*C7-100,1),IF(ROUND(100/B7*C7-100,1)&gt;999,999,-999)))</f>
        <v>-11.7</v>
      </c>
      <c r="E7" s="11">
        <f>IFERROR(100/'Skjema total MA'!C7*C7,0)</f>
        <v>5.5848677828599098E-2</v>
      </c>
      <c r="F7" s="291">
        <v>167381.53956</v>
      </c>
      <c r="G7" s="292">
        <v>189812.77585000001</v>
      </c>
      <c r="H7" s="334">
        <f>IF(F7=0, "    ---- ", IF(ABS(ROUND(100/F7*G7-100,1))&lt;999,ROUND(100/F7*G7-100,1),IF(ROUND(100/F7*G7-100,1)&gt;999,999,-999)))</f>
        <v>13.4</v>
      </c>
      <c r="I7" s="144">
        <f>IFERROR(100/'Skjema total MA'!F7*G7,0)</f>
        <v>4.850525282008606</v>
      </c>
      <c r="J7" s="293">
        <f t="shared" ref="J7:K12" si="0">SUM(B7,F7)</f>
        <v>168593.34445</v>
      </c>
      <c r="K7" s="294">
        <f t="shared" si="0"/>
        <v>190882.93802</v>
      </c>
      <c r="L7" s="404">
        <f>IF(J7=0, "    ---- ", IF(ABS(ROUND(100/J7*K7-100,1))&lt;999,ROUND(100/J7*K7-100,1),IF(ROUND(100/J7*K7-100,1)&gt;999,999,-999)))</f>
        <v>13.2</v>
      </c>
      <c r="M7" s="11">
        <f>IFERROR(100/'Skjema total MA'!I7*K7,0)</f>
        <v>3.2744737320742843</v>
      </c>
    </row>
    <row r="8" spans="1:14" ht="15.75" x14ac:dyDescent="0.2">
      <c r="A8" s="21" t="s">
        <v>25</v>
      </c>
      <c r="B8" s="266">
        <v>1167.0750499999999</v>
      </c>
      <c r="C8" s="267">
        <v>1069.69614</v>
      </c>
      <c r="D8" s="150">
        <f t="shared" ref="D8:D10" si="1">IF(B8=0, "    ---- ", IF(ABS(ROUND(100/B8*C8-100,1))&lt;999,ROUND(100/B8*C8-100,1),IF(ROUND(100/B8*C8-100,1)&gt;999,999,-999)))</f>
        <v>-8.3000000000000007</v>
      </c>
      <c r="E8" s="27">
        <f>IFERROR(100/'Skjema total MA'!C8*C8,0)</f>
        <v>8.2679819711437036E-2</v>
      </c>
      <c r="F8" s="270"/>
      <c r="G8" s="271"/>
      <c r="H8" s="150"/>
      <c r="I8" s="160"/>
      <c r="J8" s="217">
        <f t="shared" si="0"/>
        <v>1167.0750499999999</v>
      </c>
      <c r="K8" s="272">
        <f t="shared" si="0"/>
        <v>1069.69614</v>
      </c>
      <c r="L8" s="150">
        <f t="shared" ref="L8:L9" si="2">IF(J8=0, "    ---- ", IF(ABS(ROUND(100/J8*K8-100,1))&lt;999,ROUND(100/J8*K8-100,1),IF(ROUND(100/J8*K8-100,1)&gt;999,999,-999)))</f>
        <v>-8.3000000000000007</v>
      </c>
      <c r="M8" s="27">
        <f>IFERROR(100/'Skjema total MA'!I8*K8,0)</f>
        <v>8.2679819711437036E-2</v>
      </c>
    </row>
    <row r="9" spans="1:14" ht="15.75" x14ac:dyDescent="0.2">
      <c r="A9" s="21" t="s">
        <v>24</v>
      </c>
      <c r="B9" s="266">
        <v>465.40064000000001</v>
      </c>
      <c r="C9" s="267">
        <v>411.47877</v>
      </c>
      <c r="D9" s="150">
        <f t="shared" si="1"/>
        <v>-11.6</v>
      </c>
      <c r="E9" s="27">
        <f>IFERROR(100/'Skjema total MA'!C9*C9,0)</f>
        <v>9.6219145639282883E-2</v>
      </c>
      <c r="F9" s="270"/>
      <c r="G9" s="271"/>
      <c r="H9" s="150"/>
      <c r="I9" s="160"/>
      <c r="J9" s="217">
        <f t="shared" si="0"/>
        <v>465.40064000000001</v>
      </c>
      <c r="K9" s="272">
        <f t="shared" si="0"/>
        <v>411.47877</v>
      </c>
      <c r="L9" s="150">
        <f t="shared" si="2"/>
        <v>-11.6</v>
      </c>
      <c r="M9" s="27">
        <f>IFERROR(100/'Skjema total MA'!I9*K9,0)</f>
        <v>9.6219145639282883E-2</v>
      </c>
    </row>
    <row r="10" spans="1:14" ht="15.75" x14ac:dyDescent="0.2">
      <c r="A10" s="13" t="s">
        <v>321</v>
      </c>
      <c r="B10" s="295">
        <v>333851.85872000002</v>
      </c>
      <c r="C10" s="296">
        <v>322318.71309999999</v>
      </c>
      <c r="D10" s="155">
        <f t="shared" si="1"/>
        <v>-3.5</v>
      </c>
      <c r="E10" s="11">
        <f>IFERROR(100/'Skjema total MA'!C10*C10,0)</f>
        <v>2.3823063019629949</v>
      </c>
      <c r="F10" s="295">
        <v>4611101.5446800003</v>
      </c>
      <c r="G10" s="296">
        <v>5774288.4236700004</v>
      </c>
      <c r="H10" s="155">
        <f t="shared" ref="H10:H12" si="3">IF(F10=0, "    ---- ", IF(ABS(ROUND(100/F10*G10-100,1))&lt;999,ROUND(100/F10*G10-100,1),IF(ROUND(100/F10*G10-100,1)&gt;999,999,-999)))</f>
        <v>25.2</v>
      </c>
      <c r="I10" s="144">
        <f>IFERROR(100/'Skjema total MA'!F10*G10,0)</f>
        <v>6.396387959336316</v>
      </c>
      <c r="J10" s="293">
        <f t="shared" si="0"/>
        <v>4944953.4034000002</v>
      </c>
      <c r="K10" s="294">
        <f t="shared" si="0"/>
        <v>6096607.1367700007</v>
      </c>
      <c r="L10" s="405">
        <f t="shared" ref="L10:L12" si="4">IF(J10=0, "    ---- ", IF(ABS(ROUND(100/J10*K10-100,1))&lt;999,ROUND(100/J10*K10-100,1),IF(ROUND(100/J10*K10-100,1)&gt;999,999,-999)))</f>
        <v>23.3</v>
      </c>
      <c r="M10" s="11">
        <f>IFERROR(100/'Skjema total MA'!I10*K10,0)</f>
        <v>5.8731967222441961</v>
      </c>
    </row>
    <row r="11" spans="1:14" s="43" customFormat="1" ht="15.75" x14ac:dyDescent="0.2">
      <c r="A11" s="13" t="s">
        <v>322</v>
      </c>
      <c r="B11" s="295"/>
      <c r="C11" s="296"/>
      <c r="D11" s="155"/>
      <c r="E11" s="11"/>
      <c r="F11" s="295">
        <v>8742.2153600000001</v>
      </c>
      <c r="G11" s="296">
        <v>17288.039499999999</v>
      </c>
      <c r="H11" s="155">
        <f t="shared" si="3"/>
        <v>97.8</v>
      </c>
      <c r="I11" s="144">
        <f>IFERROR(100/'Skjema total MA'!F11*G11,0)</f>
        <v>16.557554120422061</v>
      </c>
      <c r="J11" s="293">
        <f t="shared" si="0"/>
        <v>8742.2153600000001</v>
      </c>
      <c r="K11" s="294">
        <f t="shared" si="0"/>
        <v>17288.039499999999</v>
      </c>
      <c r="L11" s="405">
        <f t="shared" si="4"/>
        <v>97.8</v>
      </c>
      <c r="M11" s="11">
        <f>IFERROR(100/'Skjema total MA'!I11*K11,0)</f>
        <v>16.557554120422061</v>
      </c>
      <c r="N11" s="127"/>
    </row>
    <row r="12" spans="1:14" s="43" customFormat="1" ht="15.75" x14ac:dyDescent="0.2">
      <c r="A12" s="41" t="s">
        <v>323</v>
      </c>
      <c r="B12" s="297"/>
      <c r="C12" s="298"/>
      <c r="D12" s="153"/>
      <c r="E12" s="36"/>
      <c r="F12" s="297">
        <v>2947.9393</v>
      </c>
      <c r="G12" s="298">
        <v>14152.44558</v>
      </c>
      <c r="H12" s="153">
        <f t="shared" si="3"/>
        <v>380.1</v>
      </c>
      <c r="I12" s="153">
        <f>IFERROR(100/'Skjema total MA'!F12*G12,0)</f>
        <v>13.225239243201376</v>
      </c>
      <c r="J12" s="299">
        <f t="shared" si="0"/>
        <v>2947.9393</v>
      </c>
      <c r="K12" s="300">
        <f t="shared" si="0"/>
        <v>14152.44558</v>
      </c>
      <c r="L12" s="406">
        <f t="shared" si="4"/>
        <v>380.1</v>
      </c>
      <c r="M12" s="36">
        <f>IFERROR(100/'Skjema total MA'!I12*K12,0)</f>
        <v>13.225239243201376</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1091.38564</v>
      </c>
      <c r="C22" s="295">
        <v>946.09915000000001</v>
      </c>
      <c r="D22" s="334">
        <f t="shared" ref="D22:D31" si="5">IF(B22=0, "    ---- ", IF(ABS(ROUND(100/B22*C22-100,1))&lt;999,ROUND(100/B22*C22-100,1),IF(ROUND(100/B22*C22-100,1)&gt;999,999,-999)))</f>
        <v>-13.3</v>
      </c>
      <c r="E22" s="11">
        <f>IFERROR(100/'Skjema total MA'!C22*C22,0)</f>
        <v>0.10704491008819608</v>
      </c>
      <c r="F22" s="303">
        <v>82694.543510000003</v>
      </c>
      <c r="G22" s="303">
        <v>91953.556960000002</v>
      </c>
      <c r="H22" s="334">
        <f t="shared" ref="H22:H35" si="6">IF(F22=0, "    ---- ", IF(ABS(ROUND(100/F22*G22-100,1))&lt;999,ROUND(100/F22*G22-100,1),IF(ROUND(100/F22*G22-100,1)&gt;999,999,-999)))</f>
        <v>11.2</v>
      </c>
      <c r="I22" s="11">
        <f>IFERROR(100/'Skjema total MA'!F22*G22,0)</f>
        <v>36.170597295506909</v>
      </c>
      <c r="J22" s="301">
        <f t="shared" ref="J22:K35" si="7">SUM(B22,F22)</f>
        <v>83785.929149999996</v>
      </c>
      <c r="K22" s="301">
        <f t="shared" si="7"/>
        <v>92899.656109999996</v>
      </c>
      <c r="L22" s="404">
        <f t="shared" ref="L22:L35" si="8">IF(J22=0, "    ---- ", IF(ABS(ROUND(100/J22*K22-100,1))&lt;999,ROUND(100/J22*K22-100,1),IF(ROUND(100/J22*K22-100,1)&gt;999,999,-999)))</f>
        <v>10.9</v>
      </c>
      <c r="M22" s="24">
        <f>IFERROR(100/'Skjema total MA'!I22*K22,0)</f>
        <v>8.163014970357592</v>
      </c>
    </row>
    <row r="23" spans="1:14" ht="15.75" x14ac:dyDescent="0.2">
      <c r="A23" s="454" t="s">
        <v>324</v>
      </c>
      <c r="B23" s="266">
        <v>1090.4322500000001</v>
      </c>
      <c r="C23" s="266">
        <v>945.15134</v>
      </c>
      <c r="D23" s="150">
        <f t="shared" si="5"/>
        <v>-13.3</v>
      </c>
      <c r="E23" s="11">
        <f>IFERROR(100/'Skjema total MA'!C23*C23,0)</f>
        <v>0.14871603840718314</v>
      </c>
      <c r="F23" s="275">
        <v>1876.0809999999999</v>
      </c>
      <c r="G23" s="275">
        <v>1323.6502599999999</v>
      </c>
      <c r="H23" s="150">
        <f t="shared" si="6"/>
        <v>-29.4</v>
      </c>
      <c r="I23" s="394">
        <f>IFERROR(100/'Skjema total MA'!F23*G23,0)</f>
        <v>7.399837262871257</v>
      </c>
      <c r="J23" s="275">
        <f t="shared" ref="J23:J26" si="9">SUM(B23,F23)</f>
        <v>2966.51325</v>
      </c>
      <c r="K23" s="275">
        <f t="shared" ref="K23:K26" si="10">SUM(C23,G23)</f>
        <v>2268.8015999999998</v>
      </c>
      <c r="L23" s="150">
        <f t="shared" si="8"/>
        <v>-23.5</v>
      </c>
      <c r="M23" s="23">
        <f>IFERROR(100/'Skjema total MA'!I23*K23,0)</f>
        <v>0.34721496377582312</v>
      </c>
    </row>
    <row r="24" spans="1:14" ht="15.75" x14ac:dyDescent="0.2">
      <c r="A24" s="454" t="s">
        <v>325</v>
      </c>
      <c r="B24" s="266">
        <v>0.95338999999999996</v>
      </c>
      <c r="C24" s="266">
        <v>0.94781000000000004</v>
      </c>
      <c r="D24" s="150">
        <f t="shared" si="5"/>
        <v>-0.6</v>
      </c>
      <c r="E24" s="11">
        <f>IFERROR(100/'Skjema total MA'!C24*C24,0)</f>
        <v>3.0816121462550389E-2</v>
      </c>
      <c r="F24" s="275"/>
      <c r="G24" s="275"/>
      <c r="H24" s="150"/>
      <c r="I24" s="394"/>
      <c r="J24" s="275">
        <f t="shared" si="9"/>
        <v>0.95338999999999996</v>
      </c>
      <c r="K24" s="275">
        <f t="shared" si="10"/>
        <v>0.94781000000000004</v>
      </c>
      <c r="L24" s="150">
        <f t="shared" si="8"/>
        <v>-0.6</v>
      </c>
      <c r="M24" s="23">
        <f>IFERROR(100/'Skjema total MA'!I24*K24,0)</f>
        <v>2.4141996795266948E-2</v>
      </c>
    </row>
    <row r="25" spans="1:14" ht="15.75" x14ac:dyDescent="0.2">
      <c r="A25" s="454" t="s">
        <v>326</v>
      </c>
      <c r="B25" s="266"/>
      <c r="C25" s="266"/>
      <c r="D25" s="150"/>
      <c r="E25" s="11"/>
      <c r="F25" s="275">
        <v>1652.0957100000001</v>
      </c>
      <c r="G25" s="275">
        <v>1194.2044599999999</v>
      </c>
      <c r="H25" s="150">
        <f t="shared" si="6"/>
        <v>-27.7</v>
      </c>
      <c r="I25" s="394">
        <f>IFERROR(100/'Skjema total MA'!F25*G25,0)</f>
        <v>34.484145118755002</v>
      </c>
      <c r="J25" s="275">
        <f t="shared" si="9"/>
        <v>1652.0957100000001</v>
      </c>
      <c r="K25" s="275">
        <f t="shared" si="10"/>
        <v>1194.2044599999999</v>
      </c>
      <c r="L25" s="150">
        <f t="shared" si="8"/>
        <v>-27.7</v>
      </c>
      <c r="M25" s="23">
        <f>IFERROR(100/'Skjema total MA'!I25*K25,0)</f>
        <v>13.957474742287433</v>
      </c>
    </row>
    <row r="26" spans="1:14" ht="15.75" x14ac:dyDescent="0.2">
      <c r="A26" s="454" t="s">
        <v>327</v>
      </c>
      <c r="B26" s="266"/>
      <c r="C26" s="266"/>
      <c r="D26" s="150"/>
      <c r="E26" s="11"/>
      <c r="F26" s="275">
        <v>79166.366800000003</v>
      </c>
      <c r="G26" s="275">
        <v>89435.702239999999</v>
      </c>
      <c r="H26" s="150">
        <f t="shared" si="6"/>
        <v>13</v>
      </c>
      <c r="I26" s="394">
        <f>IFERROR(100/'Skjema total MA'!F26*G26,0)</f>
        <v>38.546392579066442</v>
      </c>
      <c r="J26" s="275">
        <f t="shared" si="9"/>
        <v>79166.366800000003</v>
      </c>
      <c r="K26" s="275">
        <f t="shared" si="10"/>
        <v>89435.702239999999</v>
      </c>
      <c r="L26" s="150">
        <f t="shared" si="8"/>
        <v>13</v>
      </c>
      <c r="M26" s="23">
        <f>IFERROR(100/'Skjema total MA'!I26*K26,0)</f>
        <v>38.546392579066442</v>
      </c>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v>2408083.1448499998</v>
      </c>
      <c r="C29" s="219">
        <v>2557927.2523099999</v>
      </c>
      <c r="D29" s="155">
        <f t="shared" si="5"/>
        <v>6.2</v>
      </c>
      <c r="E29" s="11">
        <f>IFERROR(100/'Skjema total MA'!C29*C29,0)</f>
        <v>5.8110111031629739</v>
      </c>
      <c r="F29" s="293">
        <v>4013660.5394799998</v>
      </c>
      <c r="G29" s="293">
        <v>4796516.85953</v>
      </c>
      <c r="H29" s="155">
        <f t="shared" si="6"/>
        <v>19.5</v>
      </c>
      <c r="I29" s="11">
        <f>IFERROR(100/'Skjema total MA'!F29*G29,0)</f>
        <v>17.068888802993303</v>
      </c>
      <c r="J29" s="219">
        <f t="shared" si="7"/>
        <v>6421743.6843299996</v>
      </c>
      <c r="K29" s="219">
        <f t="shared" si="7"/>
        <v>7354444.1118400004</v>
      </c>
      <c r="L29" s="405">
        <f t="shared" si="8"/>
        <v>14.5</v>
      </c>
      <c r="M29" s="24">
        <f>IFERROR(100/'Skjema total MA'!I29*K29,0)</f>
        <v>10.19757231952558</v>
      </c>
      <c r="N29" s="132"/>
    </row>
    <row r="30" spans="1:14" s="3" customFormat="1" ht="15.75" x14ac:dyDescent="0.2">
      <c r="A30" s="454" t="s">
        <v>324</v>
      </c>
      <c r="B30" s="266">
        <v>1381498.1038124401</v>
      </c>
      <c r="C30" s="266">
        <v>1467462.4737579599</v>
      </c>
      <c r="D30" s="150">
        <f t="shared" si="5"/>
        <v>6.2</v>
      </c>
      <c r="E30" s="11">
        <f>IFERROR(100/'Skjema total MA'!C30*C30,0)</f>
        <v>8.2072196246604143</v>
      </c>
      <c r="F30" s="275">
        <v>617929.53453999897</v>
      </c>
      <c r="G30" s="275">
        <v>653323.94098999898</v>
      </c>
      <c r="H30" s="150">
        <f t="shared" si="6"/>
        <v>5.7</v>
      </c>
      <c r="I30" s="394">
        <f>IFERROR(100/'Skjema total MA'!F30*G30,0)</f>
        <v>17.30360802798862</v>
      </c>
      <c r="J30" s="275">
        <f t="shared" ref="J30:J33" si="11">SUM(B30,F30)</f>
        <v>1999427.638352439</v>
      </c>
      <c r="K30" s="275">
        <f t="shared" ref="K30:K33" si="12">SUM(C30,G30)</f>
        <v>2120786.414747959</v>
      </c>
      <c r="L30" s="150">
        <f t="shared" si="8"/>
        <v>6.1</v>
      </c>
      <c r="M30" s="23">
        <f>IFERROR(100/'Skjema total MA'!I30*K30,0)</f>
        <v>9.7931598345046016</v>
      </c>
      <c r="N30" s="132"/>
    </row>
    <row r="31" spans="1:14" s="3" customFormat="1" ht="15.75" x14ac:dyDescent="0.2">
      <c r="A31" s="454" t="s">
        <v>325</v>
      </c>
      <c r="B31" s="266">
        <v>1026585.04103756</v>
      </c>
      <c r="C31" s="266">
        <v>1090464.77855204</v>
      </c>
      <c r="D31" s="150">
        <f t="shared" si="5"/>
        <v>6.2</v>
      </c>
      <c r="E31" s="11">
        <f>IFERROR(100/'Skjema total MA'!C31*C31,0)</f>
        <v>4.5870411934482158</v>
      </c>
      <c r="F31" s="275">
        <v>815822.48998999898</v>
      </c>
      <c r="G31" s="275">
        <v>827980.61554999999</v>
      </c>
      <c r="H31" s="150">
        <f t="shared" si="6"/>
        <v>1.5</v>
      </c>
      <c r="I31" s="394">
        <f>IFERROR(100/'Skjema total MA'!F31*G31,0)</f>
        <v>10.583110993378469</v>
      </c>
      <c r="J31" s="275">
        <f t="shared" si="11"/>
        <v>1842407.531027559</v>
      </c>
      <c r="K31" s="275">
        <f t="shared" si="12"/>
        <v>1918445.39410204</v>
      </c>
      <c r="L31" s="150">
        <f t="shared" si="8"/>
        <v>4.0999999999999996</v>
      </c>
      <c r="M31" s="23">
        <f>IFERROR(100/'Skjema total MA'!I31*K31,0)</f>
        <v>6.0717348542583132</v>
      </c>
      <c r="N31" s="132"/>
    </row>
    <row r="32" spans="1:14" ht="15.75" x14ac:dyDescent="0.2">
      <c r="A32" s="454" t="s">
        <v>326</v>
      </c>
      <c r="B32" s="266"/>
      <c r="C32" s="266"/>
      <c r="D32" s="150"/>
      <c r="E32" s="11"/>
      <c r="F32" s="275">
        <v>566281.74129000003</v>
      </c>
      <c r="G32" s="275">
        <v>661264.71502999996</v>
      </c>
      <c r="H32" s="150">
        <f t="shared" si="6"/>
        <v>16.8</v>
      </c>
      <c r="I32" s="394">
        <f>IFERROR(100/'Skjema total MA'!F32*G32,0)</f>
        <v>10.454654697546156</v>
      </c>
      <c r="J32" s="275">
        <f t="shared" si="11"/>
        <v>566281.74129000003</v>
      </c>
      <c r="K32" s="275">
        <f t="shared" si="12"/>
        <v>661264.71502999996</v>
      </c>
      <c r="L32" s="150">
        <f t="shared" si="8"/>
        <v>16.8</v>
      </c>
      <c r="M32" s="23">
        <f>IFERROR(100/'Skjema total MA'!I32*K32,0)</f>
        <v>7.7138661374161703</v>
      </c>
    </row>
    <row r="33" spans="1:14" ht="15.75" x14ac:dyDescent="0.2">
      <c r="A33" s="454" t="s">
        <v>327</v>
      </c>
      <c r="B33" s="266"/>
      <c r="C33" s="266"/>
      <c r="D33" s="150"/>
      <c r="E33" s="11"/>
      <c r="F33" s="275">
        <v>2013626.7736599999</v>
      </c>
      <c r="G33" s="275">
        <v>2653947.5879600001</v>
      </c>
      <c r="H33" s="150">
        <f t="shared" si="6"/>
        <v>31.8</v>
      </c>
      <c r="I33" s="394">
        <f>IFERROR(100/'Skjema total MA'!F33*G33,0)</f>
        <v>26.07891519002014</v>
      </c>
      <c r="J33" s="275">
        <f t="shared" si="11"/>
        <v>2013626.7736599999</v>
      </c>
      <c r="K33" s="275">
        <f t="shared" si="12"/>
        <v>2653947.5879600001</v>
      </c>
      <c r="L33" s="150">
        <f t="shared" si="8"/>
        <v>31.8</v>
      </c>
      <c r="M33" s="23">
        <f>IFERROR(100/'Skjema total MA'!I33*K33,0)</f>
        <v>26.07891519002014</v>
      </c>
    </row>
    <row r="34" spans="1:14" ht="15.75" x14ac:dyDescent="0.2">
      <c r="A34" s="13" t="s">
        <v>322</v>
      </c>
      <c r="B34" s="219"/>
      <c r="C34" s="294"/>
      <c r="D34" s="155"/>
      <c r="E34" s="11"/>
      <c r="F34" s="293">
        <v>10412.29839</v>
      </c>
      <c r="G34" s="294">
        <v>18010.218659999999</v>
      </c>
      <c r="H34" s="155">
        <f t="shared" si="6"/>
        <v>73</v>
      </c>
      <c r="I34" s="11">
        <f>IFERROR(100/'Skjema total MA'!F34*G34,0)</f>
        <v>-179.52634865563314</v>
      </c>
      <c r="J34" s="219">
        <f t="shared" si="7"/>
        <v>10412.29839</v>
      </c>
      <c r="K34" s="219">
        <f t="shared" si="7"/>
        <v>18010.218659999999</v>
      </c>
      <c r="L34" s="405">
        <f t="shared" si="8"/>
        <v>73</v>
      </c>
      <c r="M34" s="24">
        <f>IFERROR(100/'Skjema total MA'!I34*K34,0)</f>
        <v>-382.30842154729498</v>
      </c>
    </row>
    <row r="35" spans="1:14" ht="15.75" x14ac:dyDescent="0.2">
      <c r="A35" s="13" t="s">
        <v>323</v>
      </c>
      <c r="B35" s="219"/>
      <c r="C35" s="294"/>
      <c r="D35" s="155"/>
      <c r="E35" s="11"/>
      <c r="F35" s="293">
        <v>3493.9291899999998</v>
      </c>
      <c r="G35" s="294">
        <v>10109.09734</v>
      </c>
      <c r="H35" s="155">
        <f t="shared" si="6"/>
        <v>189.3</v>
      </c>
      <c r="I35" s="11">
        <f>IFERROR(100/'Skjema total MA'!F35*G35,0)</f>
        <v>17.17139939362351</v>
      </c>
      <c r="J35" s="219">
        <f t="shared" si="7"/>
        <v>3493.9291899999998</v>
      </c>
      <c r="K35" s="219">
        <f t="shared" si="7"/>
        <v>10109.09734</v>
      </c>
      <c r="L35" s="405">
        <f t="shared" si="8"/>
        <v>189.3</v>
      </c>
      <c r="M35" s="24">
        <f>IFERROR(100/'Skjema total MA'!I35*K35,0)</f>
        <v>774.95662806762118</v>
      </c>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c r="D47" s="404"/>
      <c r="E47" s="11"/>
      <c r="F47" s="129"/>
      <c r="G47" s="33"/>
      <c r="H47" s="143"/>
      <c r="I47" s="143"/>
      <c r="J47" s="37"/>
      <c r="K47" s="37"/>
      <c r="L47" s="143"/>
      <c r="M47" s="143"/>
      <c r="N47" s="132"/>
    </row>
    <row r="48" spans="1:14" s="3" customFormat="1" ht="15.75" x14ac:dyDescent="0.2">
      <c r="A48" s="38" t="s">
        <v>332</v>
      </c>
      <c r="B48" s="266"/>
      <c r="C48" s="267"/>
      <c r="D48" s="242"/>
      <c r="E48" s="27"/>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267323.67976000003</v>
      </c>
      <c r="C66" s="337">
        <v>280524.96312999999</v>
      </c>
      <c r="D66" s="334">
        <f t="shared" ref="D66:D111" si="13">IF(B66=0, "    ---- ", IF(ABS(ROUND(100/B66*C66-100,1))&lt;999,ROUND(100/B66*C66-100,1),IF(ROUND(100/B66*C66-100,1)&gt;999,999,-999)))</f>
        <v>4.9000000000000004</v>
      </c>
      <c r="E66" s="11">
        <f>IFERROR(100/'Skjema total MA'!C66*C66,0)</f>
        <v>9.5108722908269048</v>
      </c>
      <c r="F66" s="336">
        <v>1476887.1033699999</v>
      </c>
      <c r="G66" s="336">
        <v>1558056.64784</v>
      </c>
      <c r="H66" s="334">
        <f t="shared" ref="H66:H111" si="14">IF(F66=0, "    ---- ", IF(ABS(ROUND(100/F66*G66-100,1))&lt;999,ROUND(100/F66*G66-100,1),IF(ROUND(100/F66*G66-100,1)&gt;999,999,-999)))</f>
        <v>5.5</v>
      </c>
      <c r="I66" s="11">
        <f>IFERROR(100/'Skjema total MA'!F66*G66,0)</f>
        <v>12.29263652117349</v>
      </c>
      <c r="J66" s="294">
        <f t="shared" ref="J66:K86" si="15">SUM(B66,F66)</f>
        <v>1744210.7831299999</v>
      </c>
      <c r="K66" s="301">
        <f t="shared" si="15"/>
        <v>1838581.61097</v>
      </c>
      <c r="L66" s="405">
        <f t="shared" ref="L66:L111" si="16">IF(J66=0, "    ---- ", IF(ABS(ROUND(100/J66*K66-100,1))&lt;999,ROUND(100/J66*K66-100,1),IF(ROUND(100/J66*K66-100,1)&gt;999,999,-999)))</f>
        <v>5.4</v>
      </c>
      <c r="M66" s="11">
        <f>IFERROR(100/'Skjema total MA'!I66*K66,0)</f>
        <v>11.767499358394828</v>
      </c>
    </row>
    <row r="67" spans="1:14" x14ac:dyDescent="0.2">
      <c r="A67" s="396" t="s">
        <v>9</v>
      </c>
      <c r="B67" s="44">
        <v>84344.433680000002</v>
      </c>
      <c r="C67" s="129">
        <v>100010.59697</v>
      </c>
      <c r="D67" s="150">
        <f t="shared" si="13"/>
        <v>18.600000000000001</v>
      </c>
      <c r="E67" s="27">
        <f>IFERROR(100/'Skjema total MA'!C67*C67,0)</f>
        <v>5.0510491310956249</v>
      </c>
      <c r="F67" s="217"/>
      <c r="G67" s="129"/>
      <c r="H67" s="150"/>
      <c r="I67" s="27"/>
      <c r="J67" s="272">
        <f t="shared" si="15"/>
        <v>84344.433680000002</v>
      </c>
      <c r="K67" s="44">
        <f t="shared" si="15"/>
        <v>100010.59697</v>
      </c>
      <c r="L67" s="242">
        <f t="shared" si="16"/>
        <v>18.600000000000001</v>
      </c>
      <c r="M67" s="27">
        <f>IFERROR(100/'Skjema total MA'!I67*K67,0)</f>
        <v>5.0510491310956249</v>
      </c>
    </row>
    <row r="68" spans="1:14" x14ac:dyDescent="0.2">
      <c r="A68" s="21" t="s">
        <v>10</v>
      </c>
      <c r="B68" s="277">
        <v>10063.69318</v>
      </c>
      <c r="C68" s="278">
        <v>9369.0630199999996</v>
      </c>
      <c r="D68" s="150">
        <f t="shared" si="13"/>
        <v>-6.9</v>
      </c>
      <c r="E68" s="27">
        <f>IFERROR(100/'Skjema total MA'!C68*C68,0)</f>
        <v>96.697307063237574</v>
      </c>
      <c r="F68" s="277">
        <v>1390633.1742199999</v>
      </c>
      <c r="G68" s="278">
        <v>1451832.23856</v>
      </c>
      <c r="H68" s="150">
        <f t="shared" si="14"/>
        <v>4.4000000000000004</v>
      </c>
      <c r="I68" s="27">
        <f>IFERROR(100/'Skjema total MA'!F68*G68,0)</f>
        <v>11.944229387309402</v>
      </c>
      <c r="J68" s="272">
        <f t="shared" si="15"/>
        <v>1400696.8673999999</v>
      </c>
      <c r="K68" s="44">
        <f t="shared" si="15"/>
        <v>1461201.30158</v>
      </c>
      <c r="L68" s="242">
        <f t="shared" si="16"/>
        <v>4.3</v>
      </c>
      <c r="M68" s="27">
        <f>IFERROR(100/'Skjema total MA'!I68*K68,0)</f>
        <v>12.011733916295897</v>
      </c>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v>106184.11001</v>
      </c>
      <c r="C75" s="129">
        <v>96351.831990000006</v>
      </c>
      <c r="D75" s="150">
        <f t="shared" si="13"/>
        <v>-9.3000000000000007</v>
      </c>
      <c r="E75" s="27">
        <f>IFERROR(100/'Skjema total MA'!C75*C75,0)</f>
        <v>56.405298107537554</v>
      </c>
      <c r="F75" s="217">
        <v>86253.929149999996</v>
      </c>
      <c r="G75" s="129">
        <v>106224.40928000001</v>
      </c>
      <c r="H75" s="150">
        <f t="shared" si="14"/>
        <v>23.2</v>
      </c>
      <c r="I75" s="27">
        <f>IFERROR(100/'Skjema total MA'!F75*G75,0)</f>
        <v>20.442646282680339</v>
      </c>
      <c r="J75" s="272">
        <f t="shared" si="15"/>
        <v>192438.03915999999</v>
      </c>
      <c r="K75" s="44">
        <f t="shared" si="15"/>
        <v>202576.24127</v>
      </c>
      <c r="L75" s="242">
        <f t="shared" si="16"/>
        <v>5.3</v>
      </c>
      <c r="M75" s="27">
        <f>IFERROR(100/'Skjema total MA'!I75*K75,0)</f>
        <v>29.340074404586989</v>
      </c>
      <c r="N75" s="132"/>
    </row>
    <row r="76" spans="1:14" s="3" customFormat="1" x14ac:dyDescent="0.2">
      <c r="A76" s="21" t="s">
        <v>307</v>
      </c>
      <c r="B76" s="217">
        <v>66731.442890000006</v>
      </c>
      <c r="C76" s="129">
        <v>74793.471149999998</v>
      </c>
      <c r="D76" s="150">
        <f t="shared" ref="D76" si="17">IF(B76=0, "    ---- ", IF(ABS(ROUND(100/B76*C76-100,1))&lt;999,ROUND(100/B76*C76-100,1),IF(ROUND(100/B76*C76-100,1)&gt;999,999,-999)))</f>
        <v>12.1</v>
      </c>
      <c r="E76" s="27">
        <f>IFERROR(100/'Skjema total MA'!C77*C76,0)</f>
        <v>3.9122215550779638</v>
      </c>
      <c r="F76" s="217"/>
      <c r="G76" s="129"/>
      <c r="H76" s="150"/>
      <c r="I76" s="27"/>
      <c r="J76" s="272">
        <f t="shared" ref="J76" si="18">SUM(B76,F76)</f>
        <v>66731.442890000006</v>
      </c>
      <c r="K76" s="44">
        <f t="shared" ref="K76" si="19">SUM(C76,G76)</f>
        <v>74793.471149999998</v>
      </c>
      <c r="L76" s="242">
        <f t="shared" ref="L76" si="20">IF(J76=0, "    ---- ", IF(ABS(ROUND(100/J76*K76-100,1))&lt;999,ROUND(100/J76*K76-100,1),IF(ROUND(100/J76*K76-100,1)&gt;999,999,-999)))</f>
        <v>12.1</v>
      </c>
      <c r="M76" s="27">
        <f>IFERROR(100/'Skjema total MA'!I77*K76,0)</f>
        <v>0.53183590074578324</v>
      </c>
      <c r="N76" s="132"/>
    </row>
    <row r="77" spans="1:14" ht="15.75" x14ac:dyDescent="0.2">
      <c r="A77" s="21" t="s">
        <v>338</v>
      </c>
      <c r="B77" s="217">
        <v>94408.126860000004</v>
      </c>
      <c r="C77" s="217">
        <v>109379.65999</v>
      </c>
      <c r="D77" s="150">
        <f t="shared" si="13"/>
        <v>15.9</v>
      </c>
      <c r="E77" s="27">
        <f>IFERROR(100/'Skjema total MA'!C77*C77,0)</f>
        <v>5.7213210848548339</v>
      </c>
      <c r="F77" s="217">
        <v>1387894.4200299999</v>
      </c>
      <c r="G77" s="129">
        <v>1449296.5205600001</v>
      </c>
      <c r="H77" s="150">
        <f t="shared" si="14"/>
        <v>4.4000000000000004</v>
      </c>
      <c r="I77" s="27">
        <f>IFERROR(100/'Skjema total MA'!F77*G77,0)</f>
        <v>11.926922638267341</v>
      </c>
      <c r="J77" s="272">
        <f t="shared" si="15"/>
        <v>1482302.5468899999</v>
      </c>
      <c r="K77" s="44">
        <f t="shared" si="15"/>
        <v>1558676.1805500002</v>
      </c>
      <c r="L77" s="242">
        <f t="shared" si="16"/>
        <v>5.2</v>
      </c>
      <c r="M77" s="27">
        <f>IFERROR(100/'Skjema total MA'!I77*K77,0)</f>
        <v>11.083319676276401</v>
      </c>
    </row>
    <row r="78" spans="1:14" x14ac:dyDescent="0.2">
      <c r="A78" s="21" t="s">
        <v>9</v>
      </c>
      <c r="B78" s="217">
        <v>84344.433680000002</v>
      </c>
      <c r="C78" s="129">
        <v>100010.59697</v>
      </c>
      <c r="D78" s="150">
        <f t="shared" si="13"/>
        <v>18.600000000000001</v>
      </c>
      <c r="E78" s="27">
        <f>IFERROR(100/'Skjema total MA'!C78*C78,0)</f>
        <v>5.2579009173028597</v>
      </c>
      <c r="F78" s="217"/>
      <c r="G78" s="129"/>
      <c r="H78" s="150"/>
      <c r="I78" s="27"/>
      <c r="J78" s="272">
        <f t="shared" si="15"/>
        <v>84344.433680000002</v>
      </c>
      <c r="K78" s="44">
        <f t="shared" si="15"/>
        <v>100010.59697</v>
      </c>
      <c r="L78" s="242">
        <f t="shared" si="16"/>
        <v>18.600000000000001</v>
      </c>
      <c r="M78" s="27">
        <f>IFERROR(100/'Skjema total MA'!I78*K78,0)</f>
        <v>5.2579009173028597</v>
      </c>
    </row>
    <row r="79" spans="1:14" x14ac:dyDescent="0.2">
      <c r="A79" s="38" t="s">
        <v>366</v>
      </c>
      <c r="B79" s="277">
        <v>10063.69318</v>
      </c>
      <c r="C79" s="278">
        <v>9369.0630199999996</v>
      </c>
      <c r="D79" s="150">
        <f t="shared" si="13"/>
        <v>-6.9</v>
      </c>
      <c r="E79" s="27">
        <f>IFERROR(100/'Skjema total MA'!C79*C79,0)</f>
        <v>96.697307063237574</v>
      </c>
      <c r="F79" s="277">
        <v>1387894.4200299999</v>
      </c>
      <c r="G79" s="278">
        <v>1449296.5205600001</v>
      </c>
      <c r="H79" s="150">
        <f t="shared" si="14"/>
        <v>4.4000000000000004</v>
      </c>
      <c r="I79" s="27">
        <f>IFERROR(100/'Skjema total MA'!F79*G79,0)</f>
        <v>11.926922638267341</v>
      </c>
      <c r="J79" s="272">
        <f t="shared" si="15"/>
        <v>1397958.1132099999</v>
      </c>
      <c r="K79" s="44">
        <f t="shared" si="15"/>
        <v>1458665.5835800001</v>
      </c>
      <c r="L79" s="242">
        <f t="shared" si="16"/>
        <v>4.3</v>
      </c>
      <c r="M79" s="27">
        <f>IFERROR(100/'Skjema total MA'!I79*K79,0)</f>
        <v>11.994461064440156</v>
      </c>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v>2738.7541900000001</v>
      </c>
      <c r="G86" s="129">
        <v>2535.7179999999998</v>
      </c>
      <c r="H86" s="150">
        <f t="shared" si="14"/>
        <v>-7.4</v>
      </c>
      <c r="I86" s="27">
        <f>IFERROR(100/'Skjema total MA'!F86*G86,0)</f>
        <v>69.996894508524917</v>
      </c>
      <c r="J86" s="272">
        <f t="shared" si="15"/>
        <v>2738.7541900000001</v>
      </c>
      <c r="K86" s="44">
        <f t="shared" si="15"/>
        <v>2535.7179999999998</v>
      </c>
      <c r="L86" s="242">
        <f t="shared" si="16"/>
        <v>-7.4</v>
      </c>
      <c r="M86" s="27">
        <f>IFERROR(100/'Skjema total MA'!I86*K86,0)</f>
        <v>3.1106073940098442</v>
      </c>
    </row>
    <row r="87" spans="1:13" ht="15.75" x14ac:dyDescent="0.2">
      <c r="A87" s="13" t="s">
        <v>321</v>
      </c>
      <c r="B87" s="337">
        <v>16682477.873040002</v>
      </c>
      <c r="C87" s="337">
        <v>19024734.855980001</v>
      </c>
      <c r="D87" s="155">
        <f t="shared" si="13"/>
        <v>14</v>
      </c>
      <c r="E87" s="11">
        <f>IFERROR(100/'Skjema total MA'!C87*C87,0)</f>
        <v>4.7173045441909789</v>
      </c>
      <c r="F87" s="336">
        <v>51788811.954029903</v>
      </c>
      <c r="G87" s="336">
        <v>64943505.915169902</v>
      </c>
      <c r="H87" s="155">
        <f t="shared" si="14"/>
        <v>25.4</v>
      </c>
      <c r="I87" s="11">
        <f>IFERROR(100/'Skjema total MA'!F87*G87,0)</f>
        <v>11.044471980344483</v>
      </c>
      <c r="J87" s="294">
        <f t="shared" ref="J87:K111" si="21">SUM(B87,F87)</f>
        <v>68471289.827069908</v>
      </c>
      <c r="K87" s="219">
        <f t="shared" si="21"/>
        <v>83968240.771149904</v>
      </c>
      <c r="L87" s="405">
        <f t="shared" si="16"/>
        <v>22.6</v>
      </c>
      <c r="M87" s="11">
        <f>IFERROR(100/'Skjema total MA'!I87*K87,0)</f>
        <v>8.4703899834367675</v>
      </c>
    </row>
    <row r="88" spans="1:13" x14ac:dyDescent="0.2">
      <c r="A88" s="21" t="s">
        <v>9</v>
      </c>
      <c r="B88" s="217">
        <v>12221243.401590001</v>
      </c>
      <c r="C88" s="129">
        <v>13617199.023490001</v>
      </c>
      <c r="D88" s="150">
        <f t="shared" si="13"/>
        <v>11.4</v>
      </c>
      <c r="E88" s="27">
        <f>IFERROR(100/'Skjema total MA'!C88*C88,0)</f>
        <v>3.5448216196563336</v>
      </c>
      <c r="F88" s="217"/>
      <c r="G88" s="129"/>
      <c r="H88" s="150"/>
      <c r="I88" s="27"/>
      <c r="J88" s="272">
        <f t="shared" si="21"/>
        <v>12221243.401590001</v>
      </c>
      <c r="K88" s="44">
        <f t="shared" si="21"/>
        <v>13617199.023490001</v>
      </c>
      <c r="L88" s="242">
        <f t="shared" si="16"/>
        <v>11.4</v>
      </c>
      <c r="M88" s="27">
        <f>IFERROR(100/'Skjema total MA'!I88*K88,0)</f>
        <v>3.5448216196563336</v>
      </c>
    </row>
    <row r="89" spans="1:13" x14ac:dyDescent="0.2">
      <c r="A89" s="21" t="s">
        <v>10</v>
      </c>
      <c r="B89" s="217">
        <v>665220.82683999999</v>
      </c>
      <c r="C89" s="129">
        <v>667486.22520999995</v>
      </c>
      <c r="D89" s="150">
        <f t="shared" si="13"/>
        <v>0.3</v>
      </c>
      <c r="E89" s="27">
        <f>IFERROR(100/'Skjema total MA'!C89*C89,0)</f>
        <v>28.508365295444381</v>
      </c>
      <c r="F89" s="217">
        <v>49877489.533229902</v>
      </c>
      <c r="G89" s="129">
        <v>62434113.053199902</v>
      </c>
      <c r="H89" s="150">
        <f t="shared" si="14"/>
        <v>25.2</v>
      </c>
      <c r="I89" s="27">
        <f>IFERROR(100/'Skjema total MA'!F89*G89,0)</f>
        <v>10.777111391863338</v>
      </c>
      <c r="J89" s="272">
        <f t="shared" si="21"/>
        <v>50542710.360069901</v>
      </c>
      <c r="K89" s="44">
        <f t="shared" si="21"/>
        <v>63101599.278409906</v>
      </c>
      <c r="L89" s="242">
        <f t="shared" si="16"/>
        <v>24.8</v>
      </c>
      <c r="M89" s="27">
        <f>IFERROR(100/'Skjema total MA'!I89*K89,0)</f>
        <v>10.848485085318579</v>
      </c>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v>2521742.9052300001</v>
      </c>
      <c r="C96" s="129">
        <v>3198734.2706900002</v>
      </c>
      <c r="D96" s="150">
        <f t="shared" si="13"/>
        <v>26.8</v>
      </c>
      <c r="E96" s="27">
        <f>IFERROR(100/'Skjema total MA'!C96*C96,0)</f>
        <v>56.664158817033581</v>
      </c>
      <c r="F96" s="217">
        <v>1911322.4208</v>
      </c>
      <c r="G96" s="129">
        <v>2509392.86197</v>
      </c>
      <c r="H96" s="150">
        <f t="shared" si="14"/>
        <v>31.3</v>
      </c>
      <c r="I96" s="27">
        <f>IFERROR(100/'Skjema total MA'!F96*G96,0)</f>
        <v>28.854205937424112</v>
      </c>
      <c r="J96" s="272">
        <f t="shared" si="21"/>
        <v>4433065.3260300001</v>
      </c>
      <c r="K96" s="44">
        <f t="shared" si="21"/>
        <v>5708127.1326599997</v>
      </c>
      <c r="L96" s="242">
        <f t="shared" si="16"/>
        <v>28.8</v>
      </c>
      <c r="M96" s="27">
        <f>IFERROR(100/'Skjema total MA'!I96*K96,0)</f>
        <v>39.800421780768637</v>
      </c>
    </row>
    <row r="97" spans="1:13" x14ac:dyDescent="0.2">
      <c r="A97" s="21" t="s">
        <v>305</v>
      </c>
      <c r="B97" s="217">
        <v>1274270.7393799999</v>
      </c>
      <c r="C97" s="129">
        <v>1541315.33659</v>
      </c>
      <c r="D97" s="150">
        <f t="shared" ref="D97" si="22">IF(B97=0, "    ---- ", IF(ABS(ROUND(100/B97*C97-100,1))&lt;999,ROUND(100/B97*C97-100,1),IF(ROUND(100/B97*C97-100,1)&gt;999,999,-999)))</f>
        <v>21</v>
      </c>
      <c r="E97" s="27">
        <f>IFERROR(100/'Skjema total MA'!C98*C97,0)</f>
        <v>0.40333291329129972</v>
      </c>
      <c r="F97" s="217"/>
      <c r="G97" s="129"/>
      <c r="H97" s="150"/>
      <c r="I97" s="27"/>
      <c r="J97" s="272">
        <f t="shared" ref="J97" si="23">SUM(B97,F97)</f>
        <v>1274270.7393799999</v>
      </c>
      <c r="K97" s="44">
        <f t="shared" ref="K97" si="24">SUM(C97,G97)</f>
        <v>1541315.33659</v>
      </c>
      <c r="L97" s="242">
        <f t="shared" ref="L97" si="25">IF(J97=0, "    ---- ", IF(ABS(ROUND(100/J97*K97-100,1))&lt;999,ROUND(100/J97*K97-100,1),IF(ROUND(100/J97*K97-100,1)&gt;999,999,-999)))</f>
        <v>21</v>
      </c>
      <c r="M97" s="27">
        <f>IFERROR(100/'Skjema total MA'!I98*K97,0)</f>
        <v>0.16037535873354142</v>
      </c>
    </row>
    <row r="98" spans="1:13" ht="15.75" x14ac:dyDescent="0.2">
      <c r="A98" s="21" t="s">
        <v>338</v>
      </c>
      <c r="B98" s="217">
        <v>12886464.228430001</v>
      </c>
      <c r="C98" s="217">
        <v>14284685.2487</v>
      </c>
      <c r="D98" s="150">
        <f t="shared" si="13"/>
        <v>10.9</v>
      </c>
      <c r="E98" s="27">
        <f>IFERROR(100/'Skjema total MA'!C98*C98,0)</f>
        <v>3.7380304860614113</v>
      </c>
      <c r="F98" s="277">
        <v>49789594.156919897</v>
      </c>
      <c r="G98" s="277">
        <v>62344015.668979898</v>
      </c>
      <c r="H98" s="150">
        <f t="shared" si="14"/>
        <v>25.2</v>
      </c>
      <c r="I98" s="27">
        <f>IFERROR(100/'Skjema total MA'!F98*G98,0)</f>
        <v>10.768970049154481</v>
      </c>
      <c r="J98" s="272">
        <f t="shared" si="21"/>
        <v>62676058.3853499</v>
      </c>
      <c r="K98" s="44">
        <f t="shared" si="21"/>
        <v>76628700.917679906</v>
      </c>
      <c r="L98" s="242">
        <f t="shared" si="16"/>
        <v>22.3</v>
      </c>
      <c r="M98" s="27">
        <f>IFERROR(100/'Skjema total MA'!I98*K98,0)</f>
        <v>7.9732908037800305</v>
      </c>
    </row>
    <row r="99" spans="1:13" x14ac:dyDescent="0.2">
      <c r="A99" s="21" t="s">
        <v>9</v>
      </c>
      <c r="B99" s="277">
        <v>12221243.401590001</v>
      </c>
      <c r="C99" s="278">
        <v>13617199.023490001</v>
      </c>
      <c r="D99" s="150">
        <f t="shared" si="13"/>
        <v>11.4</v>
      </c>
      <c r="E99" s="27">
        <f>IFERROR(100/'Skjema total MA'!C99*C99,0)</f>
        <v>3.5853290557071857</v>
      </c>
      <c r="F99" s="217"/>
      <c r="G99" s="129"/>
      <c r="H99" s="150"/>
      <c r="I99" s="27"/>
      <c r="J99" s="272">
        <f t="shared" si="21"/>
        <v>12221243.401590001</v>
      </c>
      <c r="K99" s="44">
        <f t="shared" si="21"/>
        <v>13617199.023490001</v>
      </c>
      <c r="L99" s="242">
        <f t="shared" si="16"/>
        <v>11.4</v>
      </c>
      <c r="M99" s="27">
        <f>IFERROR(100/'Skjema total MA'!I99*K99,0)</f>
        <v>3.5853290557071857</v>
      </c>
    </row>
    <row r="100" spans="1:13" x14ac:dyDescent="0.2">
      <c r="A100" s="38" t="s">
        <v>366</v>
      </c>
      <c r="B100" s="277">
        <v>665220.82683999999</v>
      </c>
      <c r="C100" s="278">
        <v>667486.22520999995</v>
      </c>
      <c r="D100" s="150">
        <f t="shared" si="13"/>
        <v>0.3</v>
      </c>
      <c r="E100" s="27">
        <f>IFERROR(100/'Skjema total MA'!C100*C100,0)</f>
        <v>28.508365295444381</v>
      </c>
      <c r="F100" s="217">
        <v>49789594.156919897</v>
      </c>
      <c r="G100" s="217">
        <v>62344015.668979898</v>
      </c>
      <c r="H100" s="150">
        <f t="shared" si="14"/>
        <v>25.2</v>
      </c>
      <c r="I100" s="27">
        <f>IFERROR(100/'Skjema total MA'!F100*G100,0)</f>
        <v>10.768970049154481</v>
      </c>
      <c r="J100" s="272">
        <f t="shared" si="21"/>
        <v>50454814.983759895</v>
      </c>
      <c r="K100" s="44">
        <f t="shared" si="21"/>
        <v>63011501.894189902</v>
      </c>
      <c r="L100" s="242">
        <f t="shared" si="16"/>
        <v>24.9</v>
      </c>
      <c r="M100" s="27">
        <f>IFERROR(100/'Skjema total MA'!I100*K100,0)</f>
        <v>10.84042548956344</v>
      </c>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v>87895.376309999905</v>
      </c>
      <c r="G107" s="129">
        <v>90097.384219999905</v>
      </c>
      <c r="H107" s="150">
        <f t="shared" si="14"/>
        <v>2.5</v>
      </c>
      <c r="I107" s="27">
        <f>IFERROR(100/'Skjema total MA'!F107*G107,0)</f>
        <v>22.599370982370182</v>
      </c>
      <c r="J107" s="272">
        <f t="shared" si="21"/>
        <v>87895.376309999905</v>
      </c>
      <c r="K107" s="44">
        <f t="shared" si="21"/>
        <v>90097.384219999905</v>
      </c>
      <c r="L107" s="242">
        <f t="shared" si="16"/>
        <v>2.5</v>
      </c>
      <c r="M107" s="27">
        <f>IFERROR(100/'Skjema total MA'!I107*K107,0)</f>
        <v>1.901283645594019</v>
      </c>
    </row>
    <row r="108" spans="1:13" ht="15.75" x14ac:dyDescent="0.2">
      <c r="A108" s="21" t="s">
        <v>340</v>
      </c>
      <c r="B108" s="217">
        <v>9388055.8399599995</v>
      </c>
      <c r="C108" s="217">
        <v>10751275.285599999</v>
      </c>
      <c r="D108" s="150">
        <f t="shared" si="13"/>
        <v>14.5</v>
      </c>
      <c r="E108" s="27">
        <f>IFERROR(100/'Skjema total MA'!C108*C108,0)</f>
        <v>3.2417805224069576</v>
      </c>
      <c r="F108" s="217"/>
      <c r="G108" s="217"/>
      <c r="H108" s="150"/>
      <c r="I108" s="27"/>
      <c r="J108" s="272">
        <f t="shared" si="21"/>
        <v>9388055.8399599995</v>
      </c>
      <c r="K108" s="44">
        <f t="shared" si="21"/>
        <v>10751275.285599999</v>
      </c>
      <c r="L108" s="242">
        <f t="shared" si="16"/>
        <v>14.5</v>
      </c>
      <c r="M108" s="27">
        <f>IFERROR(100/'Skjema total MA'!I108*K108,0)</f>
        <v>3.039305066383899</v>
      </c>
    </row>
    <row r="109" spans="1:13" ht="15.75" x14ac:dyDescent="0.2">
      <c r="A109" s="38" t="s">
        <v>374</v>
      </c>
      <c r="B109" s="217">
        <v>411293.47869999998</v>
      </c>
      <c r="C109" s="217">
        <v>444896.27103</v>
      </c>
      <c r="D109" s="150">
        <f t="shared" si="13"/>
        <v>8.1999999999999993</v>
      </c>
      <c r="E109" s="27">
        <f>IFERROR(100/'Skjema total MA'!C109*C109,0)</f>
        <v>18.13889548184904</v>
      </c>
      <c r="F109" s="217">
        <v>20086451.4846</v>
      </c>
      <c r="G109" s="217">
        <v>25747039.641970001</v>
      </c>
      <c r="H109" s="150">
        <f t="shared" si="14"/>
        <v>28.2</v>
      </c>
      <c r="I109" s="27">
        <f>IFERROR(100/'Skjema total MA'!F109*G109,0)</f>
        <v>11.845704675141569</v>
      </c>
      <c r="J109" s="272">
        <f t="shared" si="21"/>
        <v>20497744.963300001</v>
      </c>
      <c r="K109" s="44">
        <f t="shared" si="21"/>
        <v>26191935.913000003</v>
      </c>
      <c r="L109" s="242">
        <f t="shared" si="16"/>
        <v>27.8</v>
      </c>
      <c r="M109" s="27">
        <f>IFERROR(100/'Skjema total MA'!I109*K109,0)</f>
        <v>11.915927627475131</v>
      </c>
    </row>
    <row r="110" spans="1:13" ht="15.75" x14ac:dyDescent="0.2">
      <c r="A110" s="21" t="s">
        <v>341</v>
      </c>
      <c r="B110" s="217">
        <v>909992.15963000001</v>
      </c>
      <c r="C110" s="217">
        <v>1245153.2934000001</v>
      </c>
      <c r="D110" s="150">
        <f t="shared" si="13"/>
        <v>36.799999999999997</v>
      </c>
      <c r="E110" s="27">
        <f>IFERROR(100/'Skjema total MA'!C110*C110,0)</f>
        <v>46.991459951362856</v>
      </c>
      <c r="F110" s="217"/>
      <c r="G110" s="217"/>
      <c r="H110" s="150"/>
      <c r="I110" s="27"/>
      <c r="J110" s="272">
        <f t="shared" si="21"/>
        <v>909992.15963000001</v>
      </c>
      <c r="K110" s="44">
        <f t="shared" si="21"/>
        <v>1245153.2934000001</v>
      </c>
      <c r="L110" s="242">
        <f t="shared" si="16"/>
        <v>36.799999999999997</v>
      </c>
      <c r="M110" s="27">
        <f>IFERROR(100/'Skjema total MA'!I110*K110,0)</f>
        <v>46.991459951362856</v>
      </c>
    </row>
    <row r="111" spans="1:13" ht="15.75" x14ac:dyDescent="0.2">
      <c r="A111" s="13" t="s">
        <v>322</v>
      </c>
      <c r="B111" s="293">
        <v>2752.9066600000001</v>
      </c>
      <c r="C111" s="143">
        <v>2846.6688099999997</v>
      </c>
      <c r="D111" s="155">
        <f t="shared" si="13"/>
        <v>3.4</v>
      </c>
      <c r="E111" s="11">
        <f>IFERROR(100/'Skjema total MA'!C111*C111,0)</f>
        <v>1.2842216483750879</v>
      </c>
      <c r="F111" s="293">
        <v>1222262.4473600001</v>
      </c>
      <c r="G111" s="143">
        <v>1414328.64479</v>
      </c>
      <c r="H111" s="155">
        <f t="shared" si="14"/>
        <v>15.7</v>
      </c>
      <c r="I111" s="11">
        <f>IFERROR(100/'Skjema total MA'!F111*G111,0)</f>
        <v>10.178184420027419</v>
      </c>
      <c r="J111" s="294">
        <f t="shared" si="21"/>
        <v>1225015.3540200002</v>
      </c>
      <c r="K111" s="219">
        <f t="shared" si="21"/>
        <v>1417175.3136</v>
      </c>
      <c r="L111" s="405">
        <f t="shared" si="16"/>
        <v>15.7</v>
      </c>
      <c r="M111" s="11">
        <f>IFERROR(100/'Skjema total MA'!I111*K111,0)</f>
        <v>10.038535036104859</v>
      </c>
    </row>
    <row r="112" spans="1:13" x14ac:dyDescent="0.2">
      <c r="A112" s="21" t="s">
        <v>9</v>
      </c>
      <c r="B112" s="217">
        <v>0</v>
      </c>
      <c r="C112" s="129">
        <v>7.5089699999999997</v>
      </c>
      <c r="D112" s="150" t="str">
        <f t="shared" ref="D112:D125" si="26">IF(B112=0, "    ---- ", IF(ABS(ROUND(100/B112*C112-100,1))&lt;999,ROUND(100/B112*C112-100,1),IF(ROUND(100/B112*C112-100,1)&gt;999,999,-999)))</f>
        <v xml:space="preserve">    ---- </v>
      </c>
      <c r="E112" s="27">
        <f>IFERROR(100/'Skjema total MA'!C112*C112,0)</f>
        <v>4.6814100404797528E-3</v>
      </c>
      <c r="F112" s="217"/>
      <c r="G112" s="129"/>
      <c r="H112" s="150"/>
      <c r="I112" s="27"/>
      <c r="J112" s="272">
        <f t="shared" ref="J112:K125" si="27">SUM(B112,F112)</f>
        <v>0</v>
      </c>
      <c r="K112" s="44">
        <f t="shared" si="27"/>
        <v>7.5089699999999997</v>
      </c>
      <c r="L112" s="242" t="str">
        <f t="shared" ref="L112:L125" si="28">IF(J112=0, "    ---- ", IF(ABS(ROUND(100/J112*K112-100,1))&lt;999,ROUND(100/J112*K112-100,1),IF(ROUND(100/J112*K112-100,1)&gt;999,999,-999)))</f>
        <v xml:space="preserve">    ---- </v>
      </c>
      <c r="M112" s="27">
        <f>IFERROR(100/'Skjema total MA'!I112*K112,0)</f>
        <v>4.6528775299097833E-3</v>
      </c>
    </row>
    <row r="113" spans="1:14" x14ac:dyDescent="0.2">
      <c r="A113" s="21" t="s">
        <v>10</v>
      </c>
      <c r="B113" s="217"/>
      <c r="C113" s="129"/>
      <c r="D113" s="150"/>
      <c r="E113" s="27"/>
      <c r="F113" s="217">
        <v>1222262.4473600001</v>
      </c>
      <c r="G113" s="129">
        <v>1414328.64479</v>
      </c>
      <c r="H113" s="150">
        <f t="shared" ref="H113:H125" si="29">IF(F113=0, "    ---- ", IF(ABS(ROUND(100/F113*G113-100,1))&lt;999,ROUND(100/F113*G113-100,1),IF(ROUND(100/F113*G113-100,1)&gt;999,999,-999)))</f>
        <v>15.7</v>
      </c>
      <c r="I113" s="27">
        <f>IFERROR(100/'Skjema total MA'!F113*G113,0)</f>
        <v>10.178904935130939</v>
      </c>
      <c r="J113" s="272">
        <f t="shared" si="27"/>
        <v>1222262.4473600001</v>
      </c>
      <c r="K113" s="44">
        <f t="shared" si="27"/>
        <v>1414328.64479</v>
      </c>
      <c r="L113" s="242">
        <f t="shared" si="28"/>
        <v>15.7</v>
      </c>
      <c r="M113" s="27">
        <f>IFERROR(100/'Skjema total MA'!I113*K113,0)</f>
        <v>10.178904935130939</v>
      </c>
    </row>
    <row r="114" spans="1:14" x14ac:dyDescent="0.2">
      <c r="A114" s="21" t="s">
        <v>26</v>
      </c>
      <c r="B114" s="217">
        <v>2752.9066600000001</v>
      </c>
      <c r="C114" s="129">
        <v>2839.1598399999998</v>
      </c>
      <c r="D114" s="150">
        <f t="shared" si="26"/>
        <v>3.1</v>
      </c>
      <c r="E114" s="27">
        <f>IFERROR(100/'Skjema total MA'!C114*C114,0)</f>
        <v>4.634215697871543</v>
      </c>
      <c r="F114" s="217"/>
      <c r="G114" s="129"/>
      <c r="H114" s="150"/>
      <c r="I114" s="27"/>
      <c r="J114" s="272">
        <f t="shared" si="27"/>
        <v>2752.9066600000001</v>
      </c>
      <c r="K114" s="44">
        <f t="shared" si="27"/>
        <v>2839.1598399999998</v>
      </c>
      <c r="L114" s="242">
        <f t="shared" si="28"/>
        <v>3.1</v>
      </c>
      <c r="M114" s="27">
        <f>IFERROR(100/'Skjema total MA'!I114*K114,0)</f>
        <v>4.634215697871543</v>
      </c>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v>837498.58473999996</v>
      </c>
      <c r="G117" s="217">
        <v>931426.15512000001</v>
      </c>
      <c r="H117" s="150">
        <f t="shared" si="29"/>
        <v>11.2</v>
      </c>
      <c r="I117" s="27">
        <f>IFERROR(100/'Skjema total MA'!F117*G117,0)</f>
        <v>13.843647448460116</v>
      </c>
      <c r="J117" s="272">
        <f t="shared" si="27"/>
        <v>837498.58473999996</v>
      </c>
      <c r="K117" s="44">
        <f t="shared" si="27"/>
        <v>931426.15512000001</v>
      </c>
      <c r="L117" s="242">
        <f t="shared" si="28"/>
        <v>11.2</v>
      </c>
      <c r="M117" s="27">
        <f>IFERROR(100/'Skjema total MA'!I117*K117,0)</f>
        <v>13.843647448460116</v>
      </c>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v>31291.7258</v>
      </c>
      <c r="C119" s="143">
        <v>9988.0814300000002</v>
      </c>
      <c r="D119" s="155">
        <f t="shared" si="26"/>
        <v>-68.099999999999994</v>
      </c>
      <c r="E119" s="11">
        <f>IFERROR(100/'Skjema total MA'!C119*C119,0)</f>
        <v>9.5283331315430093</v>
      </c>
      <c r="F119" s="293">
        <v>1728308.4135</v>
      </c>
      <c r="G119" s="143">
        <v>1722549.8801</v>
      </c>
      <c r="H119" s="155">
        <f t="shared" si="29"/>
        <v>-0.3</v>
      </c>
      <c r="I119" s="11">
        <f>IFERROR(100/'Skjema total MA'!F119*G119,0)</f>
        <v>11.237561431202517</v>
      </c>
      <c r="J119" s="294">
        <f t="shared" si="27"/>
        <v>1759600.1392999999</v>
      </c>
      <c r="K119" s="219">
        <f t="shared" si="27"/>
        <v>1732537.96153</v>
      </c>
      <c r="L119" s="405">
        <f t="shared" si="28"/>
        <v>-1.5</v>
      </c>
      <c r="M119" s="11">
        <f>IFERROR(100/'Skjema total MA'!I119*K119,0)</f>
        <v>11.225952141636458</v>
      </c>
    </row>
    <row r="120" spans="1:14" x14ac:dyDescent="0.2">
      <c r="A120" s="21" t="s">
        <v>9</v>
      </c>
      <c r="B120" s="217">
        <v>531.6182</v>
      </c>
      <c r="C120" s="129">
        <v>0</v>
      </c>
      <c r="D120" s="150">
        <f t="shared" si="26"/>
        <v>-100</v>
      </c>
      <c r="E120" s="27">
        <f>IFERROR(100/'Skjema total MA'!C120*C120,0)</f>
        <v>0</v>
      </c>
      <c r="F120" s="217"/>
      <c r="G120" s="129"/>
      <c r="H120" s="150"/>
      <c r="I120" s="27"/>
      <c r="J120" s="272">
        <f t="shared" si="27"/>
        <v>531.6182</v>
      </c>
      <c r="K120" s="44">
        <f t="shared" si="27"/>
        <v>0</v>
      </c>
      <c r="L120" s="242">
        <f t="shared" si="28"/>
        <v>-100</v>
      </c>
      <c r="M120" s="27">
        <f>IFERROR(100/'Skjema total MA'!I120*K120,0)</f>
        <v>0</v>
      </c>
    </row>
    <row r="121" spans="1:14" x14ac:dyDescent="0.2">
      <c r="A121" s="21" t="s">
        <v>10</v>
      </c>
      <c r="B121" s="217">
        <v>6822.4922900000001</v>
      </c>
      <c r="C121" s="129">
        <v>6027.9584999999997</v>
      </c>
      <c r="D121" s="150">
        <f t="shared" si="26"/>
        <v>-11.6</v>
      </c>
      <c r="E121" s="27">
        <f>IFERROR(100/'Skjema total MA'!C121*C121,0)</f>
        <v>100</v>
      </c>
      <c r="F121" s="217">
        <v>1728308.4135</v>
      </c>
      <c r="G121" s="129">
        <v>1722549.8801</v>
      </c>
      <c r="H121" s="150">
        <f t="shared" si="29"/>
        <v>-0.3</v>
      </c>
      <c r="I121" s="27">
        <f>IFERROR(100/'Skjema total MA'!F121*G121,0)</f>
        <v>11.237561431202517</v>
      </c>
      <c r="J121" s="272">
        <f t="shared" si="27"/>
        <v>1735130.90579</v>
      </c>
      <c r="K121" s="44">
        <f t="shared" si="27"/>
        <v>1728577.8385999999</v>
      </c>
      <c r="L121" s="242">
        <f t="shared" si="28"/>
        <v>-0.4</v>
      </c>
      <c r="M121" s="27">
        <f>IFERROR(100/'Skjema total MA'!I121*K121,0)</f>
        <v>11.27245368297354</v>
      </c>
    </row>
    <row r="122" spans="1:14" x14ac:dyDescent="0.2">
      <c r="A122" s="21" t="s">
        <v>26</v>
      </c>
      <c r="B122" s="217">
        <v>23937.615310000001</v>
      </c>
      <c r="C122" s="129">
        <v>3960.12293</v>
      </c>
      <c r="D122" s="150">
        <f t="shared" si="26"/>
        <v>-83.5</v>
      </c>
      <c r="E122" s="27">
        <f>IFERROR(100/'Skjema total MA'!C122*C122,0)</f>
        <v>9.6703490996787522</v>
      </c>
      <c r="F122" s="217"/>
      <c r="G122" s="129"/>
      <c r="H122" s="150"/>
      <c r="I122" s="27"/>
      <c r="J122" s="272">
        <f t="shared" si="27"/>
        <v>23937.615310000001</v>
      </c>
      <c r="K122" s="44">
        <f t="shared" si="27"/>
        <v>3960.12293</v>
      </c>
      <c r="L122" s="242">
        <f t="shared" si="28"/>
        <v>-83.5</v>
      </c>
      <c r="M122" s="27">
        <f>IFERROR(100/'Skjema total MA'!I122*K122,0)</f>
        <v>9.6703490996787522</v>
      </c>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v>60.852820000000001</v>
      </c>
      <c r="C125" s="217">
        <v>0</v>
      </c>
      <c r="D125" s="150">
        <f t="shared" si="26"/>
        <v>-100</v>
      </c>
      <c r="E125" s="27">
        <f>IFERROR(100/'Skjema total MA'!C125*C125,0)</f>
        <v>0</v>
      </c>
      <c r="F125" s="217">
        <v>606015.68163000001</v>
      </c>
      <c r="G125" s="217">
        <v>724837.67457000003</v>
      </c>
      <c r="H125" s="150">
        <f t="shared" si="29"/>
        <v>19.600000000000001</v>
      </c>
      <c r="I125" s="27">
        <f>IFERROR(100/'Skjema total MA'!F125*G125,0)</f>
        <v>10.545701629026617</v>
      </c>
      <c r="J125" s="272">
        <f t="shared" si="27"/>
        <v>606076.53445000004</v>
      </c>
      <c r="K125" s="44">
        <f t="shared" si="27"/>
        <v>724837.67457000003</v>
      </c>
      <c r="L125" s="242">
        <f t="shared" si="28"/>
        <v>19.600000000000001</v>
      </c>
      <c r="M125" s="27">
        <f>IFERROR(100/'Skjema total MA'!I125*K125,0)</f>
        <v>10.545701629026617</v>
      </c>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504" priority="132">
      <formula>kvartal &lt; 4</formula>
    </cfRule>
  </conditionalFormatting>
  <conditionalFormatting sqref="B69">
    <cfRule type="expression" dxfId="503" priority="100">
      <formula>kvartal &lt; 4</formula>
    </cfRule>
  </conditionalFormatting>
  <conditionalFormatting sqref="C69">
    <cfRule type="expression" dxfId="502" priority="99">
      <formula>kvartal &lt; 4</formula>
    </cfRule>
  </conditionalFormatting>
  <conditionalFormatting sqref="B72">
    <cfRule type="expression" dxfId="501" priority="98">
      <formula>kvartal &lt; 4</formula>
    </cfRule>
  </conditionalFormatting>
  <conditionalFormatting sqref="C72">
    <cfRule type="expression" dxfId="500" priority="97">
      <formula>kvartal &lt; 4</formula>
    </cfRule>
  </conditionalFormatting>
  <conditionalFormatting sqref="B80">
    <cfRule type="expression" dxfId="499" priority="96">
      <formula>kvartal &lt; 4</formula>
    </cfRule>
  </conditionalFormatting>
  <conditionalFormatting sqref="C80">
    <cfRule type="expression" dxfId="498" priority="95">
      <formula>kvartal &lt; 4</formula>
    </cfRule>
  </conditionalFormatting>
  <conditionalFormatting sqref="B83">
    <cfRule type="expression" dxfId="497" priority="94">
      <formula>kvartal &lt; 4</formula>
    </cfRule>
  </conditionalFormatting>
  <conditionalFormatting sqref="C83">
    <cfRule type="expression" dxfId="496" priority="93">
      <formula>kvartal &lt; 4</formula>
    </cfRule>
  </conditionalFormatting>
  <conditionalFormatting sqref="B90">
    <cfRule type="expression" dxfId="495" priority="84">
      <formula>kvartal &lt; 4</formula>
    </cfRule>
  </conditionalFormatting>
  <conditionalFormatting sqref="C90">
    <cfRule type="expression" dxfId="494" priority="83">
      <formula>kvartal &lt; 4</formula>
    </cfRule>
  </conditionalFormatting>
  <conditionalFormatting sqref="B93">
    <cfRule type="expression" dxfId="493" priority="82">
      <formula>kvartal &lt; 4</formula>
    </cfRule>
  </conditionalFormatting>
  <conditionalFormatting sqref="C93">
    <cfRule type="expression" dxfId="492" priority="81">
      <formula>kvartal &lt; 4</formula>
    </cfRule>
  </conditionalFormatting>
  <conditionalFormatting sqref="B101">
    <cfRule type="expression" dxfId="491" priority="80">
      <formula>kvartal &lt; 4</formula>
    </cfRule>
  </conditionalFormatting>
  <conditionalFormatting sqref="C101">
    <cfRule type="expression" dxfId="490" priority="79">
      <formula>kvartal &lt; 4</formula>
    </cfRule>
  </conditionalFormatting>
  <conditionalFormatting sqref="B104">
    <cfRule type="expression" dxfId="489" priority="78">
      <formula>kvartal &lt; 4</formula>
    </cfRule>
  </conditionalFormatting>
  <conditionalFormatting sqref="C104">
    <cfRule type="expression" dxfId="488" priority="77">
      <formula>kvartal &lt; 4</formula>
    </cfRule>
  </conditionalFormatting>
  <conditionalFormatting sqref="B115">
    <cfRule type="expression" dxfId="487" priority="76">
      <formula>kvartal &lt; 4</formula>
    </cfRule>
  </conditionalFormatting>
  <conditionalFormatting sqref="C115">
    <cfRule type="expression" dxfId="486" priority="75">
      <formula>kvartal &lt; 4</formula>
    </cfRule>
  </conditionalFormatting>
  <conditionalFormatting sqref="B123">
    <cfRule type="expression" dxfId="485" priority="74">
      <formula>kvartal &lt; 4</formula>
    </cfRule>
  </conditionalFormatting>
  <conditionalFormatting sqref="C123">
    <cfRule type="expression" dxfId="484" priority="73">
      <formula>kvartal &lt; 4</formula>
    </cfRule>
  </conditionalFormatting>
  <conditionalFormatting sqref="F70">
    <cfRule type="expression" dxfId="483" priority="72">
      <formula>kvartal &lt; 4</formula>
    </cfRule>
  </conditionalFormatting>
  <conditionalFormatting sqref="G70">
    <cfRule type="expression" dxfId="482" priority="71">
      <formula>kvartal &lt; 4</formula>
    </cfRule>
  </conditionalFormatting>
  <conditionalFormatting sqref="F71:G71">
    <cfRule type="expression" dxfId="481" priority="70">
      <formula>kvartal &lt; 4</formula>
    </cfRule>
  </conditionalFormatting>
  <conditionalFormatting sqref="F73:G74">
    <cfRule type="expression" dxfId="480" priority="69">
      <formula>kvartal &lt; 4</formula>
    </cfRule>
  </conditionalFormatting>
  <conditionalFormatting sqref="F81:G82">
    <cfRule type="expression" dxfId="479" priority="68">
      <formula>kvartal &lt; 4</formula>
    </cfRule>
  </conditionalFormatting>
  <conditionalFormatting sqref="F84:G85">
    <cfRule type="expression" dxfId="478" priority="67">
      <formula>kvartal &lt; 4</formula>
    </cfRule>
  </conditionalFormatting>
  <conditionalFormatting sqref="F91:G92">
    <cfRule type="expression" dxfId="477" priority="62">
      <formula>kvartal &lt; 4</formula>
    </cfRule>
  </conditionalFormatting>
  <conditionalFormatting sqref="F94:G95">
    <cfRule type="expression" dxfId="476" priority="61">
      <formula>kvartal &lt; 4</formula>
    </cfRule>
  </conditionalFormatting>
  <conditionalFormatting sqref="F102:G103">
    <cfRule type="expression" dxfId="475" priority="60">
      <formula>kvartal &lt; 4</formula>
    </cfRule>
  </conditionalFormatting>
  <conditionalFormatting sqref="F105:G106">
    <cfRule type="expression" dxfId="474" priority="59">
      <formula>kvartal &lt; 4</formula>
    </cfRule>
  </conditionalFormatting>
  <conditionalFormatting sqref="F115">
    <cfRule type="expression" dxfId="473" priority="58">
      <formula>kvartal &lt; 4</formula>
    </cfRule>
  </conditionalFormatting>
  <conditionalFormatting sqref="G115">
    <cfRule type="expression" dxfId="472" priority="57">
      <formula>kvartal &lt; 4</formula>
    </cfRule>
  </conditionalFormatting>
  <conditionalFormatting sqref="F123:G123">
    <cfRule type="expression" dxfId="471" priority="56">
      <formula>kvartal &lt; 4</formula>
    </cfRule>
  </conditionalFormatting>
  <conditionalFormatting sqref="F69:G69">
    <cfRule type="expression" dxfId="470" priority="55">
      <formula>kvartal &lt; 4</formula>
    </cfRule>
  </conditionalFormatting>
  <conditionalFormatting sqref="F72:G72">
    <cfRule type="expression" dxfId="469" priority="54">
      <formula>kvartal &lt; 4</formula>
    </cfRule>
  </conditionalFormatting>
  <conditionalFormatting sqref="F80:G80">
    <cfRule type="expression" dxfId="468" priority="53">
      <formula>kvartal &lt; 4</formula>
    </cfRule>
  </conditionalFormatting>
  <conditionalFormatting sqref="F83:G83">
    <cfRule type="expression" dxfId="467" priority="52">
      <formula>kvartal &lt; 4</formula>
    </cfRule>
  </conditionalFormatting>
  <conditionalFormatting sqref="F90:G90">
    <cfRule type="expression" dxfId="466" priority="46">
      <formula>kvartal &lt; 4</formula>
    </cfRule>
  </conditionalFormatting>
  <conditionalFormatting sqref="F93">
    <cfRule type="expression" dxfId="465" priority="45">
      <formula>kvartal &lt; 4</formula>
    </cfRule>
  </conditionalFormatting>
  <conditionalFormatting sqref="G93">
    <cfRule type="expression" dxfId="464" priority="44">
      <formula>kvartal &lt; 4</formula>
    </cfRule>
  </conditionalFormatting>
  <conditionalFormatting sqref="F101">
    <cfRule type="expression" dxfId="463" priority="43">
      <formula>kvartal &lt; 4</formula>
    </cfRule>
  </conditionalFormatting>
  <conditionalFormatting sqref="G101">
    <cfRule type="expression" dxfId="462" priority="42">
      <formula>kvartal &lt; 4</formula>
    </cfRule>
  </conditionalFormatting>
  <conditionalFormatting sqref="G104">
    <cfRule type="expression" dxfId="461" priority="41">
      <formula>kvartal &lt; 4</formula>
    </cfRule>
  </conditionalFormatting>
  <conditionalFormatting sqref="F104">
    <cfRule type="expression" dxfId="460" priority="40">
      <formula>kvartal &lt; 4</formula>
    </cfRule>
  </conditionalFormatting>
  <conditionalFormatting sqref="J69:K73">
    <cfRule type="expression" dxfId="459" priority="39">
      <formula>kvartal &lt; 4</formula>
    </cfRule>
  </conditionalFormatting>
  <conditionalFormatting sqref="J74:K74">
    <cfRule type="expression" dxfId="458" priority="38">
      <formula>kvartal &lt; 4</formula>
    </cfRule>
  </conditionalFormatting>
  <conditionalFormatting sqref="J80:K85">
    <cfRule type="expression" dxfId="457" priority="37">
      <formula>kvartal &lt; 4</formula>
    </cfRule>
  </conditionalFormatting>
  <conditionalFormatting sqref="J90:K95">
    <cfRule type="expression" dxfId="456" priority="34">
      <formula>kvartal &lt; 4</formula>
    </cfRule>
  </conditionalFormatting>
  <conditionalFormatting sqref="J101:K106">
    <cfRule type="expression" dxfId="455" priority="33">
      <formula>kvartal &lt; 4</formula>
    </cfRule>
  </conditionalFormatting>
  <conditionalFormatting sqref="J115:K115">
    <cfRule type="expression" dxfId="454" priority="32">
      <formula>kvartal &lt; 4</formula>
    </cfRule>
  </conditionalFormatting>
  <conditionalFormatting sqref="J123:K123">
    <cfRule type="expression" dxfId="453" priority="31">
      <formula>kvartal &lt; 4</formula>
    </cfRule>
  </conditionalFormatting>
  <conditionalFormatting sqref="A50:A52">
    <cfRule type="expression" dxfId="452" priority="12">
      <formula>kvartal &lt; 4</formula>
    </cfRule>
  </conditionalFormatting>
  <conditionalFormatting sqref="A69:A74">
    <cfRule type="expression" dxfId="451" priority="10">
      <formula>kvartal &lt; 4</formula>
    </cfRule>
  </conditionalFormatting>
  <conditionalFormatting sqref="A80:A85">
    <cfRule type="expression" dxfId="450" priority="9">
      <formula>kvartal &lt; 4</formula>
    </cfRule>
  </conditionalFormatting>
  <conditionalFormatting sqref="A90:A95">
    <cfRule type="expression" dxfId="449" priority="6">
      <formula>kvartal &lt; 4</formula>
    </cfRule>
  </conditionalFormatting>
  <conditionalFormatting sqref="A101:A106">
    <cfRule type="expression" dxfId="448" priority="5">
      <formula>kvartal &lt; 4</formula>
    </cfRule>
  </conditionalFormatting>
  <conditionalFormatting sqref="A115">
    <cfRule type="expression" dxfId="447" priority="4">
      <formula>kvartal &lt; 4</formula>
    </cfRule>
  </conditionalFormatting>
  <conditionalFormatting sqref="A123">
    <cfRule type="expression" dxfId="446" priority="3">
      <formula>kvartal &lt; 4</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89</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v>349370.43419</v>
      </c>
      <c r="C7" s="292">
        <v>310349.53450000001</v>
      </c>
      <c r="D7" s="334">
        <f>IF(B7=0, "    ---- ", IF(ABS(ROUND(100/B7*C7-100,1))&lt;999,ROUND(100/B7*C7-100,1),IF(ROUND(100/B7*C7-100,1)&gt;999,999,-999)))</f>
        <v>-11.2</v>
      </c>
      <c r="E7" s="11">
        <f>IFERROR(100/'Skjema total MA'!C7*C7,0)</f>
        <v>16.19624730945797</v>
      </c>
      <c r="F7" s="291">
        <v>304288.05459000001</v>
      </c>
      <c r="G7" s="292">
        <v>370265.68356999999</v>
      </c>
      <c r="H7" s="334">
        <f>IF(F7=0, "    ---- ", IF(ABS(ROUND(100/F7*G7-100,1))&lt;999,ROUND(100/F7*G7-100,1),IF(ROUND(100/F7*G7-100,1)&gt;999,999,-999)))</f>
        <v>21.7</v>
      </c>
      <c r="I7" s="144">
        <f>IFERROR(100/'Skjema total MA'!F7*G7,0)</f>
        <v>9.4618660476034719</v>
      </c>
      <c r="J7" s="293">
        <f t="shared" ref="J7:K12" si="0">SUM(B7,F7)</f>
        <v>653658.48878000001</v>
      </c>
      <c r="K7" s="294">
        <f t="shared" si="0"/>
        <v>680615.21806999994</v>
      </c>
      <c r="L7" s="404">
        <f>IF(J7=0, "    ---- ", IF(ABS(ROUND(100/J7*K7-100,1))&lt;999,ROUND(100/J7*K7-100,1),IF(ROUND(100/J7*K7-100,1)&gt;999,999,-999)))</f>
        <v>4.0999999999999996</v>
      </c>
      <c r="M7" s="11">
        <f>IFERROR(100/'Skjema total MA'!I7*K7,0)</f>
        <v>11.67551524687196</v>
      </c>
    </row>
    <row r="8" spans="1:14" ht="15.75" x14ac:dyDescent="0.2">
      <c r="A8" s="21" t="s">
        <v>25</v>
      </c>
      <c r="B8" s="266">
        <v>103911.597044781</v>
      </c>
      <c r="C8" s="267">
        <v>100696.722990001</v>
      </c>
      <c r="D8" s="150">
        <f t="shared" ref="D8:D10" si="1">IF(B8=0, "    ---- ", IF(ABS(ROUND(100/B8*C8-100,1))&lt;999,ROUND(100/B8*C8-100,1),IF(ROUND(100/B8*C8-100,1)&gt;999,999,-999)))</f>
        <v>-3.1</v>
      </c>
      <c r="E8" s="27">
        <f>IFERROR(100/'Skjema total MA'!C8*C8,0)</f>
        <v>7.7831326028210217</v>
      </c>
      <c r="F8" s="270"/>
      <c r="G8" s="271"/>
      <c r="H8" s="150"/>
      <c r="I8" s="160"/>
      <c r="J8" s="217">
        <f t="shared" si="0"/>
        <v>103911.597044781</v>
      </c>
      <c r="K8" s="272">
        <f t="shared" si="0"/>
        <v>100696.722990001</v>
      </c>
      <c r="L8" s="150">
        <f t="shared" ref="L8:L9" si="2">IF(J8=0, "    ---- ", IF(ABS(ROUND(100/J8*K8-100,1))&lt;999,ROUND(100/J8*K8-100,1),IF(ROUND(100/J8*K8-100,1)&gt;999,999,-999)))</f>
        <v>-3.1</v>
      </c>
      <c r="M8" s="27">
        <f>IFERROR(100/'Skjema total MA'!I8*K8,0)</f>
        <v>7.7831326028210217</v>
      </c>
    </row>
    <row r="9" spans="1:14" ht="15.75" x14ac:dyDescent="0.2">
      <c r="A9" s="21" t="s">
        <v>24</v>
      </c>
      <c r="B9" s="266">
        <v>46689.144923813103</v>
      </c>
      <c r="C9" s="267">
        <v>41882.712120003001</v>
      </c>
      <c r="D9" s="150">
        <f t="shared" si="1"/>
        <v>-10.3</v>
      </c>
      <c r="E9" s="27">
        <f>IFERROR(100/'Skjema total MA'!C9*C9,0)</f>
        <v>9.7937465333696974</v>
      </c>
      <c r="F9" s="270"/>
      <c r="G9" s="271"/>
      <c r="H9" s="150"/>
      <c r="I9" s="160"/>
      <c r="J9" s="217">
        <f t="shared" si="0"/>
        <v>46689.144923813103</v>
      </c>
      <c r="K9" s="272">
        <f t="shared" si="0"/>
        <v>41882.712120003001</v>
      </c>
      <c r="L9" s="150">
        <f t="shared" si="2"/>
        <v>-10.3</v>
      </c>
      <c r="M9" s="27">
        <f>IFERROR(100/'Skjema total MA'!I9*K9,0)</f>
        <v>9.7937465333696974</v>
      </c>
    </row>
    <row r="10" spans="1:14" ht="15.75" x14ac:dyDescent="0.2">
      <c r="A10" s="13" t="s">
        <v>321</v>
      </c>
      <c r="B10" s="295">
        <v>4660073.2677699998</v>
      </c>
      <c r="C10" s="296">
        <v>4978766.0751400003</v>
      </c>
      <c r="D10" s="155">
        <f t="shared" si="1"/>
        <v>6.8</v>
      </c>
      <c r="E10" s="11">
        <f>IFERROR(100/'Skjema total MA'!C10*C10,0)</f>
        <v>36.798812215180654</v>
      </c>
      <c r="F10" s="295">
        <v>13795369.107000001</v>
      </c>
      <c r="G10" s="296">
        <v>15524082.80947</v>
      </c>
      <c r="H10" s="155">
        <f t="shared" ref="H10:H12" si="3">IF(F10=0, "    ---- ", IF(ABS(ROUND(100/F10*G10-100,1))&lt;999,ROUND(100/F10*G10-100,1),IF(ROUND(100/F10*G10-100,1)&gt;999,999,-999)))</f>
        <v>12.5</v>
      </c>
      <c r="I10" s="144">
        <f>IFERROR(100/'Skjema total MA'!F10*G10,0)</f>
        <v>17.196587540586052</v>
      </c>
      <c r="J10" s="293">
        <f t="shared" si="0"/>
        <v>18455442.374770001</v>
      </c>
      <c r="K10" s="294">
        <f t="shared" si="0"/>
        <v>20502848.884610001</v>
      </c>
      <c r="L10" s="405">
        <f t="shared" ref="L10:L12" si="4">IF(J10=0, "    ---- ", IF(ABS(ROUND(100/J10*K10-100,1))&lt;999,ROUND(100/J10*K10-100,1),IF(ROUND(100/J10*K10-100,1)&gt;999,999,-999)))</f>
        <v>11.1</v>
      </c>
      <c r="M10" s="11">
        <f>IFERROR(100/'Skjema total MA'!I10*K10,0)</f>
        <v>19.751521159940925</v>
      </c>
    </row>
    <row r="11" spans="1:14" s="43" customFormat="1" ht="15.75" x14ac:dyDescent="0.2">
      <c r="A11" s="13" t="s">
        <v>322</v>
      </c>
      <c r="B11" s="295"/>
      <c r="C11" s="296"/>
      <c r="D11" s="155"/>
      <c r="E11" s="11"/>
      <c r="F11" s="295">
        <v>7356.1630400000004</v>
      </c>
      <c r="G11" s="296">
        <v>16517.79679</v>
      </c>
      <c r="H11" s="155">
        <f t="shared" si="3"/>
        <v>124.5</v>
      </c>
      <c r="I11" s="144">
        <f>IFERROR(100/'Skjema total MA'!F11*G11,0)</f>
        <v>15.819857092561524</v>
      </c>
      <c r="J11" s="293">
        <f t="shared" si="0"/>
        <v>7356.1630400000004</v>
      </c>
      <c r="K11" s="294">
        <f t="shared" si="0"/>
        <v>16517.79679</v>
      </c>
      <c r="L11" s="405">
        <f t="shared" si="4"/>
        <v>124.5</v>
      </c>
      <c r="M11" s="11">
        <f>IFERROR(100/'Skjema total MA'!I11*K11,0)</f>
        <v>15.819857092561524</v>
      </c>
      <c r="N11" s="127"/>
    </row>
    <row r="12" spans="1:14" s="43" customFormat="1" ht="15.75" x14ac:dyDescent="0.2">
      <c r="A12" s="41" t="s">
        <v>323</v>
      </c>
      <c r="B12" s="297"/>
      <c r="C12" s="298"/>
      <c r="D12" s="153"/>
      <c r="E12" s="36"/>
      <c r="F12" s="297">
        <v>30956.169180000001</v>
      </c>
      <c r="G12" s="298">
        <v>24884.145850000001</v>
      </c>
      <c r="H12" s="153">
        <f t="shared" si="3"/>
        <v>-19.600000000000001</v>
      </c>
      <c r="I12" s="153">
        <f>IFERROR(100/'Skjema total MA'!F12*G12,0)</f>
        <v>23.253845448029391</v>
      </c>
      <c r="J12" s="299">
        <f t="shared" si="0"/>
        <v>30956.169180000001</v>
      </c>
      <c r="K12" s="300">
        <f t="shared" si="0"/>
        <v>24884.145850000001</v>
      </c>
      <c r="L12" s="406">
        <f t="shared" si="4"/>
        <v>-19.600000000000001</v>
      </c>
      <c r="M12" s="36">
        <f>IFERROR(100/'Skjema total MA'!I12*K12,0)</f>
        <v>23.253845448029391</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5053.4370200000003</v>
      </c>
      <c r="C22" s="295">
        <v>1514.45009</v>
      </c>
      <c r="D22" s="334">
        <f t="shared" ref="D22:D37" si="5">IF(B22=0, "    ---- ", IF(ABS(ROUND(100/B22*C22-100,1))&lt;999,ROUND(100/B22*C22-100,1),IF(ROUND(100/B22*C22-100,1)&gt;999,999,-999)))</f>
        <v>-70</v>
      </c>
      <c r="E22" s="11">
        <f>IFERROR(100/'Skjema total MA'!C22*C22,0)</f>
        <v>0.17135008917100333</v>
      </c>
      <c r="F22" s="303">
        <v>69910.687999999995</v>
      </c>
      <c r="G22" s="303">
        <v>75749.661219999995</v>
      </c>
      <c r="H22" s="334">
        <f t="shared" ref="H22:H35" si="6">IF(F22=0, "    ---- ", IF(ABS(ROUND(100/F22*G22-100,1))&lt;999,ROUND(100/F22*G22-100,1),IF(ROUND(100/F22*G22-100,1)&gt;999,999,-999)))</f>
        <v>8.4</v>
      </c>
      <c r="I22" s="11">
        <f>IFERROR(100/'Skjema total MA'!F22*G22,0)</f>
        <v>29.796677603799093</v>
      </c>
      <c r="J22" s="301">
        <f t="shared" ref="J22:K35" si="7">SUM(B22,F22)</f>
        <v>74964.125019999992</v>
      </c>
      <c r="K22" s="301">
        <f t="shared" si="7"/>
        <v>77264.111309999993</v>
      </c>
      <c r="L22" s="404">
        <f t="shared" ref="L22:L35" si="8">IF(J22=0, "    ---- ", IF(ABS(ROUND(100/J22*K22-100,1))&lt;999,ROUND(100/J22*K22-100,1),IF(ROUND(100/J22*K22-100,1)&gt;999,999,-999)))</f>
        <v>3.1</v>
      </c>
      <c r="M22" s="24">
        <f>IFERROR(100/'Skjema total MA'!I22*K22,0)</f>
        <v>6.7891327449920871</v>
      </c>
    </row>
    <row r="23" spans="1:14" ht="15.75" x14ac:dyDescent="0.2">
      <c r="A23" s="454" t="s">
        <v>324</v>
      </c>
      <c r="B23" s="266">
        <v>280.59239687223101</v>
      </c>
      <c r="C23" s="266">
        <v>246.96600000000001</v>
      </c>
      <c r="D23" s="150">
        <f t="shared" si="5"/>
        <v>-12</v>
      </c>
      <c r="E23" s="11">
        <f>IFERROR(100/'Skjema total MA'!C23*C23,0)</f>
        <v>3.8859179040330614E-2</v>
      </c>
      <c r="F23" s="275">
        <v>6254.4106000000002</v>
      </c>
      <c r="G23" s="275">
        <v>12801.40379</v>
      </c>
      <c r="H23" s="150">
        <f t="shared" si="6"/>
        <v>104.7</v>
      </c>
      <c r="I23" s="394">
        <f>IFERROR(100/'Skjema total MA'!F23*G23,0)</f>
        <v>71.565962433538402</v>
      </c>
      <c r="J23" s="275">
        <f t="shared" ref="J23:J26" si="9">SUM(B23,F23)</f>
        <v>6535.0029968722311</v>
      </c>
      <c r="K23" s="275">
        <f t="shared" ref="K23:K26" si="10">SUM(C23,G23)</f>
        <v>13048.369790000001</v>
      </c>
      <c r="L23" s="150">
        <f t="shared" si="8"/>
        <v>99.7</v>
      </c>
      <c r="M23" s="23">
        <f>IFERROR(100/'Skjema total MA'!I23*K23,0)</f>
        <v>1.9969085194440954</v>
      </c>
    </row>
    <row r="24" spans="1:14" ht="15.75" x14ac:dyDescent="0.2">
      <c r="A24" s="454" t="s">
        <v>325</v>
      </c>
      <c r="B24" s="266">
        <v>1538.9956231277699</v>
      </c>
      <c r="C24" s="266">
        <v>1267.4839999999999</v>
      </c>
      <c r="D24" s="150">
        <f t="shared" si="5"/>
        <v>-17.600000000000001</v>
      </c>
      <c r="E24" s="11">
        <f>IFERROR(100/'Skjema total MA'!C24*C24,0)</f>
        <v>41.209673769889761</v>
      </c>
      <c r="F24" s="275">
        <v>0</v>
      </c>
      <c r="G24" s="275">
        <v>820.28484000000003</v>
      </c>
      <c r="H24" s="150" t="str">
        <f t="shared" si="6"/>
        <v xml:space="preserve">    ---- </v>
      </c>
      <c r="I24" s="394">
        <f>IFERROR(100/'Skjema total MA'!F24*G24,0)</f>
        <v>96.471770565731831</v>
      </c>
      <c r="J24" s="275">
        <f t="shared" si="9"/>
        <v>1538.9956231277699</v>
      </c>
      <c r="K24" s="275">
        <f t="shared" si="10"/>
        <v>2087.7688399999997</v>
      </c>
      <c r="L24" s="150">
        <f t="shared" si="8"/>
        <v>35.700000000000003</v>
      </c>
      <c r="M24" s="23">
        <f>IFERROR(100/'Skjema total MA'!I24*K24,0)</f>
        <v>53.178283247210075</v>
      </c>
    </row>
    <row r="25" spans="1:14" ht="15.75" x14ac:dyDescent="0.2">
      <c r="A25" s="454" t="s">
        <v>326</v>
      </c>
      <c r="B25" s="266"/>
      <c r="C25" s="266"/>
      <c r="D25" s="150"/>
      <c r="E25" s="11"/>
      <c r="F25" s="275">
        <v>314.45400000000001</v>
      </c>
      <c r="G25" s="275">
        <v>239.79922999999999</v>
      </c>
      <c r="H25" s="150">
        <f t="shared" si="6"/>
        <v>-23.7</v>
      </c>
      <c r="I25" s="394">
        <f>IFERROR(100/'Skjema total MA'!F25*G25,0)</f>
        <v>6.9245022302845092</v>
      </c>
      <c r="J25" s="275">
        <f t="shared" si="9"/>
        <v>314.45400000000001</v>
      </c>
      <c r="K25" s="275">
        <f t="shared" si="10"/>
        <v>239.79922999999999</v>
      </c>
      <c r="L25" s="150">
        <f t="shared" si="8"/>
        <v>-23.7</v>
      </c>
      <c r="M25" s="23">
        <f>IFERROR(100/'Skjema total MA'!I25*K25,0)</f>
        <v>2.8026956924486575</v>
      </c>
    </row>
    <row r="26" spans="1:14" ht="15.75" x14ac:dyDescent="0.2">
      <c r="A26" s="454" t="s">
        <v>327</v>
      </c>
      <c r="B26" s="266"/>
      <c r="C26" s="266"/>
      <c r="D26" s="150"/>
      <c r="E26" s="11"/>
      <c r="F26" s="275">
        <v>63341.823400000001</v>
      </c>
      <c r="G26" s="275">
        <v>61888.173360000001</v>
      </c>
      <c r="H26" s="150">
        <f t="shared" si="6"/>
        <v>-2.2999999999999998</v>
      </c>
      <c r="I26" s="394">
        <f>IFERROR(100/'Skjema total MA'!F26*G26,0)</f>
        <v>26.673529324276277</v>
      </c>
      <c r="J26" s="275">
        <f t="shared" si="9"/>
        <v>63341.823400000001</v>
      </c>
      <c r="K26" s="275">
        <f t="shared" si="10"/>
        <v>61888.173360000001</v>
      </c>
      <c r="L26" s="150">
        <f t="shared" si="8"/>
        <v>-2.2999999999999998</v>
      </c>
      <c r="M26" s="23">
        <f>IFERROR(100/'Skjema total MA'!I26*K26,0)</f>
        <v>26.673529324276277</v>
      </c>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v>88724.447499998001</v>
      </c>
      <c r="C28" s="272">
        <v>110760.861710003</v>
      </c>
      <c r="D28" s="150">
        <f t="shared" si="5"/>
        <v>24.8</v>
      </c>
      <c r="E28" s="11">
        <f>IFERROR(100/'Skjema total MA'!C28*C28,0)</f>
        <v>10.494471520092777</v>
      </c>
      <c r="F28" s="217"/>
      <c r="G28" s="272"/>
      <c r="H28" s="150"/>
      <c r="I28" s="27"/>
      <c r="J28" s="44">
        <f t="shared" si="7"/>
        <v>88724.447499998001</v>
      </c>
      <c r="K28" s="44">
        <f t="shared" si="7"/>
        <v>110760.861710003</v>
      </c>
      <c r="L28" s="242">
        <f t="shared" si="8"/>
        <v>24.8</v>
      </c>
      <c r="M28" s="23">
        <f>IFERROR(100/'Skjema total MA'!I28*K28,0)</f>
        <v>10.494471520092777</v>
      </c>
    </row>
    <row r="29" spans="1:14" s="3" customFormat="1" ht="15.75" x14ac:dyDescent="0.2">
      <c r="A29" s="13" t="s">
        <v>321</v>
      </c>
      <c r="B29" s="219">
        <v>7648107.4816399999</v>
      </c>
      <c r="C29" s="219">
        <v>6797669.3109999998</v>
      </c>
      <c r="D29" s="155">
        <f t="shared" si="5"/>
        <v>-11.1</v>
      </c>
      <c r="E29" s="11">
        <f>IFERROR(100/'Skjema total MA'!C29*C29,0)</f>
        <v>15.442711205402162</v>
      </c>
      <c r="F29" s="293">
        <v>8512464.9239000008</v>
      </c>
      <c r="G29" s="293">
        <v>9463581.23917</v>
      </c>
      <c r="H29" s="155">
        <f t="shared" si="6"/>
        <v>11.2</v>
      </c>
      <c r="I29" s="11">
        <f>IFERROR(100/'Skjema total MA'!F29*G29,0)</f>
        <v>33.677107905613525</v>
      </c>
      <c r="J29" s="219">
        <f t="shared" si="7"/>
        <v>16160572.405540001</v>
      </c>
      <c r="K29" s="219">
        <f t="shared" si="7"/>
        <v>16261250.550170001</v>
      </c>
      <c r="L29" s="405">
        <f t="shared" si="8"/>
        <v>0.6</v>
      </c>
      <c r="M29" s="24">
        <f>IFERROR(100/'Skjema total MA'!I29*K29,0)</f>
        <v>22.547629157222062</v>
      </c>
      <c r="N29" s="132"/>
    </row>
    <row r="30" spans="1:14" s="3" customFormat="1" ht="15.75" x14ac:dyDescent="0.2">
      <c r="A30" s="454" t="s">
        <v>324</v>
      </c>
      <c r="B30" s="266">
        <v>1153443.30894509</v>
      </c>
      <c r="C30" s="266">
        <v>1108517.7323131401</v>
      </c>
      <c r="D30" s="150">
        <f t="shared" si="5"/>
        <v>-3.9</v>
      </c>
      <c r="E30" s="11">
        <f>IFERROR(100/'Skjema total MA'!C30*C30,0)</f>
        <v>6.1997145750692919</v>
      </c>
      <c r="F30" s="275">
        <v>1081325.0989900001</v>
      </c>
      <c r="G30" s="275">
        <v>1105465.83956</v>
      </c>
      <c r="H30" s="150">
        <f t="shared" si="6"/>
        <v>2.2000000000000002</v>
      </c>
      <c r="I30" s="394">
        <f>IFERROR(100/'Skjema total MA'!F30*G30,0)</f>
        <v>29.278810060276687</v>
      </c>
      <c r="J30" s="275">
        <f t="shared" ref="J30:J33" si="11">SUM(B30,F30)</f>
        <v>2234768.4079350904</v>
      </c>
      <c r="K30" s="275">
        <f t="shared" ref="K30:K33" si="12">SUM(C30,G30)</f>
        <v>2213983.5718731401</v>
      </c>
      <c r="L30" s="150">
        <f t="shared" si="8"/>
        <v>-0.9</v>
      </c>
      <c r="M30" s="23">
        <f>IFERROR(100/'Skjema total MA'!I30*K30,0)</f>
        <v>10.223516540630902</v>
      </c>
      <c r="N30" s="132"/>
    </row>
    <row r="31" spans="1:14" s="3" customFormat="1" ht="15.75" x14ac:dyDescent="0.2">
      <c r="A31" s="454" t="s">
        <v>325</v>
      </c>
      <c r="B31" s="266">
        <v>6326415.9106949102</v>
      </c>
      <c r="C31" s="266">
        <v>5689151.5786868604</v>
      </c>
      <c r="D31" s="150">
        <f t="shared" si="5"/>
        <v>-10.1</v>
      </c>
      <c r="E31" s="11">
        <f>IFERROR(100/'Skjema total MA'!C31*C31,0)</f>
        <v>23.931421867526357</v>
      </c>
      <c r="F31" s="275">
        <v>2358185.7833599998</v>
      </c>
      <c r="G31" s="275">
        <v>2349383.35072</v>
      </c>
      <c r="H31" s="150">
        <f t="shared" si="6"/>
        <v>-0.4</v>
      </c>
      <c r="I31" s="394">
        <f>IFERROR(100/'Skjema total MA'!F31*G31,0)</f>
        <v>30.029428587707926</v>
      </c>
      <c r="J31" s="275">
        <f t="shared" si="11"/>
        <v>8684601.6940549091</v>
      </c>
      <c r="K31" s="275">
        <f t="shared" si="12"/>
        <v>8038534.9294068608</v>
      </c>
      <c r="L31" s="150">
        <f t="shared" si="8"/>
        <v>-7.4</v>
      </c>
      <c r="M31" s="23">
        <f>IFERROR(100/'Skjema total MA'!I31*K31,0)</f>
        <v>25.441356245064171</v>
      </c>
      <c r="N31" s="132"/>
    </row>
    <row r="32" spans="1:14" ht="15.75" x14ac:dyDescent="0.2">
      <c r="A32" s="454" t="s">
        <v>326</v>
      </c>
      <c r="B32" s="266"/>
      <c r="C32" s="266"/>
      <c r="D32" s="150"/>
      <c r="E32" s="11"/>
      <c r="F32" s="275">
        <v>2112343.4504</v>
      </c>
      <c r="G32" s="275">
        <v>2446747.59962</v>
      </c>
      <c r="H32" s="150">
        <f t="shared" si="6"/>
        <v>15.8</v>
      </c>
      <c r="I32" s="394">
        <f>IFERROR(100/'Skjema total MA'!F32*G32,0)</f>
        <v>38.683299901940963</v>
      </c>
      <c r="J32" s="275">
        <f t="shared" si="11"/>
        <v>2112343.4504</v>
      </c>
      <c r="K32" s="275">
        <f t="shared" si="12"/>
        <v>2446747.59962</v>
      </c>
      <c r="L32" s="150">
        <f t="shared" si="8"/>
        <v>15.8</v>
      </c>
      <c r="M32" s="23">
        <f>IFERROR(100/'Skjema total MA'!I32*K32,0)</f>
        <v>28.542099746932291</v>
      </c>
    </row>
    <row r="33" spans="1:14" ht="15.75" x14ac:dyDescent="0.2">
      <c r="A33" s="454" t="s">
        <v>327</v>
      </c>
      <c r="B33" s="266"/>
      <c r="C33" s="266"/>
      <c r="D33" s="150"/>
      <c r="E33" s="11"/>
      <c r="F33" s="275">
        <v>2960610.5911500002</v>
      </c>
      <c r="G33" s="275">
        <v>3561984.4492700002</v>
      </c>
      <c r="H33" s="150">
        <f t="shared" si="6"/>
        <v>20.3</v>
      </c>
      <c r="I33" s="394">
        <f>IFERROR(100/'Skjema total MA'!F33*G33,0)</f>
        <v>35.001704925185209</v>
      </c>
      <c r="J33" s="275">
        <f t="shared" si="11"/>
        <v>2960610.5911500002</v>
      </c>
      <c r="K33" s="275">
        <f t="shared" si="12"/>
        <v>3561984.4492700002</v>
      </c>
      <c r="L33" s="150">
        <f t="shared" si="8"/>
        <v>20.3</v>
      </c>
      <c r="M33" s="23">
        <f>IFERROR(100/'Skjema total MA'!I33*K33,0)</f>
        <v>35.001704925185209</v>
      </c>
    </row>
    <row r="34" spans="1:14" ht="15.75" x14ac:dyDescent="0.2">
      <c r="A34" s="13" t="s">
        <v>322</v>
      </c>
      <c r="B34" s="219">
        <v>4220.9260000000004</v>
      </c>
      <c r="C34" s="294">
        <v>2291.1619999999998</v>
      </c>
      <c r="D34" s="155">
        <f t="shared" si="5"/>
        <v>-45.7</v>
      </c>
      <c r="E34" s="11">
        <f>IFERROR(100/'Skjema total MA'!C34*C34,0)</f>
        <v>43.057550211777041</v>
      </c>
      <c r="F34" s="293">
        <v>10149.624739999999</v>
      </c>
      <c r="G34" s="294">
        <v>7853.9515899999997</v>
      </c>
      <c r="H34" s="155">
        <f t="shared" si="6"/>
        <v>-22.6</v>
      </c>
      <c r="I34" s="11">
        <f>IFERROR(100/'Skjema total MA'!F34*G34,0)</f>
        <v>-78.288402716749928</v>
      </c>
      <c r="J34" s="219">
        <f t="shared" si="7"/>
        <v>14370.550739999999</v>
      </c>
      <c r="K34" s="219">
        <f t="shared" si="7"/>
        <v>10145.113589999999</v>
      </c>
      <c r="L34" s="405">
        <f t="shared" si="8"/>
        <v>-29.4</v>
      </c>
      <c r="M34" s="24">
        <f>IFERROR(100/'Skjema total MA'!I34*K34,0)</f>
        <v>-215.35342997389856</v>
      </c>
    </row>
    <row r="35" spans="1:14" ht="15.75" x14ac:dyDescent="0.2">
      <c r="A35" s="13" t="s">
        <v>323</v>
      </c>
      <c r="B35" s="219">
        <v>0</v>
      </c>
      <c r="C35" s="294">
        <v>125.75749999999999</v>
      </c>
      <c r="D35" s="155" t="str">
        <f t="shared" si="5"/>
        <v xml:space="preserve">    ---- </v>
      </c>
      <c r="E35" s="11">
        <f>IFERROR(100/'Skjema total MA'!C35*C35,0)</f>
        <v>-0.21845322884798588</v>
      </c>
      <c r="F35" s="293">
        <v>16796.94498</v>
      </c>
      <c r="G35" s="294">
        <v>23910.45246</v>
      </c>
      <c r="H35" s="155">
        <f t="shared" si="6"/>
        <v>42.4</v>
      </c>
      <c r="I35" s="11">
        <f>IFERROR(100/'Skjema total MA'!F35*G35,0)</f>
        <v>40.61449950118967</v>
      </c>
      <c r="J35" s="219">
        <f t="shared" si="7"/>
        <v>16796.94498</v>
      </c>
      <c r="K35" s="219">
        <f t="shared" si="7"/>
        <v>24036.20996</v>
      </c>
      <c r="L35" s="405">
        <f t="shared" si="8"/>
        <v>43.1</v>
      </c>
      <c r="M35" s="24">
        <f>IFERROR(100/'Skjema total MA'!I35*K35,0)</f>
        <v>1842.5997490817485</v>
      </c>
    </row>
    <row r="36" spans="1:14" ht="15.75" x14ac:dyDescent="0.2">
      <c r="A36" s="12" t="s">
        <v>253</v>
      </c>
      <c r="B36" s="219">
        <v>33.872</v>
      </c>
      <c r="C36" s="294">
        <v>29.727</v>
      </c>
      <c r="D36" s="155">
        <f t="shared" si="5"/>
        <v>-12.2</v>
      </c>
      <c r="E36" s="11">
        <f>IFERROR(100/'Skjema total MA'!C36*C36,0)</f>
        <v>5.4174480206004079</v>
      </c>
      <c r="F36" s="304"/>
      <c r="G36" s="305"/>
      <c r="H36" s="155"/>
      <c r="I36" s="411">
        <f>IFERROR(100/'Skjema total MA'!F36*G36,0)</f>
        <v>0</v>
      </c>
      <c r="J36" s="219">
        <f t="shared" ref="J36:J37" si="13">SUM(B36,F36)</f>
        <v>33.872</v>
      </c>
      <c r="K36" s="219">
        <f t="shared" ref="K36:K37" si="14">SUM(C36,G36)</f>
        <v>29.727</v>
      </c>
      <c r="L36" s="405"/>
      <c r="M36" s="24">
        <f>IFERROR(100/'Skjema total MA'!I36*K36,0)</f>
        <v>5.4174480206004079</v>
      </c>
    </row>
    <row r="37" spans="1:14" ht="15.75" x14ac:dyDescent="0.2">
      <c r="A37" s="12" t="s">
        <v>329</v>
      </c>
      <c r="B37" s="219">
        <v>419780.43646</v>
      </c>
      <c r="C37" s="294">
        <v>399327.48022000003</v>
      </c>
      <c r="D37" s="155">
        <f t="shared" si="5"/>
        <v>-4.9000000000000004</v>
      </c>
      <c r="E37" s="11">
        <f>IFERROR(100/'Skjema total MA'!C37*C37,0)</f>
        <v>15.159308247797247</v>
      </c>
      <c r="F37" s="304"/>
      <c r="G37" s="306"/>
      <c r="H37" s="155"/>
      <c r="I37" s="411">
        <f>IFERROR(100/'Skjema total MA'!F37*G37,0)</f>
        <v>0</v>
      </c>
      <c r="J37" s="219">
        <f t="shared" si="13"/>
        <v>419780.43646</v>
      </c>
      <c r="K37" s="219">
        <f t="shared" si="14"/>
        <v>399327.48022000003</v>
      </c>
      <c r="L37" s="405"/>
      <c r="M37" s="24">
        <f>IFERROR(100/'Skjema total MA'!I37*K37,0)</f>
        <v>15.159308247797247</v>
      </c>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670854.49939999997</v>
      </c>
      <c r="C47" s="296">
        <v>766378.50762000005</v>
      </c>
      <c r="D47" s="404">
        <f t="shared" ref="D47:D57" si="15">IF(B47=0, "    ---- ", IF(ABS(ROUND(100/B47*C47-100,1))&lt;999,ROUND(100/B47*C47-100,1),IF(ROUND(100/B47*C47-100,1)&gt;999,999,-999)))</f>
        <v>14.2</v>
      </c>
      <c r="E47" s="11">
        <f>IFERROR(100/'Skjema total MA'!C47*C47,0)</f>
        <v>18.608519488767229</v>
      </c>
      <c r="F47" s="129"/>
      <c r="G47" s="33"/>
      <c r="H47" s="143"/>
      <c r="I47" s="143"/>
      <c r="J47" s="37"/>
      <c r="K47" s="37"/>
      <c r="L47" s="143"/>
      <c r="M47" s="143"/>
      <c r="N47" s="132"/>
    </row>
    <row r="48" spans="1:14" s="3" customFormat="1" ht="15.75" x14ac:dyDescent="0.2">
      <c r="A48" s="38" t="s">
        <v>332</v>
      </c>
      <c r="B48" s="266">
        <v>189116.70300000001</v>
      </c>
      <c r="C48" s="267">
        <v>204239.185</v>
      </c>
      <c r="D48" s="242">
        <f t="shared" si="15"/>
        <v>8</v>
      </c>
      <c r="E48" s="27">
        <f>IFERROR(100/'Skjema total MA'!C48*C48,0)</f>
        <v>9.2807762967101279</v>
      </c>
      <c r="F48" s="129"/>
      <c r="G48" s="33"/>
      <c r="H48" s="129"/>
      <c r="I48" s="129"/>
      <c r="J48" s="33"/>
      <c r="K48" s="33"/>
      <c r="L48" s="143"/>
      <c r="M48" s="143"/>
      <c r="N48" s="132"/>
    </row>
    <row r="49" spans="1:14" s="3" customFormat="1" ht="15.75" x14ac:dyDescent="0.2">
      <c r="A49" s="38" t="s">
        <v>333</v>
      </c>
      <c r="B49" s="44">
        <v>481737.79639999999</v>
      </c>
      <c r="C49" s="272">
        <v>562139.32261999999</v>
      </c>
      <c r="D49" s="242">
        <f>IF(B49=0, "    ---- ", IF(ABS(ROUND(100/B49*C49-100,1))&lt;999,ROUND(100/B49*C49-100,1),IF(ROUND(100/B49*C49-100,1)&gt;999,999,-999)))</f>
        <v>16.7</v>
      </c>
      <c r="E49" s="27">
        <f>IFERROR(100/'Skjema total MA'!C49*C49,0)</f>
        <v>29.31230313634607</v>
      </c>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v>2295.6889999999999</v>
      </c>
      <c r="C53" s="296">
        <v>8627.3189999999995</v>
      </c>
      <c r="D53" s="405">
        <f t="shared" si="15"/>
        <v>275.8</v>
      </c>
      <c r="E53" s="11">
        <f>IFERROR(100/'Skjema total MA'!C53*C53,0)</f>
        <v>8.4492527721696078</v>
      </c>
      <c r="F53" s="129"/>
      <c r="G53" s="33"/>
      <c r="H53" s="129"/>
      <c r="I53" s="129"/>
      <c r="J53" s="33"/>
      <c r="K53" s="33"/>
      <c r="L53" s="143"/>
      <c r="M53" s="143"/>
      <c r="N53" s="132"/>
    </row>
    <row r="54" spans="1:14" s="3" customFormat="1" ht="15.75" x14ac:dyDescent="0.2">
      <c r="A54" s="38" t="s">
        <v>332</v>
      </c>
      <c r="B54" s="266">
        <v>2295.6889999999999</v>
      </c>
      <c r="C54" s="267">
        <v>8627.3189999999995</v>
      </c>
      <c r="D54" s="242">
        <f t="shared" si="15"/>
        <v>275.8</v>
      </c>
      <c r="E54" s="27">
        <f>IFERROR(100/'Skjema total MA'!C54*C54,0)</f>
        <v>8.531891584326539</v>
      </c>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v>482.58199999999999</v>
      </c>
      <c r="D56" s="405" t="str">
        <f t="shared" si="15"/>
        <v xml:space="preserve">    ---- </v>
      </c>
      <c r="E56" s="11">
        <f>IFERROR(100/'Skjema total MA'!C56*C56,0)</f>
        <v>0.50262215343006234</v>
      </c>
      <c r="F56" s="129"/>
      <c r="G56" s="33"/>
      <c r="H56" s="129"/>
      <c r="I56" s="129"/>
      <c r="J56" s="33"/>
      <c r="K56" s="33"/>
      <c r="L56" s="143"/>
      <c r="M56" s="143"/>
      <c r="N56" s="132"/>
    </row>
    <row r="57" spans="1:14" s="3" customFormat="1" ht="15.75" x14ac:dyDescent="0.2">
      <c r="A57" s="38" t="s">
        <v>332</v>
      </c>
      <c r="B57" s="266"/>
      <c r="C57" s="267">
        <v>482.58199999999999</v>
      </c>
      <c r="D57" s="242" t="str">
        <f t="shared" si="15"/>
        <v xml:space="preserve">    ---- </v>
      </c>
      <c r="E57" s="27">
        <f>IFERROR(100/'Skjema total MA'!C57*C57,0)</f>
        <v>0.50262215343006234</v>
      </c>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1485753.28636</v>
      </c>
      <c r="C66" s="337">
        <v>1189753.80394</v>
      </c>
      <c r="D66" s="334">
        <f t="shared" ref="D66:D111" si="16">IF(B66=0, "    ---- ", IF(ABS(ROUND(100/B66*C66-100,1))&lt;999,ROUND(100/B66*C66-100,1),IF(ROUND(100/B66*C66-100,1)&gt;999,999,-999)))</f>
        <v>-19.899999999999999</v>
      </c>
      <c r="E66" s="11">
        <f>IFERROR(100/'Skjema total MA'!C66*C66,0)</f>
        <v>40.337217624211981</v>
      </c>
      <c r="F66" s="336">
        <v>4021216.9633900002</v>
      </c>
      <c r="G66" s="336">
        <v>4074737.8289000001</v>
      </c>
      <c r="H66" s="334">
        <f t="shared" ref="H66:H111" si="17">IF(F66=0, "    ---- ", IF(ABS(ROUND(100/F66*G66-100,1))&lt;999,ROUND(100/F66*G66-100,1),IF(ROUND(100/F66*G66-100,1)&gt;999,999,-999)))</f>
        <v>1.3</v>
      </c>
      <c r="I66" s="11">
        <f>IFERROR(100/'Skjema total MA'!F66*G66,0)</f>
        <v>32.148555778882745</v>
      </c>
      <c r="J66" s="294">
        <f t="shared" ref="J66:K86" si="18">SUM(B66,F66)</f>
        <v>5506970.2497500004</v>
      </c>
      <c r="K66" s="301">
        <f t="shared" si="18"/>
        <v>5264491.6328400001</v>
      </c>
      <c r="L66" s="405">
        <f t="shared" ref="L66:L111" si="19">IF(J66=0, "    ---- ", IF(ABS(ROUND(100/J66*K66-100,1))&lt;999,ROUND(100/J66*K66-100,1),IF(ROUND(100/J66*K66-100,1)&gt;999,999,-999)))</f>
        <v>-4.4000000000000004</v>
      </c>
      <c r="M66" s="11">
        <f>IFERROR(100/'Skjema total MA'!I66*K66,0)</f>
        <v>33.694398737642153</v>
      </c>
    </row>
    <row r="67" spans="1:14" x14ac:dyDescent="0.2">
      <c r="A67" s="396" t="s">
        <v>9</v>
      </c>
      <c r="B67" s="44">
        <v>1021336.99356</v>
      </c>
      <c r="C67" s="129">
        <v>636632.86106999998</v>
      </c>
      <c r="D67" s="150">
        <f t="shared" si="16"/>
        <v>-37.700000000000003</v>
      </c>
      <c r="E67" s="27">
        <f>IFERROR(100/'Skjema total MA'!C67*C67,0)</f>
        <v>32.153231329067481</v>
      </c>
      <c r="F67" s="217"/>
      <c r="G67" s="129"/>
      <c r="H67" s="150"/>
      <c r="I67" s="27"/>
      <c r="J67" s="272">
        <f t="shared" si="18"/>
        <v>1021336.99356</v>
      </c>
      <c r="K67" s="44">
        <f t="shared" si="18"/>
        <v>636632.86106999998</v>
      </c>
      <c r="L67" s="242">
        <f t="shared" si="19"/>
        <v>-37.700000000000003</v>
      </c>
      <c r="M67" s="27">
        <f>IFERROR(100/'Skjema total MA'!I67*K67,0)</f>
        <v>32.153231329067481</v>
      </c>
    </row>
    <row r="68" spans="1:14" x14ac:dyDescent="0.2">
      <c r="A68" s="21" t="s">
        <v>10</v>
      </c>
      <c r="B68" s="277"/>
      <c r="C68" s="278"/>
      <c r="D68" s="150"/>
      <c r="E68" s="27"/>
      <c r="F68" s="277">
        <v>3511160.5793900001</v>
      </c>
      <c r="G68" s="278">
        <v>3661340.6206499999</v>
      </c>
      <c r="H68" s="150">
        <f t="shared" si="17"/>
        <v>4.3</v>
      </c>
      <c r="I68" s="27">
        <f>IFERROR(100/'Skjema total MA'!F68*G68,0)</f>
        <v>30.121863309422626</v>
      </c>
      <c r="J68" s="272">
        <f t="shared" si="18"/>
        <v>3511160.5793900001</v>
      </c>
      <c r="K68" s="44">
        <f t="shared" si="18"/>
        <v>3661340.6206499999</v>
      </c>
      <c r="L68" s="242">
        <f t="shared" si="19"/>
        <v>4.3</v>
      </c>
      <c r="M68" s="27">
        <f>IFERROR(100/'Skjema total MA'!I68*K68,0)</f>
        <v>30.097871706395853</v>
      </c>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v>61852.793749999997</v>
      </c>
      <c r="C75" s="129">
        <v>74468.702999999994</v>
      </c>
      <c r="D75" s="150">
        <f t="shared" si="16"/>
        <v>20.399999999999999</v>
      </c>
      <c r="E75" s="27">
        <f>IFERROR(100/'Skjema total MA'!C75*C75,0)</f>
        <v>43.594701892462439</v>
      </c>
      <c r="F75" s="217">
        <v>510056.38400000002</v>
      </c>
      <c r="G75" s="129">
        <v>413397.20825000003</v>
      </c>
      <c r="H75" s="150">
        <f t="shared" si="17"/>
        <v>-19</v>
      </c>
      <c r="I75" s="27">
        <f>IFERROR(100/'Skjema total MA'!F75*G75,0)</f>
        <v>79.557353717319657</v>
      </c>
      <c r="J75" s="272">
        <f t="shared" si="18"/>
        <v>571909.17775000003</v>
      </c>
      <c r="K75" s="44">
        <f t="shared" si="18"/>
        <v>487865.91125</v>
      </c>
      <c r="L75" s="242">
        <f t="shared" si="19"/>
        <v>-14.7</v>
      </c>
      <c r="M75" s="27">
        <f>IFERROR(100/'Skjema total MA'!I75*K75,0)</f>
        <v>70.659925595413</v>
      </c>
      <c r="N75" s="132"/>
    </row>
    <row r="76" spans="1:14" s="3" customFormat="1" x14ac:dyDescent="0.2">
      <c r="A76" s="21" t="s">
        <v>307</v>
      </c>
      <c r="B76" s="217">
        <v>402563.49904999998</v>
      </c>
      <c r="C76" s="129">
        <v>478652.23986999999</v>
      </c>
      <c r="D76" s="150">
        <f t="shared" ref="D76" si="20">IF(B76=0, "    ---- ", IF(ABS(ROUND(100/B76*C76-100,1))&lt;999,ROUND(100/B76*C76-100,1),IF(ROUND(100/B76*C76-100,1)&gt;999,999,-999)))</f>
        <v>18.899999999999999</v>
      </c>
      <c r="E76" s="27">
        <f>IFERROR(100/'Skjema total MA'!C77*C76,0)</f>
        <v>25.036859252731205</v>
      </c>
      <c r="F76" s="217"/>
      <c r="G76" s="129"/>
      <c r="H76" s="150"/>
      <c r="I76" s="27"/>
      <c r="J76" s="272">
        <f t="shared" ref="J76" si="21">SUM(B76,F76)</f>
        <v>402563.49904999998</v>
      </c>
      <c r="K76" s="44">
        <f t="shared" ref="K76" si="22">SUM(C76,G76)</f>
        <v>478652.23986999999</v>
      </c>
      <c r="L76" s="242">
        <f t="shared" ref="L76" si="23">IF(J76=0, "    ---- ", IF(ABS(ROUND(100/J76*K76-100,1))&lt;999,ROUND(100/J76*K76-100,1),IF(ROUND(100/J76*K76-100,1)&gt;999,999,-999)))</f>
        <v>18.899999999999999</v>
      </c>
      <c r="M76" s="27">
        <f>IFERROR(100/'Skjema total MA'!I77*K76,0)</f>
        <v>3.4035650601736798</v>
      </c>
      <c r="N76" s="132"/>
    </row>
    <row r="77" spans="1:14" ht="15.75" x14ac:dyDescent="0.2">
      <c r="A77" s="21" t="s">
        <v>338</v>
      </c>
      <c r="B77" s="217">
        <v>978582.58256000001</v>
      </c>
      <c r="C77" s="217">
        <v>590548.70406999998</v>
      </c>
      <c r="D77" s="150">
        <f t="shared" si="16"/>
        <v>-39.700000000000003</v>
      </c>
      <c r="E77" s="27">
        <f>IFERROR(100/'Skjema total MA'!C77*C77,0)</f>
        <v>30.889826797215196</v>
      </c>
      <c r="F77" s="217">
        <v>3511160.5793900001</v>
      </c>
      <c r="G77" s="129">
        <v>3661340.6206499999</v>
      </c>
      <c r="H77" s="150">
        <f t="shared" si="17"/>
        <v>4.3</v>
      </c>
      <c r="I77" s="27">
        <f>IFERROR(100/'Skjema total MA'!F77*G77,0)</f>
        <v>30.1308432852409</v>
      </c>
      <c r="J77" s="272">
        <f t="shared" si="18"/>
        <v>4489743.1619499996</v>
      </c>
      <c r="K77" s="44">
        <f t="shared" si="18"/>
        <v>4251889.3247199999</v>
      </c>
      <c r="L77" s="242">
        <f t="shared" si="19"/>
        <v>-5.3</v>
      </c>
      <c r="M77" s="27">
        <f>IFERROR(100/'Skjema total MA'!I77*K77,0)</f>
        <v>30.234021153380326</v>
      </c>
    </row>
    <row r="78" spans="1:14" x14ac:dyDescent="0.2">
      <c r="A78" s="21" t="s">
        <v>9</v>
      </c>
      <c r="B78" s="217">
        <v>978582.58256000001</v>
      </c>
      <c r="C78" s="129">
        <v>590548.70406999998</v>
      </c>
      <c r="D78" s="150">
        <f t="shared" si="16"/>
        <v>-39.700000000000003</v>
      </c>
      <c r="E78" s="27">
        <f>IFERROR(100/'Skjema total MA'!C78*C78,0)</f>
        <v>31.047175668525238</v>
      </c>
      <c r="F78" s="217"/>
      <c r="G78" s="129"/>
      <c r="H78" s="150"/>
      <c r="I78" s="27"/>
      <c r="J78" s="272">
        <f t="shared" si="18"/>
        <v>978582.58256000001</v>
      </c>
      <c r="K78" s="44">
        <f t="shared" si="18"/>
        <v>590548.70406999998</v>
      </c>
      <c r="L78" s="242">
        <f t="shared" si="19"/>
        <v>-39.700000000000003</v>
      </c>
      <c r="M78" s="27">
        <f>IFERROR(100/'Skjema total MA'!I78*K78,0)</f>
        <v>31.047175668525238</v>
      </c>
    </row>
    <row r="79" spans="1:14" x14ac:dyDescent="0.2">
      <c r="A79" s="38" t="s">
        <v>366</v>
      </c>
      <c r="B79" s="277"/>
      <c r="C79" s="278"/>
      <c r="D79" s="150"/>
      <c r="E79" s="27"/>
      <c r="F79" s="277">
        <v>3511160.5793900001</v>
      </c>
      <c r="G79" s="278">
        <v>3661340.6206499999</v>
      </c>
      <c r="H79" s="150">
        <f t="shared" si="17"/>
        <v>4.3</v>
      </c>
      <c r="I79" s="27">
        <f>IFERROR(100/'Skjema total MA'!F79*G79,0)</f>
        <v>30.1308432852409</v>
      </c>
      <c r="J79" s="272">
        <f t="shared" si="18"/>
        <v>3511160.5793900001</v>
      </c>
      <c r="K79" s="44">
        <f t="shared" si="18"/>
        <v>3661340.6206499999</v>
      </c>
      <c r="L79" s="242">
        <f t="shared" si="19"/>
        <v>4.3</v>
      </c>
      <c r="M79" s="27">
        <f>IFERROR(100/'Skjema total MA'!I79*K79,0)</f>
        <v>30.106837380955476</v>
      </c>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v>42754.411</v>
      </c>
      <c r="C86" s="129">
        <v>46084.156999999999</v>
      </c>
      <c r="D86" s="150">
        <f t="shared" si="16"/>
        <v>7.8</v>
      </c>
      <c r="E86" s="27">
        <f>IFERROR(100/'Skjema total MA'!C86*C86,0)</f>
        <v>59.161282176877179</v>
      </c>
      <c r="F86" s="217"/>
      <c r="G86" s="129"/>
      <c r="H86" s="150"/>
      <c r="I86" s="27"/>
      <c r="J86" s="272">
        <f t="shared" si="18"/>
        <v>42754.411</v>
      </c>
      <c r="K86" s="44">
        <f t="shared" si="18"/>
        <v>46084.156999999999</v>
      </c>
      <c r="L86" s="242">
        <f t="shared" si="19"/>
        <v>7.8</v>
      </c>
      <c r="M86" s="27">
        <f>IFERROR(100/'Skjema total MA'!I86*K86,0)</f>
        <v>56.532200943050661</v>
      </c>
    </row>
    <row r="87" spans="1:13" ht="15.75" x14ac:dyDescent="0.2">
      <c r="A87" s="13" t="s">
        <v>321</v>
      </c>
      <c r="B87" s="337">
        <v>170785450.98250002</v>
      </c>
      <c r="C87" s="337">
        <v>174185121.88381001</v>
      </c>
      <c r="D87" s="155">
        <f t="shared" si="16"/>
        <v>2</v>
      </c>
      <c r="E87" s="11">
        <f>IFERROR(100/'Skjema total MA'!C87*C87,0)</f>
        <v>43.190313726484256</v>
      </c>
      <c r="F87" s="336">
        <v>168943399.1451</v>
      </c>
      <c r="G87" s="336">
        <v>201494137.88587001</v>
      </c>
      <c r="H87" s="155">
        <f t="shared" si="17"/>
        <v>19.3</v>
      </c>
      <c r="I87" s="11">
        <f>IFERROR(100/'Skjema total MA'!F87*G87,0)</f>
        <v>34.266649586041787</v>
      </c>
      <c r="J87" s="294">
        <f t="shared" ref="J87:K111" si="24">SUM(B87,F87)</f>
        <v>339728850.12760001</v>
      </c>
      <c r="K87" s="219">
        <f t="shared" si="24"/>
        <v>375679259.76968002</v>
      </c>
      <c r="L87" s="405">
        <f t="shared" si="19"/>
        <v>10.6</v>
      </c>
      <c r="M87" s="11">
        <f>IFERROR(100/'Skjema total MA'!I87*K87,0)</f>
        <v>37.897064529561646</v>
      </c>
    </row>
    <row r="88" spans="1:13" x14ac:dyDescent="0.2">
      <c r="A88" s="21" t="s">
        <v>9</v>
      </c>
      <c r="B88" s="217">
        <v>161872002.56505001</v>
      </c>
      <c r="C88" s="129">
        <v>162471139.97536001</v>
      </c>
      <c r="D88" s="150">
        <f t="shared" si="16"/>
        <v>0.4</v>
      </c>
      <c r="E88" s="27">
        <f>IFERROR(100/'Skjema total MA'!C88*C88,0)</f>
        <v>42.294396120771324</v>
      </c>
      <c r="F88" s="217"/>
      <c r="G88" s="129"/>
      <c r="H88" s="150"/>
      <c r="I88" s="27"/>
      <c r="J88" s="272">
        <f t="shared" si="24"/>
        <v>161872002.56505001</v>
      </c>
      <c r="K88" s="44">
        <f t="shared" si="24"/>
        <v>162471139.97536001</v>
      </c>
      <c r="L88" s="242">
        <f t="shared" si="19"/>
        <v>0.4</v>
      </c>
      <c r="M88" s="27">
        <f>IFERROR(100/'Skjema total MA'!I88*K88,0)</f>
        <v>42.294396120771324</v>
      </c>
    </row>
    <row r="89" spans="1:13" x14ac:dyDescent="0.2">
      <c r="A89" s="21" t="s">
        <v>10</v>
      </c>
      <c r="B89" s="217">
        <v>48330.8033</v>
      </c>
      <c r="C89" s="129">
        <v>47410.378819999998</v>
      </c>
      <c r="D89" s="150">
        <f t="shared" si="16"/>
        <v>-1.9</v>
      </c>
      <c r="E89" s="27">
        <f>IFERROR(100/'Skjema total MA'!C89*C89,0)</f>
        <v>2.0248993119981322</v>
      </c>
      <c r="F89" s="217">
        <v>164630641.38666999</v>
      </c>
      <c r="G89" s="129">
        <v>195306729.77743</v>
      </c>
      <c r="H89" s="150">
        <f t="shared" si="17"/>
        <v>18.600000000000001</v>
      </c>
      <c r="I89" s="27">
        <f>IFERROR(100/'Skjema total MA'!F89*G89,0)</f>
        <v>33.713018083533697</v>
      </c>
      <c r="J89" s="272">
        <f t="shared" si="24"/>
        <v>164678972.18996999</v>
      </c>
      <c r="K89" s="44">
        <f t="shared" si="24"/>
        <v>195354140.15625</v>
      </c>
      <c r="L89" s="242">
        <f t="shared" si="19"/>
        <v>18.600000000000001</v>
      </c>
      <c r="M89" s="27">
        <f>IFERROR(100/'Skjema total MA'!I89*K89,0)</f>
        <v>33.585463761223984</v>
      </c>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v>1516918.61583</v>
      </c>
      <c r="C96" s="129">
        <v>2446340.7422799999</v>
      </c>
      <c r="D96" s="150">
        <f t="shared" si="16"/>
        <v>61.3</v>
      </c>
      <c r="E96" s="27">
        <f>IFERROR(100/'Skjema total MA'!C96*C96,0)</f>
        <v>43.335841182966412</v>
      </c>
      <c r="F96" s="217">
        <v>4312757.7584300004</v>
      </c>
      <c r="G96" s="129">
        <v>6187408.1084399996</v>
      </c>
      <c r="H96" s="150">
        <f t="shared" si="17"/>
        <v>43.5</v>
      </c>
      <c r="I96" s="27">
        <f>IFERROR(100/'Skjema total MA'!F96*G96,0)</f>
        <v>71.145794062575888</v>
      </c>
      <c r="J96" s="272">
        <f t="shared" si="24"/>
        <v>5829676.3742600009</v>
      </c>
      <c r="K96" s="44">
        <f t="shared" si="24"/>
        <v>8633748.8507199995</v>
      </c>
      <c r="L96" s="242">
        <f t="shared" si="19"/>
        <v>48.1</v>
      </c>
      <c r="M96" s="27">
        <f>IFERROR(100/'Skjema total MA'!I96*K96,0)</f>
        <v>60.199578219231356</v>
      </c>
    </row>
    <row r="97" spans="1:13" x14ac:dyDescent="0.2">
      <c r="A97" s="21" t="s">
        <v>305</v>
      </c>
      <c r="B97" s="217">
        <v>7348198.9983200002</v>
      </c>
      <c r="C97" s="129">
        <v>9220230.7873500008</v>
      </c>
      <c r="D97" s="150">
        <f t="shared" ref="D97" si="25">IF(B97=0, "    ---- ", IF(ABS(ROUND(100/B97*C97-100,1))&lt;999,ROUND(100/B97*C97-100,1),IF(ROUND(100/B97*C97-100,1)&gt;999,999,-999)))</f>
        <v>25.5</v>
      </c>
      <c r="E97" s="27">
        <f>IFERROR(100/'Skjema total MA'!C98*C97,0)</f>
        <v>2.4127590613011858</v>
      </c>
      <c r="F97" s="217"/>
      <c r="G97" s="129"/>
      <c r="H97" s="150"/>
      <c r="I97" s="27"/>
      <c r="J97" s="272">
        <f t="shared" ref="J97" si="26">SUM(B97,F97)</f>
        <v>7348198.9983200002</v>
      </c>
      <c r="K97" s="44">
        <f t="shared" ref="K97" si="27">SUM(C97,G97)</f>
        <v>9220230.7873500008</v>
      </c>
      <c r="L97" s="242">
        <f t="shared" ref="L97" si="28">IF(J97=0, "    ---- ", IF(ABS(ROUND(100/J97*K97-100,1))&lt;999,ROUND(100/J97*K97-100,1),IF(ROUND(100/J97*K97-100,1)&gt;999,999,-999)))</f>
        <v>25.5</v>
      </c>
      <c r="M97" s="27">
        <f>IFERROR(100/'Skjema total MA'!I98*K97,0)</f>
        <v>0.95937397430869964</v>
      </c>
    </row>
    <row r="98" spans="1:13" ht="15.75" x14ac:dyDescent="0.2">
      <c r="A98" s="21" t="s">
        <v>338</v>
      </c>
      <c r="B98" s="217">
        <v>158664423.85034999</v>
      </c>
      <c r="C98" s="217">
        <v>159336299.74917999</v>
      </c>
      <c r="D98" s="150">
        <f t="shared" si="16"/>
        <v>0.4</v>
      </c>
      <c r="E98" s="27">
        <f>IFERROR(100/'Skjema total MA'!C98*C98,0)</f>
        <v>41.695279638930636</v>
      </c>
      <c r="F98" s="277">
        <v>164630641.38666999</v>
      </c>
      <c r="G98" s="277">
        <v>195306729.77743</v>
      </c>
      <c r="H98" s="150">
        <f t="shared" si="17"/>
        <v>18.600000000000001</v>
      </c>
      <c r="I98" s="27">
        <f>IFERROR(100/'Skjema total MA'!F98*G98,0)</f>
        <v>33.736234357100493</v>
      </c>
      <c r="J98" s="272">
        <f t="shared" si="24"/>
        <v>323295065.23702002</v>
      </c>
      <c r="K98" s="44">
        <f t="shared" si="24"/>
        <v>354643029.52661002</v>
      </c>
      <c r="L98" s="242">
        <f t="shared" si="19"/>
        <v>9.6999999999999993</v>
      </c>
      <c r="M98" s="27">
        <f>IFERROR(100/'Skjema total MA'!I98*K98,0)</f>
        <v>36.900951889904796</v>
      </c>
    </row>
    <row r="99" spans="1:13" x14ac:dyDescent="0.2">
      <c r="A99" s="21" t="s">
        <v>9</v>
      </c>
      <c r="B99" s="277">
        <v>158616093.04705</v>
      </c>
      <c r="C99" s="278">
        <v>159288889.37035999</v>
      </c>
      <c r="D99" s="150">
        <f t="shared" si="16"/>
        <v>0.4</v>
      </c>
      <c r="E99" s="27">
        <f>IFERROR(100/'Skjema total MA'!C99*C99,0)</f>
        <v>41.93983522791379</v>
      </c>
      <c r="F99" s="217"/>
      <c r="G99" s="129"/>
      <c r="H99" s="150"/>
      <c r="I99" s="27"/>
      <c r="J99" s="272">
        <f t="shared" si="24"/>
        <v>158616093.04705</v>
      </c>
      <c r="K99" s="44">
        <f t="shared" si="24"/>
        <v>159288889.37035999</v>
      </c>
      <c r="L99" s="242">
        <f t="shared" si="19"/>
        <v>0.4</v>
      </c>
      <c r="M99" s="27">
        <f>IFERROR(100/'Skjema total MA'!I99*K99,0)</f>
        <v>41.93983522791379</v>
      </c>
    </row>
    <row r="100" spans="1:13" x14ac:dyDescent="0.2">
      <c r="A100" s="38" t="s">
        <v>366</v>
      </c>
      <c r="B100" s="277">
        <v>48330.8033</v>
      </c>
      <c r="C100" s="278">
        <v>47410.378819999998</v>
      </c>
      <c r="D100" s="150">
        <f t="shared" si="16"/>
        <v>-1.9</v>
      </c>
      <c r="E100" s="27">
        <f>IFERROR(100/'Skjema total MA'!C100*C100,0)</f>
        <v>2.0248993119981322</v>
      </c>
      <c r="F100" s="217">
        <v>164630641.38666999</v>
      </c>
      <c r="G100" s="217">
        <v>195306729.77743</v>
      </c>
      <c r="H100" s="150">
        <f t="shared" si="17"/>
        <v>18.600000000000001</v>
      </c>
      <c r="I100" s="27">
        <f>IFERROR(100/'Skjema total MA'!F100*G100,0)</f>
        <v>33.736234357100493</v>
      </c>
      <c r="J100" s="272">
        <f t="shared" si="24"/>
        <v>164678972.18996999</v>
      </c>
      <c r="K100" s="44">
        <f t="shared" si="24"/>
        <v>195354140.15625</v>
      </c>
      <c r="L100" s="242">
        <f t="shared" si="19"/>
        <v>18.600000000000001</v>
      </c>
      <c r="M100" s="27">
        <f>IFERROR(100/'Skjema total MA'!I100*K100,0)</f>
        <v>33.608499032409668</v>
      </c>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v>3255909.5180000002</v>
      </c>
      <c r="C107" s="129">
        <v>3182250.605</v>
      </c>
      <c r="D107" s="150">
        <f t="shared" si="16"/>
        <v>-2.2999999999999998</v>
      </c>
      <c r="E107" s="27">
        <f>IFERROR(100/'Skjema total MA'!C107*C107,0)</f>
        <v>73.322158947038361</v>
      </c>
      <c r="F107" s="217"/>
      <c r="G107" s="129"/>
      <c r="H107" s="150"/>
      <c r="I107" s="27"/>
      <c r="J107" s="272">
        <f t="shared" si="24"/>
        <v>3255909.5180000002</v>
      </c>
      <c r="K107" s="44">
        <f t="shared" si="24"/>
        <v>3182250.605</v>
      </c>
      <c r="L107" s="242">
        <f t="shared" si="19"/>
        <v>-2.2999999999999998</v>
      </c>
      <c r="M107" s="27">
        <f>IFERROR(100/'Skjema total MA'!I107*K107,0)</f>
        <v>67.153570371081955</v>
      </c>
    </row>
    <row r="108" spans="1:13" ht="15.75" x14ac:dyDescent="0.2">
      <c r="A108" s="21" t="s">
        <v>340</v>
      </c>
      <c r="B108" s="217">
        <v>140726535.23620999</v>
      </c>
      <c r="C108" s="217">
        <v>142764844.01141</v>
      </c>
      <c r="D108" s="150">
        <f t="shared" si="16"/>
        <v>1.4</v>
      </c>
      <c r="E108" s="27">
        <f>IFERROR(100/'Skjema total MA'!C108*C108,0)</f>
        <v>43.047199360668976</v>
      </c>
      <c r="F108" s="217">
        <v>19249592.885469999</v>
      </c>
      <c r="G108" s="217">
        <v>20735644.561840001</v>
      </c>
      <c r="H108" s="150">
        <f t="shared" si="17"/>
        <v>7.7</v>
      </c>
      <c r="I108" s="27">
        <f>IFERROR(100/'Skjema total MA'!F108*G108,0)</f>
        <v>93.851901161219587</v>
      </c>
      <c r="J108" s="272">
        <f t="shared" si="24"/>
        <v>159976128.12167999</v>
      </c>
      <c r="K108" s="44">
        <f t="shared" si="24"/>
        <v>163500488.57325</v>
      </c>
      <c r="L108" s="242">
        <f t="shared" si="19"/>
        <v>2.2000000000000002</v>
      </c>
      <c r="M108" s="27">
        <f>IFERROR(100/'Skjema total MA'!I108*K108,0)</f>
        <v>46.220364568517262</v>
      </c>
    </row>
    <row r="109" spans="1:13" ht="15.75" x14ac:dyDescent="0.2">
      <c r="A109" s="38" t="s">
        <v>374</v>
      </c>
      <c r="B109" s="217">
        <v>452967.94400000002</v>
      </c>
      <c r="C109" s="217">
        <v>615229.61</v>
      </c>
      <c r="D109" s="150">
        <f t="shared" si="16"/>
        <v>35.799999999999997</v>
      </c>
      <c r="E109" s="27">
        <f>IFERROR(100/'Skjema total MA'!C109*C109,0)</f>
        <v>25.083567383679508</v>
      </c>
      <c r="F109" s="217">
        <v>53411105.125189804</v>
      </c>
      <c r="G109" s="217">
        <v>64254121.22817</v>
      </c>
      <c r="H109" s="150">
        <f t="shared" si="17"/>
        <v>20.3</v>
      </c>
      <c r="I109" s="27">
        <f>IFERROR(100/'Skjema total MA'!F109*G109,0)</f>
        <v>29.562052756889656</v>
      </c>
      <c r="J109" s="272">
        <f t="shared" si="24"/>
        <v>53864073.069189802</v>
      </c>
      <c r="K109" s="44">
        <f t="shared" si="24"/>
        <v>64869350.838169999</v>
      </c>
      <c r="L109" s="242">
        <f t="shared" si="19"/>
        <v>20.399999999999999</v>
      </c>
      <c r="M109" s="27">
        <f>IFERROR(100/'Skjema total MA'!I109*K109,0)</f>
        <v>29.51207930549608</v>
      </c>
    </row>
    <row r="110" spans="1:13" ht="15.75" x14ac:dyDescent="0.2">
      <c r="A110" s="21" t="s">
        <v>341</v>
      </c>
      <c r="B110" s="217">
        <v>789380.30766000005</v>
      </c>
      <c r="C110" s="217">
        <v>1404590.49981</v>
      </c>
      <c r="D110" s="150">
        <f t="shared" si="16"/>
        <v>77.900000000000006</v>
      </c>
      <c r="E110" s="27">
        <f>IFERROR(100/'Skjema total MA'!C110*C110,0)</f>
        <v>53.008540048637151</v>
      </c>
      <c r="F110" s="217"/>
      <c r="G110" s="217"/>
      <c r="H110" s="150"/>
      <c r="I110" s="27"/>
      <c r="J110" s="272">
        <f t="shared" si="24"/>
        <v>789380.30766000005</v>
      </c>
      <c r="K110" s="44">
        <f t="shared" si="24"/>
        <v>1404590.49981</v>
      </c>
      <c r="L110" s="242">
        <f t="shared" si="19"/>
        <v>77.900000000000006</v>
      </c>
      <c r="M110" s="27">
        <f>IFERROR(100/'Skjema total MA'!I110*K110,0)</f>
        <v>53.008540048637151</v>
      </c>
    </row>
    <row r="111" spans="1:13" ht="15.75" x14ac:dyDescent="0.2">
      <c r="A111" s="13" t="s">
        <v>322</v>
      </c>
      <c r="B111" s="293">
        <v>67899.459000000003</v>
      </c>
      <c r="C111" s="143">
        <v>62379.245000000003</v>
      </c>
      <c r="D111" s="155">
        <f t="shared" si="16"/>
        <v>-8.1</v>
      </c>
      <c r="E111" s="11">
        <f>IFERROR(100/'Skjema total MA'!C111*C111,0)</f>
        <v>28.141235312264325</v>
      </c>
      <c r="F111" s="293">
        <v>3106281.9249999998</v>
      </c>
      <c r="G111" s="143">
        <v>3634591.9509999999</v>
      </c>
      <c r="H111" s="155">
        <f t="shared" si="17"/>
        <v>17</v>
      </c>
      <c r="I111" s="11">
        <f>IFERROR(100/'Skjema total MA'!F111*G111,0)</f>
        <v>26.156259583017974</v>
      </c>
      <c r="J111" s="294">
        <f t="shared" si="24"/>
        <v>3174181.3839999996</v>
      </c>
      <c r="K111" s="219">
        <f t="shared" si="24"/>
        <v>3696971.196</v>
      </c>
      <c r="L111" s="405">
        <f t="shared" si="19"/>
        <v>16.5</v>
      </c>
      <c r="M111" s="11">
        <f>IFERROR(100/'Skjema total MA'!I111*K111,0)</f>
        <v>26.187426864105998</v>
      </c>
    </row>
    <row r="112" spans="1:13" x14ac:dyDescent="0.2">
      <c r="A112" s="21" t="s">
        <v>9</v>
      </c>
      <c r="B112" s="217">
        <v>13692.709000000001</v>
      </c>
      <c r="C112" s="129">
        <v>3953.241</v>
      </c>
      <c r="D112" s="150">
        <f t="shared" ref="D112:D124" si="29">IF(B112=0, "    ---- ", IF(ABS(ROUND(100/B112*C112-100,1))&lt;999,ROUND(100/B112*C112-100,1),IF(ROUND(100/B112*C112-100,1)&gt;999,999,-999)))</f>
        <v>-71.099999999999994</v>
      </c>
      <c r="E112" s="27">
        <f>IFERROR(100/'Skjema total MA'!C112*C112,0)</f>
        <v>2.4646179315986374</v>
      </c>
      <c r="F112" s="217">
        <v>1378.0809999999999</v>
      </c>
      <c r="G112" s="129">
        <v>983.60799999999995</v>
      </c>
      <c r="H112" s="150">
        <f t="shared" ref="H112:H125" si="30">IF(F112=0, "    ---- ", IF(ABS(ROUND(100/F112*G112-100,1))&lt;999,ROUND(100/F112*G112-100,1),IF(ROUND(100/F112*G112-100,1)&gt;999,999,-999)))</f>
        <v>-28.6</v>
      </c>
      <c r="I112" s="27">
        <f>IFERROR(100/'Skjema total MA'!F112*G112,0)</f>
        <v>100</v>
      </c>
      <c r="J112" s="272">
        <f t="shared" ref="J112:K125" si="31">SUM(B112,F112)</f>
        <v>15070.79</v>
      </c>
      <c r="K112" s="44">
        <f t="shared" si="31"/>
        <v>4936.8490000000002</v>
      </c>
      <c r="L112" s="242">
        <f t="shared" ref="L112:L125" si="32">IF(J112=0, "    ---- ", IF(ABS(ROUND(100/J112*K112-100,1))&lt;999,ROUND(100/J112*K112-100,1),IF(ROUND(100/J112*K112-100,1)&gt;999,999,-999)))</f>
        <v>-67.2</v>
      </c>
      <c r="M112" s="27">
        <f>IFERROR(100/'Skjema total MA'!I112*K112,0)</f>
        <v>3.0590818422044017</v>
      </c>
    </row>
    <row r="113" spans="1:14" x14ac:dyDescent="0.2">
      <c r="A113" s="21" t="s">
        <v>10</v>
      </c>
      <c r="B113" s="217"/>
      <c r="C113" s="129"/>
      <c r="D113" s="150"/>
      <c r="E113" s="27"/>
      <c r="F113" s="217">
        <v>3104903.844</v>
      </c>
      <c r="G113" s="129">
        <v>3633608.3429999999</v>
      </c>
      <c r="H113" s="150">
        <f t="shared" si="30"/>
        <v>17</v>
      </c>
      <c r="I113" s="27">
        <f>IFERROR(100/'Skjema total MA'!F113*G113,0)</f>
        <v>26.151032174270476</v>
      </c>
      <c r="J113" s="272">
        <f t="shared" si="31"/>
        <v>3104903.844</v>
      </c>
      <c r="K113" s="44">
        <f t="shared" si="31"/>
        <v>3633608.3429999999</v>
      </c>
      <c r="L113" s="242">
        <f t="shared" si="32"/>
        <v>17</v>
      </c>
      <c r="M113" s="27">
        <f>IFERROR(100/'Skjema total MA'!I113*K113,0)</f>
        <v>26.151032174270476</v>
      </c>
    </row>
    <row r="114" spans="1:14" x14ac:dyDescent="0.2">
      <c r="A114" s="21" t="s">
        <v>26</v>
      </c>
      <c r="B114" s="217">
        <v>54206.75</v>
      </c>
      <c r="C114" s="129">
        <v>58426.004000000001</v>
      </c>
      <c r="D114" s="150">
        <f t="shared" si="29"/>
        <v>7.8</v>
      </c>
      <c r="E114" s="27">
        <f>IFERROR(100/'Skjema total MA'!C114*C114,0)</f>
        <v>95.365784302128461</v>
      </c>
      <c r="F114" s="217"/>
      <c r="G114" s="129"/>
      <c r="H114" s="150"/>
      <c r="I114" s="27"/>
      <c r="J114" s="272">
        <f t="shared" si="31"/>
        <v>54206.75</v>
      </c>
      <c r="K114" s="44">
        <f t="shared" si="31"/>
        <v>58426.004000000001</v>
      </c>
      <c r="L114" s="242">
        <f t="shared" si="32"/>
        <v>7.8</v>
      </c>
      <c r="M114" s="27">
        <f>IFERROR(100/'Skjema total MA'!I114*K114,0)</f>
        <v>95.365784302128461</v>
      </c>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v>6670.402</v>
      </c>
      <c r="C116" s="217">
        <v>3953.241</v>
      </c>
      <c r="D116" s="150">
        <f t="shared" si="29"/>
        <v>-40.700000000000003</v>
      </c>
      <c r="E116" s="27">
        <f>IFERROR(100/'Skjema total MA'!C116*C116,0)</f>
        <v>15.593260572112737</v>
      </c>
      <c r="F116" s="217">
        <v>1378.0809999999999</v>
      </c>
      <c r="G116" s="217">
        <v>983.60799999999995</v>
      </c>
      <c r="H116" s="150">
        <f t="shared" si="30"/>
        <v>-28.6</v>
      </c>
      <c r="I116" s="27">
        <f>IFERROR(100/'Skjema total MA'!F116*G116,0)</f>
        <v>100</v>
      </c>
      <c r="J116" s="272">
        <f t="shared" si="31"/>
        <v>8048.4830000000002</v>
      </c>
      <c r="K116" s="44">
        <f t="shared" si="31"/>
        <v>4936.8490000000002</v>
      </c>
      <c r="L116" s="242">
        <f t="shared" si="32"/>
        <v>-38.700000000000003</v>
      </c>
      <c r="M116" s="27">
        <f>IFERROR(100/'Skjema total MA'!I116*K116,0)</f>
        <v>18.745737036994704</v>
      </c>
    </row>
    <row r="117" spans="1:14" ht="15.75" x14ac:dyDescent="0.2">
      <c r="A117" s="38" t="s">
        <v>374</v>
      </c>
      <c r="B117" s="217"/>
      <c r="C117" s="217"/>
      <c r="D117" s="150"/>
      <c r="E117" s="27"/>
      <c r="F117" s="217">
        <v>797435.90176000004</v>
      </c>
      <c r="G117" s="217">
        <v>386029.48164999997</v>
      </c>
      <c r="H117" s="150">
        <f t="shared" si="30"/>
        <v>-51.6</v>
      </c>
      <c r="I117" s="27">
        <f>IFERROR(100/'Skjema total MA'!F117*G117,0)</f>
        <v>5.7374983720377735</v>
      </c>
      <c r="J117" s="272">
        <f t="shared" si="31"/>
        <v>797435.90176000004</v>
      </c>
      <c r="K117" s="44">
        <f t="shared" si="31"/>
        <v>386029.48164999997</v>
      </c>
      <c r="L117" s="242">
        <f t="shared" si="32"/>
        <v>-51.6</v>
      </c>
      <c r="M117" s="27">
        <f>IFERROR(100/'Skjema total MA'!I117*K117,0)</f>
        <v>5.7374983720377735</v>
      </c>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v>60904.051999999996</v>
      </c>
      <c r="C119" s="143">
        <v>38624.799999999996</v>
      </c>
      <c r="D119" s="155">
        <f t="shared" si="29"/>
        <v>-36.6</v>
      </c>
      <c r="E119" s="11">
        <f>IFERROR(100/'Skjema total MA'!C119*C119,0)</f>
        <v>36.846912404399809</v>
      </c>
      <c r="F119" s="293">
        <v>3373916.767</v>
      </c>
      <c r="G119" s="143">
        <v>3550908.22</v>
      </c>
      <c r="H119" s="155">
        <f t="shared" si="30"/>
        <v>5.2</v>
      </c>
      <c r="I119" s="11">
        <f>IFERROR(100/'Skjema total MA'!F119*G119,0)</f>
        <v>23.165395510343913</v>
      </c>
      <c r="J119" s="294">
        <f t="shared" si="31"/>
        <v>3434820.8190000001</v>
      </c>
      <c r="K119" s="219">
        <f t="shared" si="31"/>
        <v>3589533.02</v>
      </c>
      <c r="L119" s="405">
        <f t="shared" si="32"/>
        <v>4.5</v>
      </c>
      <c r="M119" s="11">
        <f>IFERROR(100/'Skjema total MA'!I119*K119,0)</f>
        <v>23.258322061675667</v>
      </c>
    </row>
    <row r="120" spans="1:14" x14ac:dyDescent="0.2">
      <c r="A120" s="21" t="s">
        <v>9</v>
      </c>
      <c r="B120" s="217">
        <v>19486.577000000001</v>
      </c>
      <c r="C120" s="129">
        <v>3921.7339999999999</v>
      </c>
      <c r="D120" s="150">
        <f t="shared" si="29"/>
        <v>-79.900000000000006</v>
      </c>
      <c r="E120" s="27">
        <f>IFERROR(100/'Skjema total MA'!C120*C120,0)</f>
        <v>6.7796210041642295</v>
      </c>
      <c r="F120" s="217"/>
      <c r="G120" s="129"/>
      <c r="H120" s="150"/>
      <c r="I120" s="27"/>
      <c r="J120" s="272">
        <f t="shared" si="31"/>
        <v>19486.577000000001</v>
      </c>
      <c r="K120" s="44">
        <f t="shared" si="31"/>
        <v>3921.7339999999999</v>
      </c>
      <c r="L120" s="242">
        <f t="shared" si="32"/>
        <v>-79.900000000000006</v>
      </c>
      <c r="M120" s="27">
        <f>IFERROR(100/'Skjema total MA'!I120*K120,0)</f>
        <v>6.7796210041642295</v>
      </c>
    </row>
    <row r="121" spans="1:14" x14ac:dyDescent="0.2">
      <c r="A121" s="21" t="s">
        <v>10</v>
      </c>
      <c r="B121" s="217"/>
      <c r="C121" s="129"/>
      <c r="D121" s="150"/>
      <c r="E121" s="27"/>
      <c r="F121" s="217">
        <v>3373916.767</v>
      </c>
      <c r="G121" s="129">
        <v>3550908.22</v>
      </c>
      <c r="H121" s="150">
        <f t="shared" si="30"/>
        <v>5.2</v>
      </c>
      <c r="I121" s="27">
        <f>IFERROR(100/'Skjema total MA'!F121*G121,0)</f>
        <v>23.165395510343913</v>
      </c>
      <c r="J121" s="272">
        <f t="shared" si="31"/>
        <v>3373916.767</v>
      </c>
      <c r="K121" s="44">
        <f t="shared" si="31"/>
        <v>3550908.22</v>
      </c>
      <c r="L121" s="242">
        <f t="shared" si="32"/>
        <v>5.2</v>
      </c>
      <c r="M121" s="27">
        <f>IFERROR(100/'Skjema total MA'!I121*K121,0)</f>
        <v>23.156289261962783</v>
      </c>
    </row>
    <row r="122" spans="1:14" x14ac:dyDescent="0.2">
      <c r="A122" s="21" t="s">
        <v>26</v>
      </c>
      <c r="B122" s="217">
        <v>41417.474999999999</v>
      </c>
      <c r="C122" s="129">
        <v>34703.065999999999</v>
      </c>
      <c r="D122" s="150">
        <f t="shared" si="29"/>
        <v>-16.2</v>
      </c>
      <c r="E122" s="27">
        <f>IFERROR(100/'Skjema total MA'!C122*C122,0)</f>
        <v>84.742511528346</v>
      </c>
      <c r="F122" s="217"/>
      <c r="G122" s="129"/>
      <c r="H122" s="150"/>
      <c r="I122" s="27"/>
      <c r="J122" s="272">
        <f t="shared" si="31"/>
        <v>41417.474999999999</v>
      </c>
      <c r="K122" s="44">
        <f t="shared" si="31"/>
        <v>34703.065999999999</v>
      </c>
      <c r="L122" s="242">
        <f t="shared" si="32"/>
        <v>-16.2</v>
      </c>
      <c r="M122" s="27">
        <f>IFERROR(100/'Skjema total MA'!I122*K122,0)</f>
        <v>84.742511528346</v>
      </c>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v>6699.1139999999996</v>
      </c>
      <c r="C124" s="217">
        <v>869.47900000000004</v>
      </c>
      <c r="D124" s="150">
        <f t="shared" si="29"/>
        <v>-87</v>
      </c>
      <c r="E124" s="27">
        <f>IFERROR(100/'Skjema total MA'!C124*C124,0)</f>
        <v>7.7297472840550281</v>
      </c>
      <c r="F124" s="217">
        <v>3968.998</v>
      </c>
      <c r="G124" s="217">
        <v>6482.2259999999997</v>
      </c>
      <c r="H124" s="150">
        <f t="shared" si="30"/>
        <v>63.3</v>
      </c>
      <c r="I124" s="27">
        <f>IFERROR(100/'Skjema total MA'!F124*G124,0)</f>
        <v>100</v>
      </c>
      <c r="J124" s="272">
        <f t="shared" si="31"/>
        <v>10668.111999999999</v>
      </c>
      <c r="K124" s="44">
        <f t="shared" si="31"/>
        <v>7351.7049999999999</v>
      </c>
      <c r="L124" s="242">
        <f t="shared" si="32"/>
        <v>-31.1</v>
      </c>
      <c r="M124" s="27">
        <f>IFERROR(100/'Skjema total MA'!I124*K124,0)</f>
        <v>41.463128510682459</v>
      </c>
    </row>
    <row r="125" spans="1:14" ht="15.75" x14ac:dyDescent="0.2">
      <c r="A125" s="38" t="s">
        <v>374</v>
      </c>
      <c r="B125" s="217"/>
      <c r="C125" s="217"/>
      <c r="D125" s="150"/>
      <c r="E125" s="27"/>
      <c r="F125" s="217">
        <v>1162759.29168</v>
      </c>
      <c r="G125" s="217">
        <v>679587.78481999901</v>
      </c>
      <c r="H125" s="150">
        <f t="shared" si="30"/>
        <v>-41.6</v>
      </c>
      <c r="I125" s="27">
        <f>IFERROR(100/'Skjema total MA'!F125*G125,0)</f>
        <v>9.8873585919694609</v>
      </c>
      <c r="J125" s="272">
        <f t="shared" si="31"/>
        <v>1162759.29168</v>
      </c>
      <c r="K125" s="44">
        <f t="shared" si="31"/>
        <v>679587.78481999901</v>
      </c>
      <c r="L125" s="242">
        <f t="shared" si="32"/>
        <v>-41.6</v>
      </c>
      <c r="M125" s="27">
        <f>IFERROR(100/'Skjema total MA'!I125*K125,0)</f>
        <v>9.8873585919694609</v>
      </c>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v>276227.7095</v>
      </c>
      <c r="C134" s="294">
        <v>278534.01175000001</v>
      </c>
      <c r="D134" s="334">
        <f t="shared" ref="D134:D136" si="33">IF(B134=0, "    ---- ", IF(ABS(ROUND(100/B134*C134-100,1))&lt;999,ROUND(100/B134*C134-100,1),IF(ROUND(100/B134*C134-100,1)&gt;999,999,-999)))</f>
        <v>0.8</v>
      </c>
      <c r="E134" s="11">
        <f>IFERROR(100/'Skjema total MA'!C134*C134,0)</f>
        <v>3.0928316675824026</v>
      </c>
      <c r="F134" s="301"/>
      <c r="G134" s="302"/>
      <c r="H134" s="408"/>
      <c r="I134" s="24"/>
      <c r="J134" s="303">
        <f t="shared" ref="J134:K136" si="34">SUM(B134,F134)</f>
        <v>276227.7095</v>
      </c>
      <c r="K134" s="303">
        <f t="shared" si="34"/>
        <v>278534.01175000001</v>
      </c>
      <c r="L134" s="404">
        <f t="shared" ref="L134:L136" si="35">IF(J134=0, "    ---- ", IF(ABS(ROUND(100/J134*K134-100,1))&lt;999,ROUND(100/J134*K134-100,1),IF(ROUND(100/J134*K134-100,1)&gt;999,999,-999)))</f>
        <v>0.8</v>
      </c>
      <c r="M134" s="11">
        <f>IFERROR(100/'Skjema total MA'!I134*K134,0)</f>
        <v>3.0850592403764052</v>
      </c>
      <c r="N134" s="132"/>
    </row>
    <row r="135" spans="1:14" s="3" customFormat="1" ht="15.75" x14ac:dyDescent="0.2">
      <c r="A135" s="13" t="s">
        <v>348</v>
      </c>
      <c r="B135" s="219">
        <v>17961405.996929999</v>
      </c>
      <c r="C135" s="294">
        <v>22233640.83653</v>
      </c>
      <c r="D135" s="155">
        <f t="shared" si="33"/>
        <v>23.8</v>
      </c>
      <c r="E135" s="11">
        <f>IFERROR(100/'Skjema total MA'!C135*C135,0)</f>
        <v>2.5883566189800966</v>
      </c>
      <c r="F135" s="219"/>
      <c r="G135" s="294"/>
      <c r="H135" s="409"/>
      <c r="I135" s="24"/>
      <c r="J135" s="293">
        <f t="shared" si="34"/>
        <v>17961405.996929999</v>
      </c>
      <c r="K135" s="293">
        <f t="shared" si="34"/>
        <v>22233640.83653</v>
      </c>
      <c r="L135" s="405">
        <f t="shared" si="35"/>
        <v>23.8</v>
      </c>
      <c r="M135" s="11">
        <f>IFERROR(100/'Skjema total MA'!I135*K135,0)</f>
        <v>2.5800532746796354</v>
      </c>
      <c r="N135" s="132"/>
    </row>
    <row r="136" spans="1:14" s="3" customFormat="1" ht="15.75" x14ac:dyDescent="0.2">
      <c r="A136" s="13" t="s">
        <v>345</v>
      </c>
      <c r="B136" s="219">
        <v>808045.60100000002</v>
      </c>
      <c r="C136" s="294">
        <v>2390544.304</v>
      </c>
      <c r="D136" s="155">
        <f t="shared" si="33"/>
        <v>195.8</v>
      </c>
      <c r="E136" s="11">
        <f>IFERROR(100/'Skjema total MA'!C136*C136,0)</f>
        <v>99.98895796035923</v>
      </c>
      <c r="F136" s="219"/>
      <c r="G136" s="294"/>
      <c r="H136" s="409"/>
      <c r="I136" s="24"/>
      <c r="J136" s="293">
        <f t="shared" si="34"/>
        <v>808045.60100000002</v>
      </c>
      <c r="K136" s="293">
        <f t="shared" si="34"/>
        <v>2390544.304</v>
      </c>
      <c r="L136" s="405">
        <f t="shared" si="35"/>
        <v>195.8</v>
      </c>
      <c r="M136" s="11">
        <f>IFERROR(100/'Skjema total MA'!I136*K136,0)</f>
        <v>99.996572488056643</v>
      </c>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445" priority="132">
      <formula>kvartal &lt; 4</formula>
    </cfRule>
  </conditionalFormatting>
  <conditionalFormatting sqref="B69">
    <cfRule type="expression" dxfId="444" priority="100">
      <formula>kvartal &lt; 4</formula>
    </cfRule>
  </conditionalFormatting>
  <conditionalFormatting sqref="C69">
    <cfRule type="expression" dxfId="443" priority="99">
      <formula>kvartal &lt; 4</formula>
    </cfRule>
  </conditionalFormatting>
  <conditionalFormatting sqref="B72">
    <cfRule type="expression" dxfId="442" priority="98">
      <formula>kvartal &lt; 4</formula>
    </cfRule>
  </conditionalFormatting>
  <conditionalFormatting sqref="C72">
    <cfRule type="expression" dxfId="441" priority="97">
      <formula>kvartal &lt; 4</formula>
    </cfRule>
  </conditionalFormatting>
  <conditionalFormatting sqref="B80">
    <cfRule type="expression" dxfId="440" priority="96">
      <formula>kvartal &lt; 4</formula>
    </cfRule>
  </conditionalFormatting>
  <conditionalFormatting sqref="C80">
    <cfRule type="expression" dxfId="439" priority="95">
      <formula>kvartal &lt; 4</formula>
    </cfRule>
  </conditionalFormatting>
  <conditionalFormatting sqref="B83">
    <cfRule type="expression" dxfId="438" priority="94">
      <formula>kvartal &lt; 4</formula>
    </cfRule>
  </conditionalFormatting>
  <conditionalFormatting sqref="C83">
    <cfRule type="expression" dxfId="437" priority="93">
      <formula>kvartal &lt; 4</formula>
    </cfRule>
  </conditionalFormatting>
  <conditionalFormatting sqref="B90">
    <cfRule type="expression" dxfId="436" priority="84">
      <formula>kvartal &lt; 4</formula>
    </cfRule>
  </conditionalFormatting>
  <conditionalFormatting sqref="C90">
    <cfRule type="expression" dxfId="435" priority="83">
      <formula>kvartal &lt; 4</formula>
    </cfRule>
  </conditionalFormatting>
  <conditionalFormatting sqref="B93">
    <cfRule type="expression" dxfId="434" priority="82">
      <formula>kvartal &lt; 4</formula>
    </cfRule>
  </conditionalFormatting>
  <conditionalFormatting sqref="C93">
    <cfRule type="expression" dxfId="433" priority="81">
      <formula>kvartal &lt; 4</formula>
    </cfRule>
  </conditionalFormatting>
  <conditionalFormatting sqref="B101">
    <cfRule type="expression" dxfId="432" priority="80">
      <formula>kvartal &lt; 4</formula>
    </cfRule>
  </conditionalFormatting>
  <conditionalFormatting sqref="C101">
    <cfRule type="expression" dxfId="431" priority="79">
      <formula>kvartal &lt; 4</formula>
    </cfRule>
  </conditionalFormatting>
  <conditionalFormatting sqref="B104">
    <cfRule type="expression" dxfId="430" priority="78">
      <formula>kvartal &lt; 4</formula>
    </cfRule>
  </conditionalFormatting>
  <conditionalFormatting sqref="C104">
    <cfRule type="expression" dxfId="429" priority="77">
      <formula>kvartal &lt; 4</formula>
    </cfRule>
  </conditionalFormatting>
  <conditionalFormatting sqref="B115">
    <cfRule type="expression" dxfId="428" priority="76">
      <formula>kvartal &lt; 4</formula>
    </cfRule>
  </conditionalFormatting>
  <conditionalFormatting sqref="C115">
    <cfRule type="expression" dxfId="427" priority="75">
      <formula>kvartal &lt; 4</formula>
    </cfRule>
  </conditionalFormatting>
  <conditionalFormatting sqref="B123">
    <cfRule type="expression" dxfId="426" priority="74">
      <formula>kvartal &lt; 4</formula>
    </cfRule>
  </conditionalFormatting>
  <conditionalFormatting sqref="C123">
    <cfRule type="expression" dxfId="425" priority="73">
      <formula>kvartal &lt; 4</formula>
    </cfRule>
  </conditionalFormatting>
  <conditionalFormatting sqref="F70">
    <cfRule type="expression" dxfId="424" priority="72">
      <formula>kvartal &lt; 4</formula>
    </cfRule>
  </conditionalFormatting>
  <conditionalFormatting sqref="G70">
    <cfRule type="expression" dxfId="423" priority="71">
      <formula>kvartal &lt; 4</formula>
    </cfRule>
  </conditionalFormatting>
  <conditionalFormatting sqref="F71:G71">
    <cfRule type="expression" dxfId="422" priority="70">
      <formula>kvartal &lt; 4</formula>
    </cfRule>
  </conditionalFormatting>
  <conditionalFormatting sqref="F73:G74">
    <cfRule type="expression" dxfId="421" priority="69">
      <formula>kvartal &lt; 4</formula>
    </cfRule>
  </conditionalFormatting>
  <conditionalFormatting sqref="F81:G82">
    <cfRule type="expression" dxfId="420" priority="68">
      <formula>kvartal &lt; 4</formula>
    </cfRule>
  </conditionalFormatting>
  <conditionalFormatting sqref="F84:G85">
    <cfRule type="expression" dxfId="419" priority="67">
      <formula>kvartal &lt; 4</formula>
    </cfRule>
  </conditionalFormatting>
  <conditionalFormatting sqref="F91:G92">
    <cfRule type="expression" dxfId="418" priority="62">
      <formula>kvartal &lt; 4</formula>
    </cfRule>
  </conditionalFormatting>
  <conditionalFormatting sqref="F94:G95">
    <cfRule type="expression" dxfId="417" priority="61">
      <formula>kvartal &lt; 4</formula>
    </cfRule>
  </conditionalFormatting>
  <conditionalFormatting sqref="F102:G103">
    <cfRule type="expression" dxfId="416" priority="60">
      <formula>kvartal &lt; 4</formula>
    </cfRule>
  </conditionalFormatting>
  <conditionalFormatting sqref="F105:G106">
    <cfRule type="expression" dxfId="415" priority="59">
      <formula>kvartal &lt; 4</formula>
    </cfRule>
  </conditionalFormatting>
  <conditionalFormatting sqref="F115">
    <cfRule type="expression" dxfId="414" priority="58">
      <formula>kvartal &lt; 4</formula>
    </cfRule>
  </conditionalFormatting>
  <conditionalFormatting sqref="G115">
    <cfRule type="expression" dxfId="413" priority="57">
      <formula>kvartal &lt; 4</formula>
    </cfRule>
  </conditionalFormatting>
  <conditionalFormatting sqref="F123:G123">
    <cfRule type="expression" dxfId="412" priority="56">
      <formula>kvartal &lt; 4</formula>
    </cfRule>
  </conditionalFormatting>
  <conditionalFormatting sqref="F69:G69">
    <cfRule type="expression" dxfId="411" priority="55">
      <formula>kvartal &lt; 4</formula>
    </cfRule>
  </conditionalFormatting>
  <conditionalFormatting sqref="F72:G72">
    <cfRule type="expression" dxfId="410" priority="54">
      <formula>kvartal &lt; 4</formula>
    </cfRule>
  </conditionalFormatting>
  <conditionalFormatting sqref="F80:G80">
    <cfRule type="expression" dxfId="409" priority="53">
      <formula>kvartal &lt; 4</formula>
    </cfRule>
  </conditionalFormatting>
  <conditionalFormatting sqref="F83:G83">
    <cfRule type="expression" dxfId="408" priority="52">
      <formula>kvartal &lt; 4</formula>
    </cfRule>
  </conditionalFormatting>
  <conditionalFormatting sqref="F90:G90">
    <cfRule type="expression" dxfId="407" priority="46">
      <formula>kvartal &lt; 4</formula>
    </cfRule>
  </conditionalFormatting>
  <conditionalFormatting sqref="F93">
    <cfRule type="expression" dxfId="406" priority="45">
      <formula>kvartal &lt; 4</formula>
    </cfRule>
  </conditionalFormatting>
  <conditionalFormatting sqref="G93">
    <cfRule type="expression" dxfId="405" priority="44">
      <formula>kvartal &lt; 4</formula>
    </cfRule>
  </conditionalFormatting>
  <conditionalFormatting sqref="F101">
    <cfRule type="expression" dxfId="404" priority="43">
      <formula>kvartal &lt; 4</formula>
    </cfRule>
  </conditionalFormatting>
  <conditionalFormatting sqref="G101">
    <cfRule type="expression" dxfId="403" priority="42">
      <formula>kvartal &lt; 4</formula>
    </cfRule>
  </conditionalFormatting>
  <conditionalFormatting sqref="G104">
    <cfRule type="expression" dxfId="402" priority="41">
      <formula>kvartal &lt; 4</formula>
    </cfRule>
  </conditionalFormatting>
  <conditionalFormatting sqref="F104">
    <cfRule type="expression" dxfId="401" priority="40">
      <formula>kvartal &lt; 4</formula>
    </cfRule>
  </conditionalFormatting>
  <conditionalFormatting sqref="J69:K73">
    <cfRule type="expression" dxfId="400" priority="39">
      <formula>kvartal &lt; 4</formula>
    </cfRule>
  </conditionalFormatting>
  <conditionalFormatting sqref="J74:K74">
    <cfRule type="expression" dxfId="399" priority="38">
      <formula>kvartal &lt; 4</formula>
    </cfRule>
  </conditionalFormatting>
  <conditionalFormatting sqref="J80:K85">
    <cfRule type="expression" dxfId="398" priority="37">
      <formula>kvartal &lt; 4</formula>
    </cfRule>
  </conditionalFormatting>
  <conditionalFormatting sqref="J90:K95">
    <cfRule type="expression" dxfId="397" priority="34">
      <formula>kvartal &lt; 4</formula>
    </cfRule>
  </conditionalFormatting>
  <conditionalFormatting sqref="J101:K106">
    <cfRule type="expression" dxfId="396" priority="33">
      <formula>kvartal &lt; 4</formula>
    </cfRule>
  </conditionalFormatting>
  <conditionalFormatting sqref="J115:K115">
    <cfRule type="expression" dxfId="395" priority="32">
      <formula>kvartal &lt; 4</formula>
    </cfRule>
  </conditionalFormatting>
  <conditionalFormatting sqref="J123:K123">
    <cfRule type="expression" dxfId="394" priority="31">
      <formula>kvartal &lt; 4</formula>
    </cfRule>
  </conditionalFormatting>
  <conditionalFormatting sqref="A50:A52">
    <cfRule type="expression" dxfId="393" priority="12">
      <formula>kvartal &lt; 4</formula>
    </cfRule>
  </conditionalFormatting>
  <conditionalFormatting sqref="A69:A74">
    <cfRule type="expression" dxfId="392" priority="10">
      <formula>kvartal &lt; 4</formula>
    </cfRule>
  </conditionalFormatting>
  <conditionalFormatting sqref="A80:A85">
    <cfRule type="expression" dxfId="391" priority="9">
      <formula>kvartal &lt; 4</formula>
    </cfRule>
  </conditionalFormatting>
  <conditionalFormatting sqref="A90:A95">
    <cfRule type="expression" dxfId="390" priority="6">
      <formula>kvartal &lt; 4</formula>
    </cfRule>
  </conditionalFormatting>
  <conditionalFormatting sqref="A101:A106">
    <cfRule type="expression" dxfId="389" priority="5">
      <formula>kvartal &lt; 4</formula>
    </cfRule>
  </conditionalFormatting>
  <conditionalFormatting sqref="A115">
    <cfRule type="expression" dxfId="388" priority="4">
      <formula>kvartal &lt; 4</formula>
    </cfRule>
  </conditionalFormatting>
  <conditionalFormatting sqref="A123">
    <cfRule type="expression" dxfId="387" priority="3">
      <formula>kvartal &lt; 4</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120</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4"/>
      <c r="M7" s="11"/>
    </row>
    <row r="8" spans="1:14" ht="15.75" x14ac:dyDescent="0.2">
      <c r="A8" s="21" t="s">
        <v>25</v>
      </c>
      <c r="B8" s="266"/>
      <c r="C8" s="267"/>
      <c r="D8" s="150"/>
      <c r="E8" s="27"/>
      <c r="F8" s="270"/>
      <c r="G8" s="271"/>
      <c r="H8" s="150"/>
      <c r="I8" s="160"/>
      <c r="J8" s="217"/>
      <c r="K8" s="272"/>
      <c r="L8" s="405"/>
      <c r="M8" s="27"/>
    </row>
    <row r="9" spans="1:14" ht="15.75" x14ac:dyDescent="0.2">
      <c r="A9" s="21" t="s">
        <v>24</v>
      </c>
      <c r="B9" s="266"/>
      <c r="C9" s="267"/>
      <c r="D9" s="150"/>
      <c r="E9" s="27"/>
      <c r="F9" s="270"/>
      <c r="G9" s="271"/>
      <c r="H9" s="150"/>
      <c r="I9" s="160"/>
      <c r="J9" s="217"/>
      <c r="K9" s="272"/>
      <c r="L9" s="405"/>
      <c r="M9" s="27"/>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1972</v>
      </c>
      <c r="C47" s="296">
        <v>2386</v>
      </c>
      <c r="D47" s="404">
        <f t="shared" ref="D47:D48" si="0">IF(B47=0, "    ---- ", IF(ABS(ROUND(100/B47*C47-100,1))&lt;999,ROUND(100/B47*C47-100,1),IF(ROUND(100/B47*C47-100,1)&gt;999,999,-999)))</f>
        <v>21</v>
      </c>
      <c r="E47" s="11">
        <f>IFERROR(100/'Skjema total MA'!C47*C47,0)</f>
        <v>5.7934724237091735E-2</v>
      </c>
      <c r="F47" s="129"/>
      <c r="G47" s="33"/>
      <c r="H47" s="143"/>
      <c r="I47" s="143"/>
      <c r="J47" s="37"/>
      <c r="K47" s="37"/>
      <c r="L47" s="143"/>
      <c r="M47" s="143"/>
      <c r="N47" s="132"/>
    </row>
    <row r="48" spans="1:14" s="3" customFormat="1" ht="15.75" x14ac:dyDescent="0.2">
      <c r="A48" s="38" t="s">
        <v>332</v>
      </c>
      <c r="B48" s="266">
        <v>1972</v>
      </c>
      <c r="C48" s="267">
        <v>2160</v>
      </c>
      <c r="D48" s="242">
        <f t="shared" si="0"/>
        <v>9.5</v>
      </c>
      <c r="E48" s="27">
        <f>IFERROR(100/'Skjema total MA'!C48*C48,0)</f>
        <v>9.8151962371441484E-2</v>
      </c>
      <c r="F48" s="129"/>
      <c r="G48" s="33"/>
      <c r="H48" s="129"/>
      <c r="I48" s="129"/>
      <c r="J48" s="33"/>
      <c r="K48" s="33"/>
      <c r="L48" s="143"/>
      <c r="M48" s="143"/>
      <c r="N48" s="132"/>
    </row>
    <row r="49" spans="1:14" s="3" customFormat="1" ht="15.75" x14ac:dyDescent="0.2">
      <c r="A49" s="38" t="s">
        <v>333</v>
      </c>
      <c r="B49" s="44">
        <v>0</v>
      </c>
      <c r="C49" s="272">
        <v>226</v>
      </c>
      <c r="D49" s="242" t="str">
        <f>IF(B49=0, "    ---- ", IF(ABS(ROUND(100/B49*C49-100,1))&lt;999,ROUND(100/B49*C49-100,1),IF(ROUND(100/B49*C49-100,1)&gt;999,999,-999)))</f>
        <v xml:space="preserve">    ---- </v>
      </c>
      <c r="E49" s="27">
        <f>IFERROR(100/'Skjema total MA'!C49*C49,0)</f>
        <v>1.1784588343577516E-2</v>
      </c>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386" priority="132">
      <formula>kvartal &lt; 4</formula>
    </cfRule>
  </conditionalFormatting>
  <conditionalFormatting sqref="B69">
    <cfRule type="expression" dxfId="385" priority="100">
      <formula>kvartal &lt; 4</formula>
    </cfRule>
  </conditionalFormatting>
  <conditionalFormatting sqref="C69">
    <cfRule type="expression" dxfId="384" priority="99">
      <formula>kvartal &lt; 4</formula>
    </cfRule>
  </conditionalFormatting>
  <conditionalFormatting sqref="B72">
    <cfRule type="expression" dxfId="383" priority="98">
      <formula>kvartal &lt; 4</formula>
    </cfRule>
  </conditionalFormatting>
  <conditionalFormatting sqref="C72">
    <cfRule type="expression" dxfId="382" priority="97">
      <formula>kvartal &lt; 4</formula>
    </cfRule>
  </conditionalFormatting>
  <conditionalFormatting sqref="B80">
    <cfRule type="expression" dxfId="381" priority="96">
      <formula>kvartal &lt; 4</formula>
    </cfRule>
  </conditionalFormatting>
  <conditionalFormatting sqref="C80">
    <cfRule type="expression" dxfId="380" priority="95">
      <formula>kvartal &lt; 4</formula>
    </cfRule>
  </conditionalFormatting>
  <conditionalFormatting sqref="B83">
    <cfRule type="expression" dxfId="379" priority="94">
      <formula>kvartal &lt; 4</formula>
    </cfRule>
  </conditionalFormatting>
  <conditionalFormatting sqref="C83">
    <cfRule type="expression" dxfId="378" priority="93">
      <formula>kvartal &lt; 4</formula>
    </cfRule>
  </conditionalFormatting>
  <conditionalFormatting sqref="B90">
    <cfRule type="expression" dxfId="377" priority="84">
      <formula>kvartal &lt; 4</formula>
    </cfRule>
  </conditionalFormatting>
  <conditionalFormatting sqref="C90">
    <cfRule type="expression" dxfId="376" priority="83">
      <formula>kvartal &lt; 4</formula>
    </cfRule>
  </conditionalFormatting>
  <conditionalFormatting sqref="B93">
    <cfRule type="expression" dxfId="375" priority="82">
      <formula>kvartal &lt; 4</formula>
    </cfRule>
  </conditionalFormatting>
  <conditionalFormatting sqref="C93">
    <cfRule type="expression" dxfId="374" priority="81">
      <formula>kvartal &lt; 4</formula>
    </cfRule>
  </conditionalFormatting>
  <conditionalFormatting sqref="B101">
    <cfRule type="expression" dxfId="373" priority="80">
      <formula>kvartal &lt; 4</formula>
    </cfRule>
  </conditionalFormatting>
  <conditionalFormatting sqref="C101">
    <cfRule type="expression" dxfId="372" priority="79">
      <formula>kvartal &lt; 4</formula>
    </cfRule>
  </conditionalFormatting>
  <conditionalFormatting sqref="B104">
    <cfRule type="expression" dxfId="371" priority="78">
      <formula>kvartal &lt; 4</formula>
    </cfRule>
  </conditionalFormatting>
  <conditionalFormatting sqref="C104">
    <cfRule type="expression" dxfId="370" priority="77">
      <formula>kvartal &lt; 4</formula>
    </cfRule>
  </conditionalFormatting>
  <conditionalFormatting sqref="B115">
    <cfRule type="expression" dxfId="369" priority="76">
      <formula>kvartal &lt; 4</formula>
    </cfRule>
  </conditionalFormatting>
  <conditionalFormatting sqref="C115">
    <cfRule type="expression" dxfId="368" priority="75">
      <formula>kvartal &lt; 4</formula>
    </cfRule>
  </conditionalFormatting>
  <conditionalFormatting sqref="B123">
    <cfRule type="expression" dxfId="367" priority="74">
      <formula>kvartal &lt; 4</formula>
    </cfRule>
  </conditionalFormatting>
  <conditionalFormatting sqref="C123">
    <cfRule type="expression" dxfId="366" priority="73">
      <formula>kvartal &lt; 4</formula>
    </cfRule>
  </conditionalFormatting>
  <conditionalFormatting sqref="F70">
    <cfRule type="expression" dxfId="365" priority="72">
      <formula>kvartal &lt; 4</formula>
    </cfRule>
  </conditionalFormatting>
  <conditionalFormatting sqref="G70">
    <cfRule type="expression" dxfId="364" priority="71">
      <formula>kvartal &lt; 4</formula>
    </cfRule>
  </conditionalFormatting>
  <conditionalFormatting sqref="F71:G71">
    <cfRule type="expression" dxfId="363" priority="70">
      <formula>kvartal &lt; 4</formula>
    </cfRule>
  </conditionalFormatting>
  <conditionalFormatting sqref="F73:G74">
    <cfRule type="expression" dxfId="362" priority="69">
      <formula>kvartal &lt; 4</formula>
    </cfRule>
  </conditionalFormatting>
  <conditionalFormatting sqref="F81:G82">
    <cfRule type="expression" dxfId="361" priority="68">
      <formula>kvartal &lt; 4</formula>
    </cfRule>
  </conditionalFormatting>
  <conditionalFormatting sqref="F84:G85">
    <cfRule type="expression" dxfId="360" priority="67">
      <formula>kvartal &lt; 4</formula>
    </cfRule>
  </conditionalFormatting>
  <conditionalFormatting sqref="F91:G92">
    <cfRule type="expression" dxfId="359" priority="62">
      <formula>kvartal &lt; 4</formula>
    </cfRule>
  </conditionalFormatting>
  <conditionalFormatting sqref="F94:G95">
    <cfRule type="expression" dxfId="358" priority="61">
      <formula>kvartal &lt; 4</formula>
    </cfRule>
  </conditionalFormatting>
  <conditionalFormatting sqref="F102:G103">
    <cfRule type="expression" dxfId="357" priority="60">
      <formula>kvartal &lt; 4</formula>
    </cfRule>
  </conditionalFormatting>
  <conditionalFormatting sqref="F105:G106">
    <cfRule type="expression" dxfId="356" priority="59">
      <formula>kvartal &lt; 4</formula>
    </cfRule>
  </conditionalFormatting>
  <conditionalFormatting sqref="F115">
    <cfRule type="expression" dxfId="355" priority="58">
      <formula>kvartal &lt; 4</formula>
    </cfRule>
  </conditionalFormatting>
  <conditionalFormatting sqref="G115">
    <cfRule type="expression" dxfId="354" priority="57">
      <formula>kvartal &lt; 4</formula>
    </cfRule>
  </conditionalFormatting>
  <conditionalFormatting sqref="F123:G123">
    <cfRule type="expression" dxfId="353" priority="56">
      <formula>kvartal &lt; 4</formula>
    </cfRule>
  </conditionalFormatting>
  <conditionalFormatting sqref="F69:G69">
    <cfRule type="expression" dxfId="352" priority="55">
      <formula>kvartal &lt; 4</formula>
    </cfRule>
  </conditionalFormatting>
  <conditionalFormatting sqref="F72:G72">
    <cfRule type="expression" dxfId="351" priority="54">
      <formula>kvartal &lt; 4</formula>
    </cfRule>
  </conditionalFormatting>
  <conditionalFormatting sqref="F80:G80">
    <cfRule type="expression" dxfId="350" priority="53">
      <formula>kvartal &lt; 4</formula>
    </cfRule>
  </conditionalFormatting>
  <conditionalFormatting sqref="F83:G83">
    <cfRule type="expression" dxfId="349" priority="52">
      <formula>kvartal &lt; 4</formula>
    </cfRule>
  </conditionalFormatting>
  <conditionalFormatting sqref="F90:G90">
    <cfRule type="expression" dxfId="348" priority="46">
      <formula>kvartal &lt; 4</formula>
    </cfRule>
  </conditionalFormatting>
  <conditionalFormatting sqref="F93">
    <cfRule type="expression" dxfId="347" priority="45">
      <formula>kvartal &lt; 4</formula>
    </cfRule>
  </conditionalFormatting>
  <conditionalFormatting sqref="G93">
    <cfRule type="expression" dxfId="346" priority="44">
      <formula>kvartal &lt; 4</formula>
    </cfRule>
  </conditionalFormatting>
  <conditionalFormatting sqref="F101">
    <cfRule type="expression" dxfId="345" priority="43">
      <formula>kvartal &lt; 4</formula>
    </cfRule>
  </conditionalFormatting>
  <conditionalFormatting sqref="G101">
    <cfRule type="expression" dxfId="344" priority="42">
      <formula>kvartal &lt; 4</formula>
    </cfRule>
  </conditionalFormatting>
  <conditionalFormatting sqref="G104">
    <cfRule type="expression" dxfId="343" priority="41">
      <formula>kvartal &lt; 4</formula>
    </cfRule>
  </conditionalFormatting>
  <conditionalFormatting sqref="F104">
    <cfRule type="expression" dxfId="342" priority="40">
      <formula>kvartal &lt; 4</formula>
    </cfRule>
  </conditionalFormatting>
  <conditionalFormatting sqref="J69:K73">
    <cfRule type="expression" dxfId="341" priority="39">
      <formula>kvartal &lt; 4</formula>
    </cfRule>
  </conditionalFormatting>
  <conditionalFormatting sqref="J74:K74">
    <cfRule type="expression" dxfId="340" priority="38">
      <formula>kvartal &lt; 4</formula>
    </cfRule>
  </conditionalFormatting>
  <conditionalFormatting sqref="J80:K85">
    <cfRule type="expression" dxfId="339" priority="37">
      <formula>kvartal &lt; 4</formula>
    </cfRule>
  </conditionalFormatting>
  <conditionalFormatting sqref="J90:K95">
    <cfRule type="expression" dxfId="338" priority="34">
      <formula>kvartal &lt; 4</formula>
    </cfRule>
  </conditionalFormatting>
  <conditionalFormatting sqref="J101:K106">
    <cfRule type="expression" dxfId="337" priority="33">
      <formula>kvartal &lt; 4</formula>
    </cfRule>
  </conditionalFormatting>
  <conditionalFormatting sqref="J115:K115">
    <cfRule type="expression" dxfId="336" priority="32">
      <formula>kvartal &lt; 4</formula>
    </cfRule>
  </conditionalFormatting>
  <conditionalFormatting sqref="J123:K123">
    <cfRule type="expression" dxfId="335" priority="31">
      <formula>kvartal &lt; 4</formula>
    </cfRule>
  </conditionalFormatting>
  <conditionalFormatting sqref="A50:A52">
    <cfRule type="expression" dxfId="334" priority="12">
      <formula>kvartal &lt; 4</formula>
    </cfRule>
  </conditionalFormatting>
  <conditionalFormatting sqref="A69:A74">
    <cfRule type="expression" dxfId="333" priority="10">
      <formula>kvartal &lt; 4</formula>
    </cfRule>
  </conditionalFormatting>
  <conditionalFormatting sqref="A80:A85">
    <cfRule type="expression" dxfId="332" priority="9">
      <formula>kvartal &lt; 4</formula>
    </cfRule>
  </conditionalFormatting>
  <conditionalFormatting sqref="A90:A95">
    <cfRule type="expression" dxfId="331" priority="6">
      <formula>kvartal &lt; 4</formula>
    </cfRule>
  </conditionalFormatting>
  <conditionalFormatting sqref="A101:A106">
    <cfRule type="expression" dxfId="330" priority="5">
      <formula>kvartal &lt; 4</formula>
    </cfRule>
  </conditionalFormatting>
  <conditionalFormatting sqref="A115">
    <cfRule type="expression" dxfId="329" priority="4">
      <formula>kvartal &lt; 4</formula>
    </cfRule>
  </conditionalFormatting>
  <conditionalFormatting sqref="A123">
    <cfRule type="expression" dxfId="328" priority="3">
      <formula>kvartal &lt; 4</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91</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4"/>
      <c r="M7" s="11"/>
    </row>
    <row r="8" spans="1:14" ht="15.75" x14ac:dyDescent="0.2">
      <c r="A8" s="21" t="s">
        <v>25</v>
      </c>
      <c r="B8" s="266"/>
      <c r="C8" s="267"/>
      <c r="D8" s="150"/>
      <c r="E8" s="27"/>
      <c r="F8" s="270"/>
      <c r="G8" s="271"/>
      <c r="H8" s="150"/>
      <c r="I8" s="160"/>
      <c r="J8" s="217"/>
      <c r="K8" s="272"/>
      <c r="L8" s="242"/>
      <c r="M8" s="27"/>
    </row>
    <row r="9" spans="1:14" ht="15.75" x14ac:dyDescent="0.2">
      <c r="A9" s="21" t="s">
        <v>24</v>
      </c>
      <c r="B9" s="266"/>
      <c r="C9" s="267"/>
      <c r="D9" s="150"/>
      <c r="E9" s="27"/>
      <c r="F9" s="270"/>
      <c r="G9" s="271"/>
      <c r="H9" s="150"/>
      <c r="I9" s="160"/>
      <c r="J9" s="217"/>
      <c r="K9" s="272"/>
      <c r="L9" s="242"/>
      <c r="M9" s="27"/>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409"/>
      <c r="E38" s="24"/>
      <c r="F38" s="304"/>
      <c r="G38" s="305"/>
      <c r="H38" s="155"/>
      <c r="I38" s="411"/>
      <c r="J38" s="219"/>
      <c r="K38" s="219"/>
      <c r="L38" s="405"/>
      <c r="M38" s="24"/>
    </row>
    <row r="39" spans="1:14" ht="15.75" x14ac:dyDescent="0.2">
      <c r="A39" s="18" t="s">
        <v>331</v>
      </c>
      <c r="B39" s="261"/>
      <c r="C39" s="300"/>
      <c r="D39" s="410"/>
      <c r="E39" s="36"/>
      <c r="F39" s="307"/>
      <c r="G39" s="308"/>
      <c r="H39" s="153"/>
      <c r="I39" s="36"/>
      <c r="J39" s="219"/>
      <c r="K39" s="219"/>
      <c r="L39" s="406"/>
      <c r="M39" s="36"/>
    </row>
    <row r="40" spans="1:14" ht="15.75" x14ac:dyDescent="0.25">
      <c r="A40" s="47"/>
      <c r="B40" s="241"/>
      <c r="C40" s="241"/>
      <c r="D40" s="708"/>
      <c r="E40" s="709"/>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685373.375</v>
      </c>
      <c r="C47" s="296">
        <v>751536</v>
      </c>
      <c r="D47" s="404">
        <f t="shared" ref="D47:D57" si="0">IF(B47=0, "    ---- ", IF(ABS(ROUND(100/B47*C47-100,1))&lt;999,ROUND(100/B47*C47-100,1),IF(ROUND(100/B47*C47-100,1)&gt;999,999,-999)))</f>
        <v>9.6999999999999993</v>
      </c>
      <c r="E47" s="11">
        <f>IFERROR(100/'Skjema total MA'!C47*C47,0)</f>
        <v>18.248126954839471</v>
      </c>
      <c r="F47" s="129"/>
      <c r="G47" s="33"/>
      <c r="H47" s="143"/>
      <c r="I47" s="143"/>
      <c r="J47" s="37"/>
      <c r="K47" s="37"/>
      <c r="L47" s="143"/>
      <c r="M47" s="143"/>
      <c r="N47" s="132"/>
    </row>
    <row r="48" spans="1:14" s="3" customFormat="1" ht="15.75" x14ac:dyDescent="0.2">
      <c r="A48" s="38" t="s">
        <v>332</v>
      </c>
      <c r="B48" s="266">
        <v>131986.13800000001</v>
      </c>
      <c r="C48" s="267">
        <v>149033</v>
      </c>
      <c r="D48" s="242">
        <f t="shared" si="0"/>
        <v>12.9</v>
      </c>
      <c r="E48" s="27">
        <f>IFERROR(100/'Skjema total MA'!C48*C48,0)</f>
        <v>6.7721673185662219</v>
      </c>
      <c r="F48" s="129"/>
      <c r="G48" s="33"/>
      <c r="H48" s="129"/>
      <c r="I48" s="129"/>
      <c r="J48" s="33"/>
      <c r="K48" s="33"/>
      <c r="L48" s="143"/>
      <c r="M48" s="143"/>
      <c r="N48" s="132"/>
    </row>
    <row r="49" spans="1:14" s="3" customFormat="1" ht="15.75" x14ac:dyDescent="0.2">
      <c r="A49" s="38" t="s">
        <v>333</v>
      </c>
      <c r="B49" s="44">
        <v>553387.23699999996</v>
      </c>
      <c r="C49" s="272">
        <v>602503</v>
      </c>
      <c r="D49" s="242">
        <f>IF(B49=0, "    ---- ", IF(ABS(ROUND(100/B49*C49-100,1))&lt;999,ROUND(100/B49*C49-100,1),IF(ROUND(100/B49*C49-100,1)&gt;999,999,-999)))</f>
        <v>8.9</v>
      </c>
      <c r="E49" s="27">
        <f>IFERROR(100/'Skjema total MA'!C49*C49,0)</f>
        <v>31.41703464942692</v>
      </c>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v>29964.6</v>
      </c>
      <c r="C53" s="296">
        <v>7605</v>
      </c>
      <c r="D53" s="405">
        <f t="shared" si="0"/>
        <v>-74.599999999999994</v>
      </c>
      <c r="E53" s="11">
        <f>IFERROR(100/'Skjema total MA'!C53*C53,0)</f>
        <v>7.4480342424280206</v>
      </c>
      <c r="F53" s="129"/>
      <c r="G53" s="33"/>
      <c r="H53" s="129"/>
      <c r="I53" s="129"/>
      <c r="J53" s="33"/>
      <c r="K53" s="33"/>
      <c r="L53" s="143"/>
      <c r="M53" s="143"/>
      <c r="N53" s="132"/>
    </row>
    <row r="54" spans="1:14" s="3" customFormat="1" ht="15.75" x14ac:dyDescent="0.2">
      <c r="A54" s="38" t="s">
        <v>332</v>
      </c>
      <c r="B54" s="266">
        <v>29964.6</v>
      </c>
      <c r="C54" s="267">
        <v>7605</v>
      </c>
      <c r="D54" s="242">
        <f t="shared" si="0"/>
        <v>-74.599999999999994</v>
      </c>
      <c r="E54" s="27">
        <f>IFERROR(100/'Skjema total MA'!C54*C54,0)</f>
        <v>7.5208805306495954</v>
      </c>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v>8930.2800000000007</v>
      </c>
      <c r="C56" s="296">
        <v>9029</v>
      </c>
      <c r="D56" s="405">
        <f t="shared" si="0"/>
        <v>1.1000000000000001</v>
      </c>
      <c r="E56" s="11">
        <f>IFERROR(100/'Skjema total MA'!C56*C56,0)</f>
        <v>9.4039467351041548</v>
      </c>
      <c r="F56" s="129"/>
      <c r="G56" s="33"/>
      <c r="H56" s="129"/>
      <c r="I56" s="129"/>
      <c r="J56" s="33"/>
      <c r="K56" s="33"/>
      <c r="L56" s="143"/>
      <c r="M56" s="143"/>
      <c r="N56" s="132"/>
    </row>
    <row r="57" spans="1:14" s="3" customFormat="1" ht="15.75" x14ac:dyDescent="0.2">
      <c r="A57" s="38" t="s">
        <v>332</v>
      </c>
      <c r="B57" s="266">
        <v>8930.2800000000007</v>
      </c>
      <c r="C57" s="267">
        <v>9029</v>
      </c>
      <c r="D57" s="242">
        <f t="shared" si="0"/>
        <v>1.1000000000000001</v>
      </c>
      <c r="E57" s="27">
        <f>IFERROR(100/'Skjema total MA'!C57*C57,0)</f>
        <v>9.4039467351041548</v>
      </c>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327" priority="117">
      <formula>kvartal &lt; 4</formula>
    </cfRule>
  </conditionalFormatting>
  <conditionalFormatting sqref="B69">
    <cfRule type="expression" dxfId="326" priority="85">
      <formula>kvartal &lt; 4</formula>
    </cfRule>
  </conditionalFormatting>
  <conditionalFormatting sqref="C69">
    <cfRule type="expression" dxfId="325" priority="84">
      <formula>kvartal &lt; 4</formula>
    </cfRule>
  </conditionalFormatting>
  <conditionalFormatting sqref="B72">
    <cfRule type="expression" dxfId="324" priority="83">
      <formula>kvartal &lt; 4</formula>
    </cfRule>
  </conditionalFormatting>
  <conditionalFormatting sqref="C72">
    <cfRule type="expression" dxfId="323" priority="82">
      <formula>kvartal &lt; 4</formula>
    </cfRule>
  </conditionalFormatting>
  <conditionalFormatting sqref="B80">
    <cfRule type="expression" dxfId="322" priority="81">
      <formula>kvartal &lt; 4</formula>
    </cfRule>
  </conditionalFormatting>
  <conditionalFormatting sqref="C80">
    <cfRule type="expression" dxfId="321" priority="80">
      <formula>kvartal &lt; 4</formula>
    </cfRule>
  </conditionalFormatting>
  <conditionalFormatting sqref="B83">
    <cfRule type="expression" dxfId="320" priority="79">
      <formula>kvartal &lt; 4</formula>
    </cfRule>
  </conditionalFormatting>
  <conditionalFormatting sqref="C83">
    <cfRule type="expression" dxfId="319" priority="78">
      <formula>kvartal &lt; 4</formula>
    </cfRule>
  </conditionalFormatting>
  <conditionalFormatting sqref="B90">
    <cfRule type="expression" dxfId="318" priority="69">
      <formula>kvartal &lt; 4</formula>
    </cfRule>
  </conditionalFormatting>
  <conditionalFormatting sqref="C90">
    <cfRule type="expression" dxfId="317" priority="68">
      <formula>kvartal &lt; 4</formula>
    </cfRule>
  </conditionalFormatting>
  <conditionalFormatting sqref="B93">
    <cfRule type="expression" dxfId="316" priority="67">
      <formula>kvartal &lt; 4</formula>
    </cfRule>
  </conditionalFormatting>
  <conditionalFormatting sqref="C93">
    <cfRule type="expression" dxfId="315" priority="66">
      <formula>kvartal &lt; 4</formula>
    </cfRule>
  </conditionalFormatting>
  <conditionalFormatting sqref="B101">
    <cfRule type="expression" dxfId="314" priority="65">
      <formula>kvartal &lt; 4</formula>
    </cfRule>
  </conditionalFormatting>
  <conditionalFormatting sqref="C101">
    <cfRule type="expression" dxfId="313" priority="64">
      <formula>kvartal &lt; 4</formula>
    </cfRule>
  </conditionalFormatting>
  <conditionalFormatting sqref="B104">
    <cfRule type="expression" dxfId="312" priority="63">
      <formula>kvartal &lt; 4</formula>
    </cfRule>
  </conditionalFormatting>
  <conditionalFormatting sqref="C104">
    <cfRule type="expression" dxfId="311" priority="62">
      <formula>kvartal &lt; 4</formula>
    </cfRule>
  </conditionalFormatting>
  <conditionalFormatting sqref="B115">
    <cfRule type="expression" dxfId="310" priority="61">
      <formula>kvartal &lt; 4</formula>
    </cfRule>
  </conditionalFormatting>
  <conditionalFormatting sqref="C115">
    <cfRule type="expression" dxfId="309" priority="60">
      <formula>kvartal &lt; 4</formula>
    </cfRule>
  </conditionalFormatting>
  <conditionalFormatting sqref="B123">
    <cfRule type="expression" dxfId="308" priority="59">
      <formula>kvartal &lt; 4</formula>
    </cfRule>
  </conditionalFormatting>
  <conditionalFormatting sqref="C123">
    <cfRule type="expression" dxfId="307" priority="58">
      <formula>kvartal &lt; 4</formula>
    </cfRule>
  </conditionalFormatting>
  <conditionalFormatting sqref="F70">
    <cfRule type="expression" dxfId="306" priority="57">
      <formula>kvartal &lt; 4</formula>
    </cfRule>
  </conditionalFormatting>
  <conditionalFormatting sqref="G70">
    <cfRule type="expression" dxfId="305" priority="56">
      <formula>kvartal &lt; 4</formula>
    </cfRule>
  </conditionalFormatting>
  <conditionalFormatting sqref="F71:G71">
    <cfRule type="expression" dxfId="304" priority="55">
      <formula>kvartal &lt; 4</formula>
    </cfRule>
  </conditionalFormatting>
  <conditionalFormatting sqref="F73:G74">
    <cfRule type="expression" dxfId="303" priority="54">
      <formula>kvartal &lt; 4</formula>
    </cfRule>
  </conditionalFormatting>
  <conditionalFormatting sqref="F81:G82">
    <cfRule type="expression" dxfId="302" priority="53">
      <formula>kvartal &lt; 4</formula>
    </cfRule>
  </conditionalFormatting>
  <conditionalFormatting sqref="F84:G85">
    <cfRule type="expression" dxfId="301" priority="52">
      <formula>kvartal &lt; 4</formula>
    </cfRule>
  </conditionalFormatting>
  <conditionalFormatting sqref="F91:G92">
    <cfRule type="expression" dxfId="300" priority="47">
      <formula>kvartal &lt; 4</formula>
    </cfRule>
  </conditionalFormatting>
  <conditionalFormatting sqref="F94:G95">
    <cfRule type="expression" dxfId="299" priority="46">
      <formula>kvartal &lt; 4</formula>
    </cfRule>
  </conditionalFormatting>
  <conditionalFormatting sqref="F102:G103">
    <cfRule type="expression" dxfId="298" priority="45">
      <formula>kvartal &lt; 4</formula>
    </cfRule>
  </conditionalFormatting>
  <conditionalFormatting sqref="F105:G106">
    <cfRule type="expression" dxfId="297" priority="44">
      <formula>kvartal &lt; 4</formula>
    </cfRule>
  </conditionalFormatting>
  <conditionalFormatting sqref="F115">
    <cfRule type="expression" dxfId="296" priority="43">
      <formula>kvartal &lt; 4</formula>
    </cfRule>
  </conditionalFormatting>
  <conditionalFormatting sqref="G115">
    <cfRule type="expression" dxfId="295" priority="42">
      <formula>kvartal &lt; 4</formula>
    </cfRule>
  </conditionalFormatting>
  <conditionalFormatting sqref="F123:G123">
    <cfRule type="expression" dxfId="294" priority="41">
      <formula>kvartal &lt; 4</formula>
    </cfRule>
  </conditionalFormatting>
  <conditionalFormatting sqref="F69:G69">
    <cfRule type="expression" dxfId="293" priority="40">
      <formula>kvartal &lt; 4</formula>
    </cfRule>
  </conditionalFormatting>
  <conditionalFormatting sqref="F72:G72">
    <cfRule type="expression" dxfId="292" priority="39">
      <formula>kvartal &lt; 4</formula>
    </cfRule>
  </conditionalFormatting>
  <conditionalFormatting sqref="F80:G80">
    <cfRule type="expression" dxfId="291" priority="38">
      <formula>kvartal &lt; 4</formula>
    </cfRule>
  </conditionalFormatting>
  <conditionalFormatting sqref="F83:G83">
    <cfRule type="expression" dxfId="290" priority="37">
      <formula>kvartal &lt; 4</formula>
    </cfRule>
  </conditionalFormatting>
  <conditionalFormatting sqref="F90:G90">
    <cfRule type="expression" dxfId="289" priority="31">
      <formula>kvartal &lt; 4</formula>
    </cfRule>
  </conditionalFormatting>
  <conditionalFormatting sqref="F93">
    <cfRule type="expression" dxfId="288" priority="30">
      <formula>kvartal &lt; 4</formula>
    </cfRule>
  </conditionalFormatting>
  <conditionalFormatting sqref="G93">
    <cfRule type="expression" dxfId="287" priority="29">
      <formula>kvartal &lt; 4</formula>
    </cfRule>
  </conditionalFormatting>
  <conditionalFormatting sqref="F101">
    <cfRule type="expression" dxfId="286" priority="28">
      <formula>kvartal &lt; 4</formula>
    </cfRule>
  </conditionalFormatting>
  <conditionalFormatting sqref="G101">
    <cfRule type="expression" dxfId="285" priority="27">
      <formula>kvartal &lt; 4</formula>
    </cfRule>
  </conditionalFormatting>
  <conditionalFormatting sqref="G104">
    <cfRule type="expression" dxfId="284" priority="26">
      <formula>kvartal &lt; 4</formula>
    </cfRule>
  </conditionalFormatting>
  <conditionalFormatting sqref="F104">
    <cfRule type="expression" dxfId="283" priority="25">
      <formula>kvartal &lt; 4</formula>
    </cfRule>
  </conditionalFormatting>
  <conditionalFormatting sqref="J69:K73">
    <cfRule type="expression" dxfId="282" priority="24">
      <formula>kvartal &lt; 4</formula>
    </cfRule>
  </conditionalFormatting>
  <conditionalFormatting sqref="J74:K74">
    <cfRule type="expression" dxfId="281" priority="23">
      <formula>kvartal &lt; 4</formula>
    </cfRule>
  </conditionalFormatting>
  <conditionalFormatting sqref="J80:K85">
    <cfRule type="expression" dxfId="280" priority="22">
      <formula>kvartal &lt; 4</formula>
    </cfRule>
  </conditionalFormatting>
  <conditionalFormatting sqref="J90:K95">
    <cfRule type="expression" dxfId="279" priority="19">
      <formula>kvartal &lt; 4</formula>
    </cfRule>
  </conditionalFormatting>
  <conditionalFormatting sqref="J101:K106">
    <cfRule type="expression" dxfId="278" priority="18">
      <formula>kvartal &lt; 4</formula>
    </cfRule>
  </conditionalFormatting>
  <conditionalFormatting sqref="J115:K115">
    <cfRule type="expression" dxfId="277" priority="17">
      <formula>kvartal &lt; 4</formula>
    </cfRule>
  </conditionalFormatting>
  <conditionalFormatting sqref="J123:K123">
    <cfRule type="expression" dxfId="276" priority="16">
      <formula>kvartal &lt; 4</formula>
    </cfRule>
  </conditionalFormatting>
  <conditionalFormatting sqref="A50:A52">
    <cfRule type="expression" dxfId="275" priority="12">
      <formula>kvartal &lt; 4</formula>
    </cfRule>
  </conditionalFormatting>
  <conditionalFormatting sqref="A69:A74">
    <cfRule type="expression" dxfId="274" priority="10">
      <formula>kvartal &lt; 4</formula>
    </cfRule>
  </conditionalFormatting>
  <conditionalFormatting sqref="A80:A85">
    <cfRule type="expression" dxfId="273" priority="9">
      <formula>kvartal &lt; 4</formula>
    </cfRule>
  </conditionalFormatting>
  <conditionalFormatting sqref="A90:A95">
    <cfRule type="expression" dxfId="272" priority="6">
      <formula>kvartal &lt; 4</formula>
    </cfRule>
  </conditionalFormatting>
  <conditionalFormatting sqref="A101:A106">
    <cfRule type="expression" dxfId="271" priority="5">
      <formula>kvartal &lt; 4</formula>
    </cfRule>
  </conditionalFormatting>
  <conditionalFormatting sqref="A115">
    <cfRule type="expression" dxfId="270" priority="4">
      <formula>kvartal &lt; 4</formula>
    </cfRule>
  </conditionalFormatting>
  <conditionalFormatting sqref="A123">
    <cfRule type="expression" dxfId="269" priority="3">
      <formula>kvartal &lt; 4</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O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353</v>
      </c>
      <c r="D1" s="26"/>
      <c r="E1" s="26"/>
      <c r="F1" s="26"/>
      <c r="G1" s="26"/>
      <c r="H1" s="26"/>
      <c r="I1" s="26"/>
      <c r="J1" s="26"/>
      <c r="K1" s="26"/>
      <c r="L1" s="26"/>
      <c r="M1" s="26"/>
    </row>
    <row r="2" spans="1:14" ht="15.75" x14ac:dyDescent="0.25">
      <c r="A2" s="149" t="s">
        <v>28</v>
      </c>
      <c r="B2" s="707"/>
      <c r="C2" s="707"/>
      <c r="D2" s="707"/>
      <c r="E2" s="474"/>
      <c r="F2" s="707"/>
      <c r="G2" s="707"/>
      <c r="H2" s="707"/>
      <c r="I2" s="474"/>
      <c r="J2" s="707"/>
      <c r="K2" s="707"/>
      <c r="L2" s="707"/>
      <c r="M2" s="474"/>
    </row>
    <row r="3" spans="1:14" ht="15.75" x14ac:dyDescent="0.25">
      <c r="A3" s="147"/>
      <c r="B3" s="474"/>
      <c r="C3" s="474"/>
      <c r="D3" s="474"/>
      <c r="E3" s="474"/>
      <c r="F3" s="474"/>
      <c r="G3" s="474"/>
      <c r="H3" s="474"/>
      <c r="I3" s="474"/>
      <c r="J3" s="474"/>
      <c r="K3" s="474"/>
      <c r="L3" s="474"/>
      <c r="M3" s="474"/>
    </row>
    <row r="4" spans="1:14" x14ac:dyDescent="0.2">
      <c r="A4" s="128"/>
      <c r="B4" s="705" t="s">
        <v>0</v>
      </c>
      <c r="C4" s="706"/>
      <c r="D4" s="706"/>
      <c r="E4" s="471"/>
      <c r="F4" s="705" t="s">
        <v>1</v>
      </c>
      <c r="G4" s="706"/>
      <c r="H4" s="706"/>
      <c r="I4" s="472"/>
      <c r="J4" s="705" t="s">
        <v>2</v>
      </c>
      <c r="K4" s="706"/>
      <c r="L4" s="706"/>
      <c r="M4" s="472"/>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v>1428</v>
      </c>
      <c r="C7" s="292">
        <v>1129</v>
      </c>
      <c r="D7" s="334">
        <f>IF(B7=0, "    ---- ", IF(ABS(ROUND(100/B7*C7-100,1))&lt;999,ROUND(100/B7*C7-100,1),IF(ROUND(100/B7*C7-100,1)&gt;999,999,-999)))</f>
        <v>-20.9</v>
      </c>
      <c r="E7" s="11">
        <f>IFERROR(100/'Skjema total MA'!C7*C7,0)</f>
        <v>5.8919254516806907E-2</v>
      </c>
      <c r="F7" s="291"/>
      <c r="G7" s="292"/>
      <c r="H7" s="334"/>
      <c r="I7" s="144"/>
      <c r="J7" s="293">
        <f t="shared" ref="J7:K8" si="0">SUM(B7,F7)</f>
        <v>1428</v>
      </c>
      <c r="K7" s="294">
        <f t="shared" si="0"/>
        <v>1129</v>
      </c>
      <c r="L7" s="404">
        <f>IF(J7=0, "    ---- ", IF(ABS(ROUND(100/J7*K7-100,1))&lt;999,ROUND(100/J7*K7-100,1),IF(ROUND(100/J7*K7-100,1)&gt;999,999,-999)))</f>
        <v>-20.9</v>
      </c>
      <c r="M7" s="11">
        <f>IFERROR(100/'Skjema total MA'!I7*K7,0)</f>
        <v>1.9367267089762216E-2</v>
      </c>
    </row>
    <row r="8" spans="1:14" ht="15.75" x14ac:dyDescent="0.2">
      <c r="A8" s="21" t="s">
        <v>25</v>
      </c>
      <c r="B8" s="266">
        <v>1428</v>
      </c>
      <c r="C8" s="267">
        <v>1129</v>
      </c>
      <c r="D8" s="150">
        <f t="shared" ref="D8" si="1">IF(B8=0, "    ---- ", IF(ABS(ROUND(100/B8*C8-100,1))&lt;999,ROUND(100/B8*C8-100,1),IF(ROUND(100/B8*C8-100,1)&gt;999,999,-999)))</f>
        <v>-20.9</v>
      </c>
      <c r="E8" s="27">
        <f>IFERROR(100/'Skjema total MA'!C8*C8,0)</f>
        <v>8.7263581650591365E-2</v>
      </c>
      <c r="F8" s="270"/>
      <c r="G8" s="271"/>
      <c r="H8" s="150"/>
      <c r="I8" s="160"/>
      <c r="J8" s="217">
        <f t="shared" si="0"/>
        <v>1428</v>
      </c>
      <c r="K8" s="272">
        <f t="shared" si="0"/>
        <v>1129</v>
      </c>
      <c r="L8" s="150">
        <f t="shared" ref="L8" si="2">IF(J8=0, "    ---- ", IF(ABS(ROUND(100/J8*K8-100,1))&lt;999,ROUND(100/J8*K8-100,1),IF(ROUND(100/J8*K8-100,1)&gt;999,999,-999)))</f>
        <v>-20.9</v>
      </c>
      <c r="M8" s="27">
        <f>IFERROR(100/'Skjema total MA'!I8*K8,0)</f>
        <v>8.7263581650591365E-2</v>
      </c>
    </row>
    <row r="9" spans="1:14" ht="15.75" x14ac:dyDescent="0.2">
      <c r="A9" s="21" t="s">
        <v>24</v>
      </c>
      <c r="B9" s="266"/>
      <c r="C9" s="267"/>
      <c r="D9" s="150"/>
      <c r="E9" s="27"/>
      <c r="F9" s="270"/>
      <c r="G9" s="271"/>
      <c r="H9" s="150"/>
      <c r="I9" s="160"/>
      <c r="J9" s="217"/>
      <c r="K9" s="272"/>
      <c r="L9" s="150"/>
      <c r="M9" s="27"/>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474"/>
      <c r="F18" s="704"/>
      <c r="G18" s="704"/>
      <c r="H18" s="704"/>
      <c r="I18" s="474"/>
      <c r="J18" s="704"/>
      <c r="K18" s="704"/>
      <c r="L18" s="704"/>
      <c r="M18" s="474"/>
    </row>
    <row r="19" spans="1:14" x14ac:dyDescent="0.2">
      <c r="A19" s="128"/>
      <c r="B19" s="705" t="s">
        <v>0</v>
      </c>
      <c r="C19" s="706"/>
      <c r="D19" s="706"/>
      <c r="E19" s="471"/>
      <c r="F19" s="705" t="s">
        <v>1</v>
      </c>
      <c r="G19" s="706"/>
      <c r="H19" s="706"/>
      <c r="I19" s="472"/>
      <c r="J19" s="705" t="s">
        <v>2</v>
      </c>
      <c r="K19" s="706"/>
      <c r="L19" s="706"/>
      <c r="M19" s="472"/>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4"/>
      <c r="M22" s="24"/>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c r="D28" s="150"/>
      <c r="E28" s="11"/>
      <c r="F28" s="217"/>
      <c r="G28" s="272"/>
      <c r="H28" s="150"/>
      <c r="I28" s="27"/>
      <c r="J28" s="44"/>
      <c r="K28" s="44"/>
      <c r="L28" s="242"/>
      <c r="M28" s="23"/>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409"/>
      <c r="E38" s="24"/>
      <c r="F38" s="304"/>
      <c r="G38" s="305"/>
      <c r="H38" s="155"/>
      <c r="I38" s="411"/>
      <c r="J38" s="219"/>
      <c r="K38" s="219"/>
      <c r="L38" s="405"/>
      <c r="M38" s="24"/>
    </row>
    <row r="39" spans="1:14" ht="15.75" x14ac:dyDescent="0.2">
      <c r="A39" s="18" t="s">
        <v>331</v>
      </c>
      <c r="B39" s="261"/>
      <c r="C39" s="300"/>
      <c r="D39" s="410"/>
      <c r="E39" s="36"/>
      <c r="F39" s="307"/>
      <c r="G39" s="308"/>
      <c r="H39" s="153"/>
      <c r="I39" s="36"/>
      <c r="J39" s="219"/>
      <c r="K39" s="219"/>
      <c r="L39" s="406"/>
      <c r="M39" s="36"/>
    </row>
    <row r="40" spans="1:14" ht="15.75" x14ac:dyDescent="0.25">
      <c r="A40" s="47"/>
      <c r="B40" s="241"/>
      <c r="C40" s="241"/>
      <c r="D40" s="708"/>
      <c r="E40" s="709"/>
      <c r="F40" s="708"/>
      <c r="G40" s="708"/>
      <c r="H40" s="708"/>
      <c r="I40" s="708"/>
      <c r="J40" s="708"/>
      <c r="K40" s="708"/>
      <c r="L40" s="708"/>
      <c r="M40" s="475"/>
    </row>
    <row r="41" spans="1:14" x14ac:dyDescent="0.2">
      <c r="A41" s="139"/>
    </row>
    <row r="42" spans="1:14" ht="15.75" x14ac:dyDescent="0.25">
      <c r="A42" s="131" t="s">
        <v>243</v>
      </c>
      <c r="B42" s="707"/>
      <c r="C42" s="707"/>
      <c r="D42" s="707"/>
      <c r="E42" s="474"/>
      <c r="F42" s="709"/>
      <c r="G42" s="709"/>
      <c r="H42" s="709"/>
      <c r="I42" s="475"/>
      <c r="J42" s="709"/>
      <c r="K42" s="709"/>
      <c r="L42" s="709"/>
      <c r="M42" s="475"/>
    </row>
    <row r="43" spans="1:14" ht="15.75" x14ac:dyDescent="0.25">
      <c r="A43" s="147"/>
      <c r="B43" s="473"/>
      <c r="C43" s="473"/>
      <c r="D43" s="473"/>
      <c r="E43" s="473"/>
      <c r="F43" s="475"/>
      <c r="G43" s="475"/>
      <c r="H43" s="475"/>
      <c r="I43" s="475"/>
      <c r="J43" s="475"/>
      <c r="K43" s="475"/>
      <c r="L43" s="475"/>
      <c r="M43" s="475"/>
    </row>
    <row r="44" spans="1:14" ht="15.75" x14ac:dyDescent="0.25">
      <c r="A44" s="232"/>
      <c r="B44" s="705" t="s">
        <v>0</v>
      </c>
      <c r="C44" s="706"/>
      <c r="D44" s="706"/>
      <c r="E44" s="227"/>
      <c r="F44" s="475"/>
      <c r="G44" s="475"/>
      <c r="H44" s="475"/>
      <c r="I44" s="475"/>
      <c r="J44" s="475"/>
      <c r="K44" s="475"/>
      <c r="L44" s="475"/>
      <c r="M44" s="475"/>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575</v>
      </c>
      <c r="C47" s="296">
        <v>597</v>
      </c>
      <c r="D47" s="404">
        <f t="shared" ref="D47:D48" si="3">IF(B47=0, "    ---- ", IF(ABS(ROUND(100/B47*C47-100,1))&lt;999,ROUND(100/B47*C47-100,1),IF(ROUND(100/B47*C47-100,1)&gt;999,999,-999)))</f>
        <v>3.8</v>
      </c>
      <c r="E47" s="11">
        <f>IFERROR(100/'Skjema total MA'!C47*C47,0)</f>
        <v>1.4495821613387999E-2</v>
      </c>
      <c r="F47" s="129"/>
      <c r="G47" s="33"/>
      <c r="H47" s="143"/>
      <c r="I47" s="143"/>
      <c r="J47" s="37"/>
      <c r="K47" s="37"/>
      <c r="L47" s="143"/>
      <c r="M47" s="143"/>
      <c r="N47" s="132"/>
    </row>
    <row r="48" spans="1:14" s="3" customFormat="1" ht="15.75" x14ac:dyDescent="0.2">
      <c r="A48" s="38" t="s">
        <v>332</v>
      </c>
      <c r="B48" s="266">
        <v>575</v>
      </c>
      <c r="C48" s="267">
        <v>597</v>
      </c>
      <c r="D48" s="242">
        <f t="shared" si="3"/>
        <v>3.8</v>
      </c>
      <c r="E48" s="27">
        <f>IFERROR(100/'Skjema total MA'!C48*C48,0)</f>
        <v>2.7128111822106744E-2</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474"/>
      <c r="F62" s="704"/>
      <c r="G62" s="704"/>
      <c r="H62" s="704"/>
      <c r="I62" s="474"/>
      <c r="J62" s="704"/>
      <c r="K62" s="704"/>
      <c r="L62" s="704"/>
      <c r="M62" s="474"/>
    </row>
    <row r="63" spans="1:14" x14ac:dyDescent="0.2">
      <c r="A63" s="128"/>
      <c r="B63" s="705" t="s">
        <v>0</v>
      </c>
      <c r="C63" s="706"/>
      <c r="D63" s="710"/>
      <c r="E63" s="470"/>
      <c r="F63" s="706" t="s">
        <v>1</v>
      </c>
      <c r="G63" s="706"/>
      <c r="H63" s="706"/>
      <c r="I63" s="472"/>
      <c r="J63" s="705" t="s">
        <v>2</v>
      </c>
      <c r="K63" s="706"/>
      <c r="L63" s="706"/>
      <c r="M63" s="472"/>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5" x14ac:dyDescent="0.2">
      <c r="A97" s="21" t="s">
        <v>305</v>
      </c>
      <c r="B97" s="217"/>
      <c r="C97" s="129"/>
      <c r="D97" s="150"/>
      <c r="E97" s="27"/>
      <c r="F97" s="217"/>
      <c r="G97" s="129"/>
      <c r="H97" s="150"/>
      <c r="I97" s="27"/>
      <c r="J97" s="272"/>
      <c r="K97" s="44"/>
      <c r="L97" s="242"/>
      <c r="M97" s="27"/>
    </row>
    <row r="98" spans="1:15" ht="15.75" x14ac:dyDescent="0.2">
      <c r="A98" s="21" t="s">
        <v>338</v>
      </c>
      <c r="B98" s="217"/>
      <c r="C98" s="217"/>
      <c r="D98" s="150"/>
      <c r="E98" s="27"/>
      <c r="F98" s="277"/>
      <c r="G98" s="277"/>
      <c r="H98" s="150"/>
      <c r="I98" s="27"/>
      <c r="J98" s="272"/>
      <c r="K98" s="44"/>
      <c r="L98" s="242"/>
      <c r="M98" s="27"/>
    </row>
    <row r="99" spans="1:15" x14ac:dyDescent="0.2">
      <c r="A99" s="21" t="s">
        <v>9</v>
      </c>
      <c r="B99" s="277"/>
      <c r="C99" s="278"/>
      <c r="D99" s="150"/>
      <c r="E99" s="27"/>
      <c r="F99" s="217"/>
      <c r="G99" s="129"/>
      <c r="H99" s="150"/>
      <c r="I99" s="27"/>
      <c r="J99" s="272"/>
      <c r="K99" s="44"/>
      <c r="L99" s="242"/>
      <c r="M99" s="27"/>
    </row>
    <row r="100" spans="1:15" x14ac:dyDescent="0.2">
      <c r="A100" s="38" t="s">
        <v>366</v>
      </c>
      <c r="B100" s="277"/>
      <c r="C100" s="278"/>
      <c r="D100" s="150"/>
      <c r="E100" s="27"/>
      <c r="F100" s="217"/>
      <c r="G100" s="217"/>
      <c r="H100" s="150"/>
      <c r="I100" s="27"/>
      <c r="J100" s="272"/>
      <c r="K100" s="44"/>
      <c r="L100" s="242"/>
      <c r="M100" s="27"/>
    </row>
    <row r="101" spans="1:15" ht="15.75" x14ac:dyDescent="0.2">
      <c r="A101" s="281" t="s">
        <v>336</v>
      </c>
      <c r="B101" s="266"/>
      <c r="C101" s="266"/>
      <c r="D101" s="150"/>
      <c r="E101" s="394"/>
      <c r="F101" s="266"/>
      <c r="G101" s="266"/>
      <c r="H101" s="150"/>
      <c r="I101" s="394"/>
      <c r="J101" s="275"/>
      <c r="K101" s="275"/>
      <c r="L101" s="150"/>
      <c r="M101" s="23"/>
    </row>
    <row r="102" spans="1:15" x14ac:dyDescent="0.2">
      <c r="A102" s="281" t="s">
        <v>12</v>
      </c>
      <c r="B102" s="218"/>
      <c r="C102" s="274"/>
      <c r="D102" s="150"/>
      <c r="E102" s="394"/>
      <c r="F102" s="266"/>
      <c r="G102" s="266"/>
      <c r="H102" s="150"/>
      <c r="I102" s="394"/>
      <c r="J102" s="275"/>
      <c r="K102" s="275"/>
      <c r="L102" s="150"/>
      <c r="M102" s="23"/>
    </row>
    <row r="103" spans="1:15" x14ac:dyDescent="0.2">
      <c r="A103" s="281" t="s">
        <v>13</v>
      </c>
      <c r="B103" s="218"/>
      <c r="C103" s="274"/>
      <c r="D103" s="150"/>
      <c r="E103" s="394"/>
      <c r="F103" s="266"/>
      <c r="G103" s="266"/>
      <c r="H103" s="150"/>
      <c r="I103" s="394"/>
      <c r="J103" s="275"/>
      <c r="K103" s="275"/>
      <c r="L103" s="150"/>
      <c r="M103" s="23"/>
    </row>
    <row r="104" spans="1:15" ht="15.75" x14ac:dyDescent="0.2">
      <c r="A104" s="281" t="s">
        <v>337</v>
      </c>
      <c r="B104" s="266"/>
      <c r="C104" s="266"/>
      <c r="D104" s="150"/>
      <c r="E104" s="394"/>
      <c r="F104" s="266"/>
      <c r="G104" s="266"/>
      <c r="H104" s="150"/>
      <c r="I104" s="394"/>
      <c r="J104" s="275"/>
      <c r="K104" s="275"/>
      <c r="L104" s="150"/>
      <c r="M104" s="23"/>
    </row>
    <row r="105" spans="1:15" x14ac:dyDescent="0.2">
      <c r="A105" s="281" t="s">
        <v>12</v>
      </c>
      <c r="B105" s="218"/>
      <c r="C105" s="274"/>
      <c r="D105" s="150"/>
      <c r="E105" s="394"/>
      <c r="F105" s="266"/>
      <c r="G105" s="266"/>
      <c r="H105" s="150"/>
      <c r="I105" s="394"/>
      <c r="J105" s="275"/>
      <c r="K105" s="275"/>
      <c r="L105" s="150"/>
      <c r="M105" s="23"/>
    </row>
    <row r="106" spans="1:15" x14ac:dyDescent="0.2">
      <c r="A106" s="281" t="s">
        <v>13</v>
      </c>
      <c r="B106" s="218"/>
      <c r="C106" s="274"/>
      <c r="D106" s="150"/>
      <c r="E106" s="394"/>
      <c r="F106" s="266"/>
      <c r="G106" s="266"/>
      <c r="H106" s="150"/>
      <c r="I106" s="394"/>
      <c r="J106" s="275"/>
      <c r="K106" s="275"/>
      <c r="L106" s="150"/>
      <c r="M106" s="23"/>
    </row>
    <row r="107" spans="1:15" ht="15.75" x14ac:dyDescent="0.2">
      <c r="A107" s="21" t="s">
        <v>339</v>
      </c>
      <c r="B107" s="217"/>
      <c r="C107" s="129"/>
      <c r="D107" s="150"/>
      <c r="E107" s="27"/>
      <c r="F107" s="217"/>
      <c r="G107" s="129"/>
      <c r="H107" s="150"/>
      <c r="I107" s="27"/>
      <c r="J107" s="272"/>
      <c r="K107" s="44"/>
      <c r="L107" s="242"/>
      <c r="M107" s="27"/>
    </row>
    <row r="108" spans="1:15" ht="15.75" x14ac:dyDescent="0.2">
      <c r="A108" s="21" t="s">
        <v>340</v>
      </c>
      <c r="B108" s="217"/>
      <c r="C108" s="217"/>
      <c r="D108" s="150"/>
      <c r="E108" s="27"/>
      <c r="F108" s="217"/>
      <c r="G108" s="217"/>
      <c r="H108" s="150"/>
      <c r="I108" s="27"/>
      <c r="J108" s="272"/>
      <c r="K108" s="44"/>
      <c r="L108" s="242"/>
      <c r="M108" s="27"/>
    </row>
    <row r="109" spans="1:15" ht="15.75" x14ac:dyDescent="0.2">
      <c r="A109" s="38" t="s">
        <v>374</v>
      </c>
      <c r="B109" s="217"/>
      <c r="C109" s="217"/>
      <c r="D109" s="150"/>
      <c r="E109" s="27"/>
      <c r="F109" s="217"/>
      <c r="G109" s="217"/>
      <c r="H109" s="150"/>
      <c r="I109" s="27"/>
      <c r="J109" s="272"/>
      <c r="K109" s="44"/>
      <c r="L109" s="242"/>
      <c r="M109" s="27"/>
      <c r="O109" s="3"/>
    </row>
    <row r="110" spans="1:15" ht="15.75" x14ac:dyDescent="0.2">
      <c r="A110" s="21" t="s">
        <v>341</v>
      </c>
      <c r="B110" s="217"/>
      <c r="C110" s="217"/>
      <c r="D110" s="150"/>
      <c r="E110" s="27"/>
      <c r="F110" s="217"/>
      <c r="G110" s="217"/>
      <c r="H110" s="150"/>
      <c r="I110" s="27"/>
      <c r="J110" s="272"/>
      <c r="K110" s="44"/>
      <c r="L110" s="242"/>
      <c r="M110" s="27"/>
    </row>
    <row r="111" spans="1:15" ht="15.75" x14ac:dyDescent="0.2">
      <c r="A111" s="13" t="s">
        <v>322</v>
      </c>
      <c r="B111" s="293"/>
      <c r="C111" s="143"/>
      <c r="D111" s="155"/>
      <c r="E111" s="11"/>
      <c r="F111" s="293"/>
      <c r="G111" s="143"/>
      <c r="H111" s="155"/>
      <c r="I111" s="11"/>
      <c r="J111" s="294"/>
      <c r="K111" s="219"/>
      <c r="L111" s="405"/>
      <c r="M111" s="11"/>
    </row>
    <row r="112" spans="1:15"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474"/>
      <c r="F130" s="704"/>
      <c r="G130" s="704"/>
      <c r="H130" s="704"/>
      <c r="I130" s="474"/>
      <c r="J130" s="704"/>
      <c r="K130" s="704"/>
      <c r="L130" s="704"/>
      <c r="M130" s="474"/>
    </row>
    <row r="131" spans="1:14" s="3" customFormat="1" x14ac:dyDescent="0.2">
      <c r="A131" s="128"/>
      <c r="B131" s="705" t="s">
        <v>0</v>
      </c>
      <c r="C131" s="706"/>
      <c r="D131" s="706"/>
      <c r="E131" s="471"/>
      <c r="F131" s="705" t="s">
        <v>1</v>
      </c>
      <c r="G131" s="706"/>
      <c r="H131" s="706"/>
      <c r="I131" s="472"/>
      <c r="J131" s="705" t="s">
        <v>2</v>
      </c>
      <c r="K131" s="706"/>
      <c r="L131" s="706"/>
      <c r="M131" s="472"/>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268" priority="59">
      <formula>kvartal &lt; 4</formula>
    </cfRule>
  </conditionalFormatting>
  <conditionalFormatting sqref="B69">
    <cfRule type="expression" dxfId="267" priority="58">
      <formula>kvartal &lt; 4</formula>
    </cfRule>
  </conditionalFormatting>
  <conditionalFormatting sqref="C69">
    <cfRule type="expression" dxfId="266" priority="57">
      <formula>kvartal &lt; 4</formula>
    </cfRule>
  </conditionalFormatting>
  <conditionalFormatting sqref="B72">
    <cfRule type="expression" dxfId="265" priority="56">
      <formula>kvartal &lt; 4</formula>
    </cfRule>
  </conditionalFormatting>
  <conditionalFormatting sqref="C72">
    <cfRule type="expression" dxfId="264" priority="55">
      <formula>kvartal &lt; 4</formula>
    </cfRule>
  </conditionalFormatting>
  <conditionalFormatting sqref="B80">
    <cfRule type="expression" dxfId="263" priority="54">
      <formula>kvartal &lt; 4</formula>
    </cfRule>
  </conditionalFormatting>
  <conditionalFormatting sqref="C80">
    <cfRule type="expression" dxfId="262" priority="53">
      <formula>kvartal &lt; 4</formula>
    </cfRule>
  </conditionalFormatting>
  <conditionalFormatting sqref="B83">
    <cfRule type="expression" dxfId="261" priority="52">
      <formula>kvartal &lt; 4</formula>
    </cfRule>
  </conditionalFormatting>
  <conditionalFormatting sqref="C83">
    <cfRule type="expression" dxfId="260" priority="51">
      <formula>kvartal &lt; 4</formula>
    </cfRule>
  </conditionalFormatting>
  <conditionalFormatting sqref="B90">
    <cfRule type="expression" dxfId="259" priority="50">
      <formula>kvartal &lt; 4</formula>
    </cfRule>
  </conditionalFormatting>
  <conditionalFormatting sqref="C90">
    <cfRule type="expression" dxfId="258" priority="49">
      <formula>kvartal &lt; 4</formula>
    </cfRule>
  </conditionalFormatting>
  <conditionalFormatting sqref="B93">
    <cfRule type="expression" dxfId="257" priority="48">
      <formula>kvartal &lt; 4</formula>
    </cfRule>
  </conditionalFormatting>
  <conditionalFormatting sqref="C93">
    <cfRule type="expression" dxfId="256" priority="47">
      <formula>kvartal &lt; 4</formula>
    </cfRule>
  </conditionalFormatting>
  <conditionalFormatting sqref="B101">
    <cfRule type="expression" dxfId="255" priority="46">
      <formula>kvartal &lt; 4</formula>
    </cfRule>
  </conditionalFormatting>
  <conditionalFormatting sqref="C101">
    <cfRule type="expression" dxfId="254" priority="45">
      <formula>kvartal &lt; 4</formula>
    </cfRule>
  </conditionalFormatting>
  <conditionalFormatting sqref="B104">
    <cfRule type="expression" dxfId="253" priority="44">
      <formula>kvartal &lt; 4</formula>
    </cfRule>
  </conditionalFormatting>
  <conditionalFormatting sqref="C104">
    <cfRule type="expression" dxfId="252" priority="43">
      <formula>kvartal &lt; 4</formula>
    </cfRule>
  </conditionalFormatting>
  <conditionalFormatting sqref="B115">
    <cfRule type="expression" dxfId="251" priority="42">
      <formula>kvartal &lt; 4</formula>
    </cfRule>
  </conditionalFormatting>
  <conditionalFormatting sqref="C115">
    <cfRule type="expression" dxfId="250" priority="41">
      <formula>kvartal &lt; 4</formula>
    </cfRule>
  </conditionalFormatting>
  <conditionalFormatting sqref="B123">
    <cfRule type="expression" dxfId="249" priority="40">
      <formula>kvartal &lt; 4</formula>
    </cfRule>
  </conditionalFormatting>
  <conditionalFormatting sqref="C123">
    <cfRule type="expression" dxfId="248" priority="39">
      <formula>kvartal &lt; 4</formula>
    </cfRule>
  </conditionalFormatting>
  <conditionalFormatting sqref="F70">
    <cfRule type="expression" dxfId="247" priority="38">
      <formula>kvartal &lt; 4</formula>
    </cfRule>
  </conditionalFormatting>
  <conditionalFormatting sqref="G70">
    <cfRule type="expression" dxfId="246" priority="37">
      <formula>kvartal &lt; 4</formula>
    </cfRule>
  </conditionalFormatting>
  <conditionalFormatting sqref="F71:G71">
    <cfRule type="expression" dxfId="245" priority="36">
      <formula>kvartal &lt; 4</formula>
    </cfRule>
  </conditionalFormatting>
  <conditionalFormatting sqref="F73:G74">
    <cfRule type="expression" dxfId="244" priority="35">
      <formula>kvartal &lt; 4</formula>
    </cfRule>
  </conditionalFormatting>
  <conditionalFormatting sqref="F81:G82">
    <cfRule type="expression" dxfId="243" priority="34">
      <formula>kvartal &lt; 4</formula>
    </cfRule>
  </conditionalFormatting>
  <conditionalFormatting sqref="F84:G85">
    <cfRule type="expression" dxfId="242" priority="33">
      <formula>kvartal &lt; 4</formula>
    </cfRule>
  </conditionalFormatting>
  <conditionalFormatting sqref="F91:G92">
    <cfRule type="expression" dxfId="241" priority="32">
      <formula>kvartal &lt; 4</formula>
    </cfRule>
  </conditionalFormatting>
  <conditionalFormatting sqref="F94:G95">
    <cfRule type="expression" dxfId="240" priority="31">
      <formula>kvartal &lt; 4</formula>
    </cfRule>
  </conditionalFormatting>
  <conditionalFormatting sqref="F102:G103">
    <cfRule type="expression" dxfId="239" priority="30">
      <formula>kvartal &lt; 4</formula>
    </cfRule>
  </conditionalFormatting>
  <conditionalFormatting sqref="F105:G106">
    <cfRule type="expression" dxfId="238" priority="29">
      <formula>kvartal &lt; 4</formula>
    </cfRule>
  </conditionalFormatting>
  <conditionalFormatting sqref="F115">
    <cfRule type="expression" dxfId="237" priority="28">
      <formula>kvartal &lt; 4</formula>
    </cfRule>
  </conditionalFormatting>
  <conditionalFormatting sqref="G115">
    <cfRule type="expression" dxfId="236" priority="27">
      <formula>kvartal &lt; 4</formula>
    </cfRule>
  </conditionalFormatting>
  <conditionalFormatting sqref="F123:G123">
    <cfRule type="expression" dxfId="235" priority="26">
      <formula>kvartal &lt; 4</formula>
    </cfRule>
  </conditionalFormatting>
  <conditionalFormatting sqref="F69:G69">
    <cfRule type="expression" dxfId="234" priority="25">
      <formula>kvartal &lt; 4</formula>
    </cfRule>
  </conditionalFormatting>
  <conditionalFormatting sqref="F72:G72">
    <cfRule type="expression" dxfId="233" priority="24">
      <formula>kvartal &lt; 4</formula>
    </cfRule>
  </conditionalFormatting>
  <conditionalFormatting sqref="F80:G80">
    <cfRule type="expression" dxfId="232" priority="23">
      <formula>kvartal &lt; 4</formula>
    </cfRule>
  </conditionalFormatting>
  <conditionalFormatting sqref="F83:G83">
    <cfRule type="expression" dxfId="231" priority="22">
      <formula>kvartal &lt; 4</formula>
    </cfRule>
  </conditionalFormatting>
  <conditionalFormatting sqref="F90:G90">
    <cfRule type="expression" dxfId="230" priority="21">
      <formula>kvartal &lt; 4</formula>
    </cfRule>
  </conditionalFormatting>
  <conditionalFormatting sqref="F93">
    <cfRule type="expression" dxfId="229" priority="20">
      <formula>kvartal &lt; 4</formula>
    </cfRule>
  </conditionalFormatting>
  <conditionalFormatting sqref="G93">
    <cfRule type="expression" dxfId="228" priority="19">
      <formula>kvartal &lt; 4</formula>
    </cfRule>
  </conditionalFormatting>
  <conditionalFormatting sqref="F101">
    <cfRule type="expression" dxfId="227" priority="18">
      <formula>kvartal &lt; 4</formula>
    </cfRule>
  </conditionalFormatting>
  <conditionalFormatting sqref="G101">
    <cfRule type="expression" dxfId="226" priority="17">
      <formula>kvartal &lt; 4</formula>
    </cfRule>
  </conditionalFormatting>
  <conditionalFormatting sqref="G104">
    <cfRule type="expression" dxfId="225" priority="16">
      <formula>kvartal &lt; 4</formula>
    </cfRule>
  </conditionalFormatting>
  <conditionalFormatting sqref="F104">
    <cfRule type="expression" dxfId="224" priority="15">
      <formula>kvartal &lt; 4</formula>
    </cfRule>
  </conditionalFormatting>
  <conditionalFormatting sqref="J69:K73">
    <cfRule type="expression" dxfId="223" priority="14">
      <formula>kvartal &lt; 4</formula>
    </cfRule>
  </conditionalFormatting>
  <conditionalFormatting sqref="J74:K74">
    <cfRule type="expression" dxfId="222" priority="13">
      <formula>kvartal &lt; 4</formula>
    </cfRule>
  </conditionalFormatting>
  <conditionalFormatting sqref="J80:K85">
    <cfRule type="expression" dxfId="221" priority="12">
      <formula>kvartal &lt; 4</formula>
    </cfRule>
  </conditionalFormatting>
  <conditionalFormatting sqref="J90:K95">
    <cfRule type="expression" dxfId="220" priority="11">
      <formula>kvartal &lt; 4</formula>
    </cfRule>
  </conditionalFormatting>
  <conditionalFormatting sqref="J101:K106">
    <cfRule type="expression" dxfId="219" priority="10">
      <formula>kvartal &lt; 4</formula>
    </cfRule>
  </conditionalFormatting>
  <conditionalFormatting sqref="J115:K115">
    <cfRule type="expression" dxfId="218" priority="9">
      <formula>kvartal &lt; 4</formula>
    </cfRule>
  </conditionalFormatting>
  <conditionalFormatting sqref="J123:K123">
    <cfRule type="expression" dxfId="217" priority="8">
      <formula>kvartal &lt; 4</formula>
    </cfRule>
  </conditionalFormatting>
  <conditionalFormatting sqref="A50:A52">
    <cfRule type="expression" dxfId="216" priority="7">
      <formula>kvartal &lt; 4</formula>
    </cfRule>
  </conditionalFormatting>
  <conditionalFormatting sqref="A69:A74">
    <cfRule type="expression" dxfId="215" priority="6">
      <formula>kvartal &lt; 4</formula>
    </cfRule>
  </conditionalFormatting>
  <conditionalFormatting sqref="A80:A85">
    <cfRule type="expression" dxfId="214" priority="5">
      <formula>kvartal &lt; 4</formula>
    </cfRule>
  </conditionalFormatting>
  <conditionalFormatting sqref="A90:A95">
    <cfRule type="expression" dxfId="213" priority="4">
      <formula>kvartal &lt; 4</formula>
    </cfRule>
  </conditionalFormatting>
  <conditionalFormatting sqref="A101:A106">
    <cfRule type="expression" dxfId="212" priority="3">
      <formula>kvartal &lt; 4</formula>
    </cfRule>
  </conditionalFormatting>
  <conditionalFormatting sqref="A115">
    <cfRule type="expression" dxfId="211" priority="2">
      <formula>kvartal &lt; 4</formula>
    </cfRule>
  </conditionalFormatting>
  <conditionalFormatting sqref="A123">
    <cfRule type="expression" dxfId="210" priority="1">
      <formula>kvartal &lt; 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O7" sqref="O7"/>
    </sheetView>
  </sheetViews>
  <sheetFormatPr baseColWidth="10" defaultColWidth="11.42578125" defaultRowHeight="18.75" x14ac:dyDescent="0.3"/>
  <cols>
    <col min="10" max="11" width="16.7109375" customWidth="1"/>
    <col min="12" max="12" width="24.42578125" style="58" customWidth="1"/>
    <col min="13" max="14" width="15.7109375" style="58" bestFit="1" customWidth="1"/>
    <col min="15" max="15" width="22.7109375" customWidth="1"/>
    <col min="16" max="16" width="13.42578125" customWidth="1"/>
    <col min="17" max="17" width="13.7109375" customWidth="1"/>
  </cols>
  <sheetData>
    <row r="1" spans="1:15" x14ac:dyDescent="0.3">
      <c r="A1" s="57" t="s">
        <v>52</v>
      </c>
    </row>
    <row r="2" spans="1:15" x14ac:dyDescent="0.3">
      <c r="A2" s="59"/>
      <c r="B2" s="58"/>
      <c r="C2" s="58"/>
      <c r="D2" s="58"/>
      <c r="E2" s="58"/>
      <c r="F2" s="58"/>
      <c r="G2" s="58"/>
      <c r="H2" s="58"/>
      <c r="I2" s="58"/>
      <c r="J2" s="58"/>
      <c r="K2" s="58"/>
      <c r="O2" s="58"/>
    </row>
    <row r="3" spans="1:15" x14ac:dyDescent="0.3">
      <c r="A3" s="59" t="s">
        <v>32</v>
      </c>
      <c r="B3" s="58"/>
      <c r="C3" s="58"/>
      <c r="D3" s="58"/>
      <c r="E3" s="58"/>
      <c r="F3" s="58"/>
      <c r="G3" s="58"/>
      <c r="H3" s="58"/>
      <c r="I3" s="58"/>
      <c r="J3" s="58"/>
      <c r="K3" s="58"/>
      <c r="O3" s="58"/>
    </row>
    <row r="4" spans="1:15" x14ac:dyDescent="0.3">
      <c r="A4" s="58"/>
      <c r="B4" s="58"/>
      <c r="C4" s="58"/>
      <c r="D4" s="58"/>
      <c r="E4" s="58"/>
      <c r="F4" s="58"/>
      <c r="G4" s="58"/>
      <c r="H4" s="58"/>
      <c r="I4" s="58"/>
      <c r="J4" s="58"/>
      <c r="K4" s="58"/>
      <c r="L4" s="60"/>
      <c r="O4" s="58"/>
    </row>
    <row r="5" spans="1:15" x14ac:dyDescent="0.3">
      <c r="A5" s="59" t="s">
        <v>404</v>
      </c>
      <c r="B5" s="58"/>
      <c r="C5" s="58"/>
      <c r="D5" s="58"/>
      <c r="E5" s="58"/>
      <c r="F5" s="58"/>
      <c r="G5" s="58"/>
      <c r="H5" s="58"/>
      <c r="I5" s="63"/>
      <c r="J5" s="58"/>
      <c r="K5" s="58"/>
      <c r="L5" s="58" t="s">
        <v>53</v>
      </c>
      <c r="O5" s="58"/>
    </row>
    <row r="6" spans="1:15" x14ac:dyDescent="0.3">
      <c r="A6" s="58"/>
      <c r="B6" s="58"/>
      <c r="C6" s="58"/>
      <c r="D6" s="58"/>
      <c r="E6" s="58"/>
      <c r="F6" s="58"/>
      <c r="G6" s="58"/>
      <c r="H6" s="58"/>
      <c r="I6" s="58"/>
      <c r="J6" s="58"/>
      <c r="K6" s="58"/>
      <c r="L6" s="58" t="s">
        <v>0</v>
      </c>
      <c r="O6" s="58"/>
    </row>
    <row r="7" spans="1:15" x14ac:dyDescent="0.3">
      <c r="A7" s="58"/>
      <c r="B7" s="58"/>
      <c r="C7" s="58"/>
      <c r="D7" s="58"/>
      <c r="E7" s="58"/>
      <c r="F7" s="58"/>
      <c r="G7" s="58"/>
      <c r="H7" s="58"/>
      <c r="I7" s="58"/>
      <c r="J7" s="58"/>
      <c r="K7" s="58"/>
      <c r="M7" s="58">
        <v>2023</v>
      </c>
      <c r="N7" s="58">
        <v>2024</v>
      </c>
      <c r="O7" s="58"/>
    </row>
    <row r="8" spans="1:15" x14ac:dyDescent="0.3">
      <c r="A8" s="58"/>
      <c r="B8" s="58"/>
      <c r="C8" s="58"/>
      <c r="D8" s="58"/>
      <c r="E8" s="58"/>
      <c r="F8" s="58"/>
      <c r="G8" s="58"/>
      <c r="H8" s="58"/>
      <c r="I8" s="58"/>
      <c r="J8" s="58"/>
      <c r="K8" s="58"/>
      <c r="L8" s="58" t="s">
        <v>54</v>
      </c>
      <c r="M8" s="61">
        <f>'Tabel 1.1'!B9</f>
        <v>1174839.7120000001</v>
      </c>
      <c r="N8" s="61">
        <f>'Tabel 1.1'!C9</f>
        <v>1250013</v>
      </c>
      <c r="O8" s="58"/>
    </row>
    <row r="9" spans="1:15" x14ac:dyDescent="0.3">
      <c r="A9" s="58"/>
      <c r="B9" s="58"/>
      <c r="C9" s="58"/>
      <c r="D9" s="58"/>
      <c r="E9" s="58"/>
      <c r="F9" s="58"/>
      <c r="G9" s="58"/>
      <c r="H9" s="58"/>
      <c r="I9" s="58"/>
      <c r="J9" s="58"/>
      <c r="K9" s="58"/>
      <c r="L9" s="58" t="s">
        <v>55</v>
      </c>
      <c r="M9" s="61">
        <f>'Tabel 1.1'!B10</f>
        <v>189579</v>
      </c>
      <c r="N9" s="61">
        <f>'Tabel 1.1'!C10</f>
        <v>205089</v>
      </c>
      <c r="O9" s="58"/>
    </row>
    <row r="10" spans="1:15" x14ac:dyDescent="0.3">
      <c r="A10" s="58"/>
      <c r="B10" s="58"/>
      <c r="C10" s="58"/>
      <c r="D10" s="58"/>
      <c r="E10" s="58"/>
      <c r="F10" s="58"/>
      <c r="G10" s="58"/>
      <c r="H10" s="58"/>
      <c r="I10" s="58"/>
      <c r="J10" s="58"/>
      <c r="K10" s="58"/>
      <c r="L10" s="58" t="s">
        <v>365</v>
      </c>
      <c r="M10" s="61">
        <f>'Tabel 1.1'!B11</f>
        <v>36616</v>
      </c>
      <c r="N10" s="61">
        <f>'Tabel 1.1'!C11</f>
        <v>51311</v>
      </c>
      <c r="O10" s="58"/>
    </row>
    <row r="11" spans="1:15" x14ac:dyDescent="0.3">
      <c r="A11" s="58"/>
      <c r="B11" s="58"/>
      <c r="C11" s="58"/>
      <c r="D11" s="58"/>
      <c r="E11" s="58"/>
      <c r="F11" s="58"/>
      <c r="G11" s="58"/>
      <c r="H11" s="58"/>
      <c r="I11" s="58"/>
      <c r="J11" s="58"/>
      <c r="K11" s="58"/>
      <c r="L11" s="58" t="s">
        <v>354</v>
      </c>
      <c r="M11" s="61">
        <f>'Tabel 1.1'!B12</f>
        <v>931757.56291999994</v>
      </c>
      <c r="N11" s="61">
        <f>'Tabel 1.1'!C12</f>
        <v>998261.31835000007</v>
      </c>
      <c r="O11" s="58"/>
    </row>
    <row r="12" spans="1:15" x14ac:dyDescent="0.3">
      <c r="A12" s="58"/>
      <c r="B12" s="58"/>
      <c r="C12" s="58"/>
      <c r="D12" s="58"/>
      <c r="E12" s="58"/>
      <c r="F12" s="58"/>
      <c r="G12" s="58"/>
      <c r="H12" s="58"/>
      <c r="I12" s="58"/>
      <c r="J12" s="58"/>
      <c r="K12" s="58"/>
      <c r="L12" s="58" t="s">
        <v>56</v>
      </c>
      <c r="M12" s="61">
        <f>'Tabel 1.1'!B13</f>
        <v>561739</v>
      </c>
      <c r="N12" s="61">
        <f>'Tabel 1.1'!C13</f>
        <v>633168</v>
      </c>
      <c r="O12" s="58"/>
    </row>
    <row r="13" spans="1:15" x14ac:dyDescent="0.3">
      <c r="A13" s="58"/>
      <c r="B13" s="58"/>
      <c r="C13" s="58"/>
      <c r="D13" s="58"/>
      <c r="E13" s="58"/>
      <c r="F13" s="58"/>
      <c r="G13" s="58"/>
      <c r="H13" s="58"/>
      <c r="I13" s="58"/>
      <c r="J13" s="58"/>
      <c r="K13" s="58"/>
      <c r="L13" s="58" t="s">
        <v>57</v>
      </c>
      <c r="M13" s="61">
        <f>'Tabel 1.1'!B14</f>
        <v>6113.049</v>
      </c>
      <c r="N13" s="61">
        <f>'Tabel 1.1'!C14</f>
        <v>6049.5889999999999</v>
      </c>
      <c r="O13" s="58"/>
    </row>
    <row r="14" spans="1:15" x14ac:dyDescent="0.3">
      <c r="A14" s="58"/>
      <c r="B14" s="58"/>
      <c r="C14" s="58"/>
      <c r="D14" s="58"/>
      <c r="E14" s="58"/>
      <c r="F14" s="58"/>
      <c r="G14" s="58"/>
      <c r="H14" s="58"/>
      <c r="I14" s="58"/>
      <c r="J14" s="58"/>
      <c r="K14" s="58"/>
      <c r="L14" s="58" t="s">
        <v>58</v>
      </c>
      <c r="M14" s="61">
        <f>'Tabel 1.1'!B15</f>
        <v>1505481.132</v>
      </c>
      <c r="N14" s="61">
        <f>'Tabel 1.1'!C15</f>
        <v>1560765.828</v>
      </c>
      <c r="O14" s="58"/>
    </row>
    <row r="15" spans="1:15" x14ac:dyDescent="0.3">
      <c r="A15" s="58"/>
      <c r="B15" s="58"/>
      <c r="C15" s="58"/>
      <c r="D15" s="58"/>
      <c r="E15" s="58"/>
      <c r="F15" s="58"/>
      <c r="G15" s="58"/>
      <c r="H15" s="58"/>
      <c r="I15" s="58"/>
      <c r="J15" s="58"/>
      <c r="K15" s="58"/>
      <c r="L15" s="58" t="s">
        <v>59</v>
      </c>
      <c r="M15" s="61">
        <f>'Tabel 1.1'!B16</f>
        <v>291293</v>
      </c>
      <c r="N15" s="61">
        <f>'Tabel 1.1'!C16</f>
        <v>314987</v>
      </c>
      <c r="O15" s="58"/>
    </row>
    <row r="16" spans="1:15" x14ac:dyDescent="0.3">
      <c r="A16" s="58"/>
      <c r="B16" s="58"/>
      <c r="C16" s="58"/>
      <c r="D16" s="58"/>
      <c r="E16" s="58"/>
      <c r="F16" s="58"/>
      <c r="G16" s="58"/>
      <c r="H16" s="58"/>
      <c r="I16" s="58"/>
      <c r="J16" s="58"/>
      <c r="K16" s="58"/>
      <c r="L16" s="58" t="s">
        <v>60</v>
      </c>
      <c r="M16" s="61">
        <f>'Tabel 1.1'!B17</f>
        <v>224595.87164857</v>
      </c>
      <c r="N16" s="61">
        <f>'Tabel 1.1'!C17</f>
        <v>250285.496603765</v>
      </c>
      <c r="O16" s="58"/>
    </row>
    <row r="17" spans="1:15" x14ac:dyDescent="0.3">
      <c r="A17" s="58"/>
      <c r="B17" s="58"/>
      <c r="C17" s="58"/>
      <c r="D17" s="58"/>
      <c r="E17" s="58"/>
      <c r="F17" s="58"/>
      <c r="G17" s="58"/>
      <c r="H17" s="58"/>
      <c r="I17" s="58"/>
      <c r="J17" s="58"/>
      <c r="K17" s="58"/>
      <c r="L17" s="58" t="s">
        <v>61</v>
      </c>
      <c r="M17" s="61">
        <f>'Tabel 1.1'!B18</f>
        <v>7553784.4308399996</v>
      </c>
      <c r="N17" s="61">
        <f>'Tabel 1.1'!C18</f>
        <v>7819124.7919600001</v>
      </c>
      <c r="O17" s="58"/>
    </row>
    <row r="18" spans="1:15" x14ac:dyDescent="0.3">
      <c r="A18" s="58"/>
      <c r="B18" s="58"/>
      <c r="C18" s="58"/>
      <c r="D18" s="58"/>
      <c r="E18" s="58"/>
      <c r="F18" s="58"/>
      <c r="G18" s="58"/>
      <c r="H18" s="58"/>
      <c r="I18" s="58"/>
      <c r="J18" s="58"/>
      <c r="K18" s="58"/>
      <c r="L18" s="58" t="s">
        <v>62</v>
      </c>
      <c r="M18" s="61">
        <f>'Tabel 1.1'!B19</f>
        <v>193468.31199999998</v>
      </c>
      <c r="N18" s="61">
        <f>'Tabel 1.1'!C19</f>
        <v>212764.049</v>
      </c>
      <c r="O18" s="58"/>
    </row>
    <row r="19" spans="1:15" x14ac:dyDescent="0.3">
      <c r="A19" s="58"/>
      <c r="B19" s="58"/>
      <c r="C19" s="58"/>
      <c r="D19" s="58"/>
      <c r="E19" s="58"/>
      <c r="F19" s="58"/>
      <c r="G19" s="58"/>
      <c r="H19" s="58"/>
      <c r="I19" s="58"/>
      <c r="J19" s="58"/>
      <c r="K19" s="58"/>
      <c r="L19" s="58" t="s">
        <v>355</v>
      </c>
      <c r="M19" s="61">
        <f>'Tabel 1.1'!B20</f>
        <v>20027</v>
      </c>
      <c r="N19" s="61">
        <f>'Tabel 1.1'!C20</f>
        <v>22470</v>
      </c>
      <c r="O19" s="58"/>
    </row>
    <row r="20" spans="1:15" x14ac:dyDescent="0.3">
      <c r="A20" s="58"/>
      <c r="B20" s="58"/>
      <c r="C20" s="58"/>
      <c r="D20" s="58"/>
      <c r="E20" s="58"/>
      <c r="F20" s="58"/>
      <c r="G20" s="58"/>
      <c r="H20" s="58"/>
      <c r="I20" s="58"/>
      <c r="J20" s="58"/>
      <c r="K20" s="58"/>
      <c r="L20" s="58" t="s">
        <v>369</v>
      </c>
      <c r="M20" s="61">
        <f>'Tabel 1.1'!B21</f>
        <v>12079</v>
      </c>
      <c r="N20" s="61">
        <f>'Tabel 1.1'!C21</f>
        <v>14299.8</v>
      </c>
      <c r="O20" s="58"/>
    </row>
    <row r="21" spans="1:15" x14ac:dyDescent="0.3">
      <c r="A21" s="58"/>
      <c r="B21" s="58"/>
      <c r="C21" s="58"/>
      <c r="D21" s="58"/>
      <c r="E21" s="58"/>
      <c r="F21" s="58"/>
      <c r="G21" s="58"/>
      <c r="H21" s="58"/>
      <c r="I21" s="58"/>
      <c r="J21" s="58"/>
      <c r="K21" s="58"/>
      <c r="L21" s="58" t="s">
        <v>63</v>
      </c>
      <c r="M21" s="61">
        <f>'Tabel 1.1'!B22</f>
        <v>690329.4997849986</v>
      </c>
      <c r="N21" s="61">
        <f>'Tabel 1.1'!C22</f>
        <v>749011.92606698244</v>
      </c>
      <c r="O21" s="58"/>
    </row>
    <row r="22" spans="1:15" x14ac:dyDescent="0.3">
      <c r="A22" s="58"/>
      <c r="B22" s="58"/>
      <c r="C22" s="58"/>
      <c r="D22" s="58"/>
      <c r="E22" s="58"/>
      <c r="F22" s="58"/>
      <c r="G22" s="58"/>
      <c r="H22" s="58"/>
      <c r="I22" s="58"/>
      <c r="J22" s="58"/>
      <c r="K22" s="58"/>
      <c r="L22" s="58" t="s">
        <v>403</v>
      </c>
      <c r="M22" s="61">
        <f>'Tabel 1.1'!B23</f>
        <v>0</v>
      </c>
      <c r="N22" s="61">
        <f>'Tabel 1.1'!C23</f>
        <v>8485</v>
      </c>
      <c r="O22" s="58"/>
    </row>
    <row r="23" spans="1:15" x14ac:dyDescent="0.3">
      <c r="A23" s="58"/>
      <c r="B23" s="58"/>
      <c r="C23" s="58"/>
      <c r="D23" s="58"/>
      <c r="E23" s="58"/>
      <c r="F23" s="58"/>
      <c r="G23" s="58"/>
      <c r="H23" s="58"/>
      <c r="I23" s="58"/>
      <c r="J23" s="58"/>
      <c r="K23" s="58"/>
      <c r="L23" s="58" t="s">
        <v>64</v>
      </c>
      <c r="M23" s="61">
        <f>'Tabel 1.1'!B24</f>
        <v>1068666.4779999999</v>
      </c>
      <c r="N23" s="61">
        <f>'Tabel 1.1'!C24</f>
        <v>908134</v>
      </c>
      <c r="O23" s="58"/>
    </row>
    <row r="24" spans="1:15" x14ac:dyDescent="0.3">
      <c r="A24" s="58"/>
      <c r="B24" s="58"/>
      <c r="C24" s="58"/>
      <c r="D24" s="58"/>
      <c r="E24" s="58"/>
      <c r="F24" s="58"/>
      <c r="G24" s="58"/>
      <c r="H24" s="58"/>
      <c r="I24" s="58"/>
      <c r="J24" s="58"/>
      <c r="K24" s="58"/>
      <c r="L24" s="58" t="s">
        <v>350</v>
      </c>
      <c r="M24" s="61">
        <f>'Tabel 1.1'!B25</f>
        <v>255125.81038457406</v>
      </c>
      <c r="N24" s="61">
        <f>'Tabel 1.1'!C25</f>
        <v>268907</v>
      </c>
      <c r="O24" s="58"/>
    </row>
    <row r="25" spans="1:15" x14ac:dyDescent="0.3">
      <c r="A25" s="58"/>
      <c r="B25" s="58"/>
      <c r="C25" s="58"/>
      <c r="D25" s="58"/>
      <c r="E25" s="58"/>
      <c r="F25" s="58"/>
      <c r="G25" s="58"/>
      <c r="H25" s="58"/>
      <c r="I25" s="58"/>
      <c r="J25" s="58"/>
      <c r="K25" s="58"/>
      <c r="L25" s="58" t="s">
        <v>368</v>
      </c>
      <c r="M25" s="61">
        <f>'Tabel 1.1'!B26</f>
        <v>269626.87029000005</v>
      </c>
      <c r="N25" s="61">
        <f>'Tabel 1.1'!C26</f>
        <v>282541.22444999998</v>
      </c>
      <c r="O25" s="58"/>
    </row>
    <row r="26" spans="1:15" s="125" customFormat="1" x14ac:dyDescent="0.3">
      <c r="A26" s="58"/>
      <c r="B26" s="58"/>
      <c r="C26" s="58"/>
      <c r="D26" s="58"/>
      <c r="E26" s="58"/>
      <c r="F26" s="58"/>
      <c r="G26" s="58"/>
      <c r="H26" s="58"/>
      <c r="I26" s="58"/>
      <c r="J26" s="58"/>
      <c r="K26" s="58"/>
      <c r="L26" s="58" t="s">
        <v>379</v>
      </c>
      <c r="M26" s="61">
        <f>'Tabel 1.1'!B27</f>
        <v>2787293.2384699997</v>
      </c>
      <c r="N26" s="61">
        <f>'Tabel 1.1'!C27</f>
        <v>2546560.0348999999</v>
      </c>
      <c r="O26" s="58"/>
    </row>
    <row r="27" spans="1:15" x14ac:dyDescent="0.3">
      <c r="A27" s="58"/>
      <c r="B27" s="58"/>
      <c r="C27" s="58"/>
      <c r="D27" s="58"/>
      <c r="E27" s="58"/>
      <c r="F27" s="58"/>
      <c r="G27" s="58"/>
      <c r="H27" s="58"/>
      <c r="I27" s="58"/>
      <c r="J27" s="58"/>
      <c r="K27" s="58"/>
      <c r="L27" s="58" t="s">
        <v>66</v>
      </c>
      <c r="M27" s="61">
        <f>'Tabel 1.1'!B28</f>
        <v>1972</v>
      </c>
      <c r="N27" s="61">
        <f>'Tabel 1.1'!C28</f>
        <v>2386</v>
      </c>
      <c r="O27" s="58"/>
    </row>
    <row r="28" spans="1:15" x14ac:dyDescent="0.3">
      <c r="A28" s="58"/>
      <c r="B28" s="58"/>
      <c r="C28" s="58"/>
      <c r="D28" s="58"/>
      <c r="E28" s="58"/>
      <c r="F28" s="58"/>
      <c r="G28" s="58"/>
      <c r="H28" s="58"/>
      <c r="I28" s="58"/>
      <c r="J28" s="58"/>
      <c r="K28" s="58"/>
      <c r="L28" s="58" t="s">
        <v>67</v>
      </c>
      <c r="M28" s="61">
        <f>'Tabel 1.1'!B29</f>
        <v>685373.375</v>
      </c>
      <c r="N28" s="61">
        <f>'Tabel 1.1'!C29</f>
        <v>751536</v>
      </c>
    </row>
    <row r="29" spans="1:15" x14ac:dyDescent="0.3">
      <c r="A29" s="58"/>
      <c r="B29" s="58"/>
      <c r="C29" s="58"/>
      <c r="D29" s="58"/>
      <c r="E29" s="58"/>
      <c r="F29" s="58"/>
      <c r="G29" s="58"/>
      <c r="H29" s="58"/>
      <c r="I29" s="58"/>
      <c r="J29" s="58"/>
      <c r="K29" s="58"/>
      <c r="L29" s="58" t="s">
        <v>361</v>
      </c>
      <c r="M29" s="61">
        <f>'Tabel 1.1'!B30</f>
        <v>2003</v>
      </c>
      <c r="N29" s="61">
        <f>'Tabel 1.1'!C30</f>
        <v>1726</v>
      </c>
    </row>
    <row r="30" spans="1:15" x14ac:dyDescent="0.3">
      <c r="A30" s="58"/>
      <c r="B30" s="58"/>
      <c r="C30" s="58"/>
      <c r="D30" s="58"/>
      <c r="E30" s="58"/>
      <c r="F30" s="58"/>
      <c r="G30" s="58"/>
      <c r="H30" s="58"/>
      <c r="I30" s="58"/>
      <c r="J30" s="58"/>
      <c r="K30" s="58"/>
      <c r="L30" s="58" t="s">
        <v>372</v>
      </c>
      <c r="M30" s="61">
        <f>'Tabel 1.1'!B31</f>
        <v>1558</v>
      </c>
      <c r="N30" s="61">
        <f>'Tabel 1.1'!C31</f>
        <v>16428</v>
      </c>
    </row>
    <row r="31" spans="1:15" x14ac:dyDescent="0.3">
      <c r="A31" s="59" t="s">
        <v>405</v>
      </c>
      <c r="B31" s="58"/>
      <c r="C31" s="58"/>
      <c r="D31" s="58"/>
      <c r="E31" s="58"/>
      <c r="F31" s="58"/>
      <c r="G31" s="58"/>
      <c r="H31" s="58"/>
      <c r="I31" s="63"/>
      <c r="J31" s="58"/>
      <c r="K31" s="58"/>
    </row>
    <row r="32" spans="1:15" x14ac:dyDescent="0.3">
      <c r="B32" s="58"/>
      <c r="C32" s="58"/>
      <c r="D32" s="58"/>
      <c r="E32" s="58"/>
      <c r="F32" s="58"/>
      <c r="G32" s="58"/>
      <c r="H32" s="58"/>
      <c r="I32" s="58"/>
      <c r="J32" s="58"/>
      <c r="K32" s="58"/>
      <c r="L32" s="58" t="s">
        <v>53</v>
      </c>
    </row>
    <row r="33" spans="1:15" x14ac:dyDescent="0.3">
      <c r="B33" s="58"/>
      <c r="C33" s="58"/>
      <c r="D33" s="58"/>
      <c r="E33" s="58"/>
      <c r="F33" s="58"/>
      <c r="G33" s="58"/>
      <c r="H33" s="58"/>
      <c r="I33" s="58"/>
      <c r="J33" s="58"/>
      <c r="K33" s="58"/>
      <c r="L33" s="58" t="s">
        <v>1</v>
      </c>
    </row>
    <row r="34" spans="1:15" x14ac:dyDescent="0.3">
      <c r="A34" s="58"/>
      <c r="B34" s="58"/>
      <c r="C34" s="58"/>
      <c r="D34" s="58"/>
      <c r="E34" s="58"/>
      <c r="F34" s="58"/>
      <c r="G34" s="58"/>
      <c r="H34" s="58"/>
      <c r="I34" s="58"/>
      <c r="J34" s="58"/>
      <c r="K34" s="58"/>
      <c r="M34" s="58">
        <f>M7</f>
        <v>2023</v>
      </c>
      <c r="N34" s="58">
        <f>N7</f>
        <v>2024</v>
      </c>
    </row>
    <row r="35" spans="1:15" x14ac:dyDescent="0.3">
      <c r="A35" s="58"/>
      <c r="B35" s="58"/>
      <c r="C35" s="58"/>
      <c r="D35" s="58"/>
      <c r="E35" s="58"/>
      <c r="F35" s="58"/>
      <c r="G35" s="58"/>
      <c r="H35" s="58"/>
      <c r="I35" s="58"/>
      <c r="J35" s="58"/>
      <c r="K35" s="58"/>
      <c r="L35" s="58" t="s">
        <v>54</v>
      </c>
      <c r="M35" s="62">
        <f>'Tabel 1.1'!B35</f>
        <v>3430435.716</v>
      </c>
      <c r="N35" s="62">
        <f>'Tabel 1.1'!C35</f>
        <v>3528916.9929999998</v>
      </c>
    </row>
    <row r="36" spans="1:15" x14ac:dyDescent="0.3">
      <c r="A36" s="58"/>
      <c r="B36" s="58"/>
      <c r="C36" s="58"/>
      <c r="D36" s="58"/>
      <c r="E36" s="58"/>
      <c r="F36" s="58"/>
      <c r="G36" s="58"/>
      <c r="H36" s="58"/>
      <c r="I36" s="58"/>
      <c r="J36" s="58"/>
      <c r="K36" s="58"/>
      <c r="L36" s="63" t="s">
        <v>59</v>
      </c>
      <c r="M36" s="62">
        <f>'Tabel 1.1'!B36</f>
        <v>1416253</v>
      </c>
      <c r="N36" s="62">
        <f>'Tabel 1.1'!C36</f>
        <v>1641372</v>
      </c>
    </row>
    <row r="37" spans="1:15" x14ac:dyDescent="0.3">
      <c r="A37" s="58"/>
      <c r="B37" s="58"/>
      <c r="C37" s="58"/>
      <c r="D37" s="58"/>
      <c r="E37" s="58"/>
      <c r="F37" s="58"/>
      <c r="G37" s="58"/>
      <c r="H37" s="58"/>
      <c r="I37" s="58"/>
      <c r="J37" s="58"/>
      <c r="K37" s="58"/>
      <c r="L37" s="58" t="s">
        <v>61</v>
      </c>
      <c r="M37" s="62">
        <f>'Tabel 1.1'!B37</f>
        <v>18550.222000000002</v>
      </c>
      <c r="N37" s="62">
        <f>'Tabel 1.1'!C37</f>
        <v>22688.987000000001</v>
      </c>
    </row>
    <row r="38" spans="1:15" x14ac:dyDescent="0.3">
      <c r="A38" s="58"/>
      <c r="B38" s="58"/>
      <c r="C38" s="58"/>
      <c r="D38" s="58"/>
      <c r="E38" s="58"/>
      <c r="F38" s="58"/>
      <c r="G38" s="58"/>
      <c r="H38" s="58"/>
      <c r="I38" s="58"/>
      <c r="J38" s="58"/>
      <c r="K38" s="58"/>
      <c r="L38" s="63" t="s">
        <v>63</v>
      </c>
      <c r="M38" s="62">
        <f>'Tabel 1.1'!B38</f>
        <v>4065856.8543600002</v>
      </c>
      <c r="N38" s="62">
        <f>'Tabel 1.1'!C38</f>
        <v>5311313.3681499995</v>
      </c>
    </row>
    <row r="39" spans="1:15" x14ac:dyDescent="0.3">
      <c r="A39" s="58"/>
      <c r="B39" s="58"/>
      <c r="C39" s="58"/>
      <c r="D39" s="58"/>
      <c r="E39" s="58"/>
      <c r="F39" s="58"/>
      <c r="G39" s="58"/>
      <c r="H39" s="58"/>
      <c r="I39" s="58"/>
      <c r="J39" s="58"/>
      <c r="K39" s="58"/>
      <c r="L39" s="58" t="s">
        <v>368</v>
      </c>
      <c r="M39" s="62">
        <f>'Tabel 1.1'!B39</f>
        <v>1726963.1864399998</v>
      </c>
      <c r="N39" s="62">
        <f>'Tabel 1.1'!C39</f>
        <v>1839822.98065</v>
      </c>
    </row>
    <row r="40" spans="1:15" x14ac:dyDescent="0.3">
      <c r="A40" s="58"/>
      <c r="B40" s="58"/>
      <c r="C40" s="58"/>
      <c r="D40" s="58"/>
      <c r="E40" s="58"/>
      <c r="F40" s="58"/>
      <c r="G40" s="58"/>
      <c r="H40" s="58"/>
      <c r="I40" s="58"/>
      <c r="J40" s="58"/>
      <c r="K40" s="58"/>
      <c r="L40" s="58" t="s">
        <v>379</v>
      </c>
      <c r="M40" s="62">
        <f>'Tabel 1.1'!B40</f>
        <v>4395415.7059800001</v>
      </c>
      <c r="N40" s="62">
        <f>'Tabel 1.1'!C40</f>
        <v>4520753.1736900005</v>
      </c>
    </row>
    <row r="41" spans="1:15" x14ac:dyDescent="0.3">
      <c r="A41" s="58"/>
      <c r="B41" s="58"/>
      <c r="C41" s="58"/>
      <c r="D41" s="58"/>
      <c r="E41" s="58"/>
      <c r="F41" s="58"/>
      <c r="G41" s="58"/>
      <c r="H41" s="58"/>
      <c r="I41" s="58"/>
      <c r="J41" s="58"/>
      <c r="K41" s="58"/>
      <c r="O41" s="58"/>
    </row>
    <row r="42" spans="1:15" x14ac:dyDescent="0.3">
      <c r="A42" s="58"/>
      <c r="B42" s="58"/>
      <c r="C42" s="58"/>
      <c r="D42" s="58"/>
      <c r="E42" s="58"/>
      <c r="F42" s="58"/>
      <c r="G42" s="58"/>
      <c r="H42" s="58"/>
      <c r="I42" s="58"/>
      <c r="J42" s="58"/>
      <c r="K42" s="58"/>
      <c r="L42" s="63"/>
      <c r="M42" s="62"/>
      <c r="N42" s="62"/>
      <c r="O42" s="58"/>
    </row>
    <row r="43" spans="1:15" x14ac:dyDescent="0.3">
      <c r="A43" s="58"/>
      <c r="B43" s="58"/>
      <c r="C43" s="58"/>
      <c r="D43" s="58"/>
      <c r="E43" s="58"/>
      <c r="F43" s="58"/>
      <c r="G43" s="58"/>
      <c r="H43" s="58"/>
      <c r="I43" s="58"/>
      <c r="J43" s="58"/>
      <c r="K43" s="58"/>
      <c r="M43" s="61"/>
      <c r="N43" s="61"/>
      <c r="O43" s="58"/>
    </row>
    <row r="44" spans="1:15" x14ac:dyDescent="0.3">
      <c r="A44" s="58"/>
      <c r="B44" s="58"/>
      <c r="C44" s="58"/>
      <c r="D44" s="58"/>
      <c r="E44" s="58"/>
      <c r="F44" s="58"/>
      <c r="G44" s="58"/>
      <c r="H44" s="58"/>
      <c r="I44" s="58"/>
      <c r="J44" s="58"/>
      <c r="K44" s="58"/>
      <c r="M44" s="61"/>
      <c r="N44" s="61"/>
      <c r="O44" s="58"/>
    </row>
    <row r="45" spans="1:15" x14ac:dyDescent="0.3">
      <c r="A45" s="58"/>
      <c r="B45" s="58"/>
      <c r="C45" s="58"/>
      <c r="D45" s="58"/>
      <c r="E45" s="58"/>
      <c r="F45" s="58"/>
      <c r="G45" s="58"/>
      <c r="H45" s="58"/>
      <c r="I45" s="58"/>
      <c r="J45" s="58"/>
      <c r="K45" s="58"/>
      <c r="M45" s="61"/>
      <c r="N45" s="61"/>
      <c r="O45" s="58"/>
    </row>
    <row r="46" spans="1:15" x14ac:dyDescent="0.3">
      <c r="A46" s="58"/>
      <c r="B46" s="58"/>
      <c r="C46" s="58"/>
      <c r="D46" s="58"/>
      <c r="E46" s="58"/>
      <c r="F46" s="58"/>
      <c r="G46" s="58"/>
      <c r="H46" s="58"/>
      <c r="I46" s="58"/>
      <c r="J46" s="58"/>
      <c r="K46" s="58"/>
      <c r="M46" s="61"/>
      <c r="N46" s="61"/>
      <c r="O46" s="58"/>
    </row>
    <row r="47" spans="1:15" x14ac:dyDescent="0.3">
      <c r="A47" s="58"/>
      <c r="B47" s="58"/>
      <c r="C47" s="58"/>
      <c r="D47" s="58"/>
      <c r="E47" s="58"/>
      <c r="F47" s="58"/>
      <c r="G47" s="58"/>
      <c r="H47" s="58"/>
      <c r="I47" s="58"/>
      <c r="J47" s="58"/>
      <c r="K47" s="58"/>
      <c r="O47" s="58"/>
    </row>
    <row r="48" spans="1:15" x14ac:dyDescent="0.3">
      <c r="A48" s="58"/>
      <c r="B48" s="58"/>
      <c r="C48" s="58"/>
      <c r="D48" s="58"/>
      <c r="E48" s="58"/>
      <c r="F48" s="58"/>
      <c r="G48" s="58"/>
      <c r="H48" s="58"/>
      <c r="I48" s="58"/>
      <c r="J48" s="58"/>
      <c r="K48" s="58"/>
      <c r="O48" s="58"/>
    </row>
    <row r="49" spans="1:15" x14ac:dyDescent="0.3">
      <c r="A49" s="58"/>
      <c r="B49" s="58"/>
      <c r="C49" s="58"/>
      <c r="D49" s="58"/>
      <c r="E49" s="58"/>
      <c r="F49" s="58"/>
      <c r="G49" s="58"/>
      <c r="H49" s="58"/>
      <c r="I49" s="58"/>
      <c r="J49" s="58"/>
      <c r="K49" s="58"/>
      <c r="O49" s="58"/>
    </row>
    <row r="50" spans="1:15" x14ac:dyDescent="0.3">
      <c r="A50" s="58"/>
      <c r="B50" s="58"/>
      <c r="C50" s="58"/>
      <c r="D50" s="58"/>
      <c r="E50" s="58"/>
      <c r="F50" s="58"/>
      <c r="G50" s="58"/>
      <c r="H50" s="58"/>
      <c r="I50" s="58"/>
      <c r="J50" s="58"/>
      <c r="K50" s="58"/>
      <c r="L50" s="58" t="s">
        <v>69</v>
      </c>
      <c r="O50" s="58"/>
    </row>
    <row r="51" spans="1:15" x14ac:dyDescent="0.3">
      <c r="A51" s="58"/>
      <c r="B51" s="58"/>
      <c r="C51" s="58"/>
      <c r="D51" s="58"/>
      <c r="E51" s="58"/>
      <c r="F51" s="58"/>
      <c r="G51" s="58"/>
      <c r="H51" s="58"/>
      <c r="I51" s="58"/>
      <c r="J51" s="58"/>
      <c r="K51" s="58"/>
      <c r="L51" s="58" t="s">
        <v>0</v>
      </c>
      <c r="O51" s="58"/>
    </row>
    <row r="52" spans="1:15" x14ac:dyDescent="0.3">
      <c r="A52" s="58"/>
      <c r="B52" s="58"/>
      <c r="C52" s="58"/>
      <c r="D52" s="58"/>
      <c r="E52" s="58"/>
      <c r="F52" s="58"/>
      <c r="G52" s="58"/>
      <c r="H52" s="58"/>
      <c r="I52" s="58"/>
      <c r="J52" s="58"/>
      <c r="K52" s="58"/>
      <c r="M52" s="58">
        <f>M7</f>
        <v>2023</v>
      </c>
      <c r="N52" s="58">
        <f>N7</f>
        <v>2024</v>
      </c>
      <c r="O52" s="58"/>
    </row>
    <row r="53" spans="1:15" x14ac:dyDescent="0.3">
      <c r="A53" s="58"/>
      <c r="B53" s="58"/>
      <c r="C53" s="58"/>
      <c r="D53" s="58"/>
      <c r="E53" s="58"/>
      <c r="F53" s="58"/>
      <c r="G53" s="58"/>
      <c r="H53" s="58"/>
      <c r="I53" s="58"/>
      <c r="J53" s="58"/>
      <c r="K53" s="58"/>
      <c r="L53" s="58" t="s">
        <v>54</v>
      </c>
      <c r="M53" s="61">
        <f>'Tabel 1.1'!G9</f>
        <v>185707519.94522351</v>
      </c>
      <c r="N53" s="61">
        <f>'Tabel 1.1'!H9</f>
        <v>182678854</v>
      </c>
      <c r="O53" s="58"/>
    </row>
    <row r="54" spans="1:15" x14ac:dyDescent="0.3">
      <c r="A54" s="58"/>
      <c r="B54" s="58"/>
      <c r="C54" s="58"/>
      <c r="D54" s="58"/>
      <c r="E54" s="58"/>
      <c r="F54" s="58"/>
      <c r="G54" s="58"/>
      <c r="H54" s="58"/>
      <c r="I54" s="58"/>
      <c r="J54" s="58"/>
      <c r="K54" s="58"/>
      <c r="L54" s="58" t="s">
        <v>55</v>
      </c>
      <c r="M54" s="61">
        <f>'Tabel 1.1'!G10</f>
        <v>0</v>
      </c>
      <c r="N54" s="61">
        <f>'Tabel 1.1'!H10</f>
        <v>0</v>
      </c>
      <c r="O54" s="58"/>
    </row>
    <row r="55" spans="1:15" x14ac:dyDescent="0.3">
      <c r="A55" s="58"/>
      <c r="B55" s="58"/>
      <c r="C55" s="58"/>
      <c r="D55" s="58"/>
      <c r="E55" s="58"/>
      <c r="F55" s="58"/>
      <c r="G55" s="58"/>
      <c r="H55" s="58"/>
      <c r="I55" s="58"/>
      <c r="J55" s="58"/>
      <c r="K55" s="58"/>
      <c r="L55" s="58" t="s">
        <v>365</v>
      </c>
      <c r="M55" s="61">
        <f>'Tabel 1.1'!G11</f>
        <v>0</v>
      </c>
      <c r="N55" s="61">
        <f>'Tabel 1.1'!H11</f>
        <v>0</v>
      </c>
      <c r="O55" s="58"/>
    </row>
    <row r="56" spans="1:15" x14ac:dyDescent="0.3">
      <c r="A56" s="59" t="s">
        <v>406</v>
      </c>
      <c r="B56" s="58"/>
      <c r="C56" s="58"/>
      <c r="D56" s="58"/>
      <c r="E56" s="58"/>
      <c r="F56" s="58"/>
      <c r="G56" s="58"/>
      <c r="H56" s="58"/>
      <c r="I56" s="63"/>
      <c r="J56" s="58"/>
      <c r="K56" s="58"/>
      <c r="L56" s="58" t="s">
        <v>354</v>
      </c>
      <c r="M56" s="61">
        <f>'Tabel 1.1'!G12</f>
        <v>4951045.9075499997</v>
      </c>
      <c r="N56" s="61">
        <f>'Tabel 1.1'!H12</f>
        <v>5524479.2054099999</v>
      </c>
      <c r="O56" s="58"/>
    </row>
    <row r="57" spans="1:15" x14ac:dyDescent="0.3">
      <c r="A57" s="58"/>
      <c r="B57" s="58"/>
      <c r="C57" s="58"/>
      <c r="D57" s="58"/>
      <c r="E57" s="58"/>
      <c r="F57" s="58"/>
      <c r="G57" s="58"/>
      <c r="H57" s="58"/>
      <c r="I57" s="58"/>
      <c r="J57" s="58"/>
      <c r="K57" s="58"/>
      <c r="L57" s="58" t="s">
        <v>56</v>
      </c>
      <c r="M57" s="61">
        <f>'Tabel 1.1'!G13</f>
        <v>1734604</v>
      </c>
      <c r="N57" s="61">
        <f>'Tabel 1.1'!H13</f>
        <v>2088315</v>
      </c>
      <c r="O57" s="58"/>
    </row>
    <row r="58" spans="1:15" x14ac:dyDescent="0.3">
      <c r="A58" s="58"/>
      <c r="B58" s="58"/>
      <c r="C58" s="58"/>
      <c r="D58" s="58"/>
      <c r="E58" s="58"/>
      <c r="F58" s="58"/>
      <c r="G58" s="58"/>
      <c r="H58" s="58"/>
      <c r="I58" s="58"/>
      <c r="J58" s="58"/>
      <c r="K58" s="58"/>
      <c r="L58" s="58" t="s">
        <v>58</v>
      </c>
      <c r="M58" s="61">
        <f>'Tabel 1.1'!G14</f>
        <v>0</v>
      </c>
      <c r="N58" s="61">
        <f>'Tabel 1.1'!H14</f>
        <v>0</v>
      </c>
      <c r="O58" s="58"/>
    </row>
    <row r="59" spans="1:15" x14ac:dyDescent="0.3">
      <c r="A59" s="58"/>
      <c r="B59" s="58"/>
      <c r="C59" s="58"/>
      <c r="D59" s="58"/>
      <c r="E59" s="58"/>
      <c r="F59" s="58"/>
      <c r="G59" s="58"/>
      <c r="H59" s="58"/>
      <c r="I59" s="58"/>
      <c r="J59" s="58"/>
      <c r="K59" s="58"/>
      <c r="L59" s="58" t="s">
        <v>59</v>
      </c>
      <c r="M59" s="61">
        <f>'Tabel 1.1'!G16</f>
        <v>9094615</v>
      </c>
      <c r="N59" s="61">
        <f>'Tabel 1.1'!H16</f>
        <v>10139234</v>
      </c>
      <c r="O59" s="58"/>
    </row>
    <row r="60" spans="1:15" x14ac:dyDescent="0.3">
      <c r="A60" s="58"/>
      <c r="B60" s="58"/>
      <c r="C60" s="58"/>
      <c r="D60" s="58"/>
      <c r="E60" s="58"/>
      <c r="F60" s="58"/>
      <c r="G60" s="58"/>
      <c r="H60" s="58"/>
      <c r="I60" s="58"/>
      <c r="J60" s="58"/>
      <c r="K60" s="58"/>
      <c r="L60" s="58" t="s">
        <v>60</v>
      </c>
      <c r="M60" s="61">
        <f>'Tabel 1.1'!G17</f>
        <v>0</v>
      </c>
      <c r="N60" s="61">
        <f>'Tabel 1.1'!H17</f>
        <v>0</v>
      </c>
      <c r="O60" s="58"/>
    </row>
    <row r="61" spans="1:15" x14ac:dyDescent="0.3">
      <c r="A61" s="58"/>
      <c r="B61" s="58"/>
      <c r="C61" s="58"/>
      <c r="D61" s="58"/>
      <c r="E61" s="58"/>
      <c r="F61" s="58"/>
      <c r="G61" s="58"/>
      <c r="H61" s="58"/>
      <c r="I61" s="58"/>
      <c r="J61" s="58"/>
      <c r="K61" s="58"/>
      <c r="L61" s="58" t="s">
        <v>61</v>
      </c>
      <c r="M61" s="61">
        <f>'Tabel 1.1'!G18</f>
        <v>665564510.55555999</v>
      </c>
      <c r="N61" s="61">
        <f>'Tabel 1.1'!H18</f>
        <v>742435451.03683996</v>
      </c>
      <c r="O61" s="58"/>
    </row>
    <row r="62" spans="1:15" x14ac:dyDescent="0.3">
      <c r="A62" s="58"/>
      <c r="B62" s="58"/>
      <c r="C62" s="58"/>
      <c r="D62" s="58"/>
      <c r="E62" s="58"/>
      <c r="F62" s="58"/>
      <c r="G62" s="58"/>
      <c r="H62" s="58"/>
      <c r="I62" s="58"/>
      <c r="J62" s="58"/>
      <c r="K62" s="58"/>
      <c r="L62" s="58" t="s">
        <v>62</v>
      </c>
      <c r="M62" s="61">
        <f>'Tabel 1.1'!G19</f>
        <v>114338.397</v>
      </c>
      <c r="N62" s="61">
        <f>'Tabel 1.1'!H19</f>
        <v>148316.739</v>
      </c>
      <c r="O62" s="58"/>
    </row>
    <row r="63" spans="1:15" x14ac:dyDescent="0.3">
      <c r="A63" s="58"/>
      <c r="B63" s="58"/>
      <c r="C63" s="58"/>
      <c r="D63" s="58"/>
      <c r="E63" s="58"/>
      <c r="F63" s="58"/>
      <c r="G63" s="58"/>
      <c r="H63" s="58"/>
      <c r="I63" s="58"/>
      <c r="J63" s="58"/>
      <c r="K63" s="58"/>
      <c r="L63" s="58" t="s">
        <v>364</v>
      </c>
      <c r="M63" s="61">
        <f>'Tabel 1.1'!G20</f>
        <v>0</v>
      </c>
      <c r="N63" s="61">
        <f>'Tabel 1.1'!H20</f>
        <v>0</v>
      </c>
      <c r="O63" s="58"/>
    </row>
    <row r="64" spans="1:15" x14ac:dyDescent="0.3">
      <c r="A64" s="58"/>
      <c r="B64" s="58"/>
      <c r="C64" s="58"/>
      <c r="D64" s="58"/>
      <c r="E64" s="58"/>
      <c r="F64" s="58"/>
      <c r="G64" s="58"/>
      <c r="H64" s="58"/>
      <c r="I64" s="58"/>
      <c r="J64" s="58"/>
      <c r="K64" s="58"/>
      <c r="L64" s="58" t="s">
        <v>369</v>
      </c>
      <c r="M64" s="61">
        <f>'Tabel 1.1'!G21</f>
        <v>0</v>
      </c>
      <c r="N64" s="61">
        <f>'Tabel 1.1'!H21</f>
        <v>0</v>
      </c>
      <c r="O64" s="58"/>
    </row>
    <row r="65" spans="1:15" x14ac:dyDescent="0.3">
      <c r="A65" s="58"/>
      <c r="B65" s="58"/>
      <c r="C65" s="58"/>
      <c r="D65" s="58"/>
      <c r="E65" s="58"/>
      <c r="F65" s="58"/>
      <c r="G65" s="58"/>
      <c r="H65" s="58"/>
      <c r="I65" s="58"/>
      <c r="J65" s="58"/>
      <c r="K65" s="58"/>
      <c r="L65" s="58" t="s">
        <v>63</v>
      </c>
      <c r="M65" s="61">
        <f>'Tabel 1.1'!G22</f>
        <v>54987610.000009887</v>
      </c>
      <c r="N65" s="61">
        <f>'Tabel 1.1'!H22</f>
        <v>54599980.000004023</v>
      </c>
      <c r="O65" s="58"/>
    </row>
    <row r="66" spans="1:15" x14ac:dyDescent="0.3">
      <c r="A66" s="58"/>
      <c r="B66" s="58"/>
      <c r="C66" s="58"/>
      <c r="D66" s="58"/>
      <c r="E66" s="58"/>
      <c r="F66" s="58"/>
      <c r="G66" s="58"/>
      <c r="H66" s="58"/>
      <c r="I66" s="58"/>
      <c r="J66" s="58"/>
      <c r="K66" s="58"/>
      <c r="L66" s="58" t="s">
        <v>403</v>
      </c>
      <c r="M66" s="61">
        <f>'Tabel 1.1'!G23</f>
        <v>0</v>
      </c>
      <c r="N66" s="61">
        <f>'Tabel 1.1'!H23</f>
        <v>0</v>
      </c>
      <c r="O66" s="58"/>
    </row>
    <row r="67" spans="1:15" x14ac:dyDescent="0.3">
      <c r="A67" s="58"/>
      <c r="B67" s="58"/>
      <c r="C67" s="58"/>
      <c r="D67" s="58"/>
      <c r="E67" s="58"/>
      <c r="F67" s="58"/>
      <c r="G67" s="58"/>
      <c r="H67" s="58"/>
      <c r="I67" s="58"/>
      <c r="J67" s="58"/>
      <c r="K67" s="58"/>
      <c r="L67" s="58" t="s">
        <v>64</v>
      </c>
      <c r="M67" s="61">
        <f>'Tabel 1.1'!G24</f>
        <v>88090907</v>
      </c>
      <c r="N67" s="61">
        <f>'Tabel 1.1'!H24</f>
        <v>94317675</v>
      </c>
      <c r="O67" s="58"/>
    </row>
    <row r="68" spans="1:15" x14ac:dyDescent="0.3">
      <c r="A68" s="58"/>
      <c r="B68" s="58"/>
      <c r="C68" s="58"/>
      <c r="D68" s="58"/>
      <c r="E68" s="58"/>
      <c r="F68" s="58"/>
      <c r="G68" s="58"/>
      <c r="H68" s="58"/>
      <c r="I68" s="58"/>
      <c r="J68" s="58"/>
      <c r="K68" s="58"/>
      <c r="L68" s="58" t="s">
        <v>368</v>
      </c>
      <c r="M68" s="61">
        <f>'Tabel 1.1'!G26</f>
        <v>19424412.876610003</v>
      </c>
      <c r="N68" s="61">
        <f>'Tabel 1.1'!H26</f>
        <v>21904980.821390003</v>
      </c>
      <c r="O68" s="58"/>
    </row>
    <row r="69" spans="1:15" x14ac:dyDescent="0.3">
      <c r="A69" s="58"/>
      <c r="B69" s="58"/>
      <c r="C69" s="58"/>
      <c r="D69" s="58"/>
      <c r="E69" s="58"/>
      <c r="F69" s="58"/>
      <c r="G69" s="58"/>
      <c r="H69" s="58"/>
      <c r="I69" s="58"/>
      <c r="J69" s="58"/>
      <c r="K69" s="58"/>
      <c r="L69" s="58" t="s">
        <v>379</v>
      </c>
      <c r="M69" s="61">
        <f>'Tabel 1.1'!G27</f>
        <v>201474818.16530001</v>
      </c>
      <c r="N69" s="61">
        <f>'Tabel 1.1'!H27</f>
        <v>208594525.58670002</v>
      </c>
      <c r="O69" s="58"/>
    </row>
    <row r="70" spans="1:15" x14ac:dyDescent="0.3">
      <c r="A70" s="58"/>
      <c r="B70" s="58"/>
      <c r="C70" s="58"/>
      <c r="D70" s="58"/>
      <c r="E70" s="58"/>
      <c r="F70" s="58"/>
      <c r="G70" s="58"/>
      <c r="H70" s="58"/>
      <c r="I70" s="58"/>
      <c r="J70" s="58"/>
      <c r="K70" s="58"/>
      <c r="L70" s="58" t="s">
        <v>90</v>
      </c>
      <c r="M70" s="61">
        <f>'Tabel 1.1'!G28</f>
        <v>0</v>
      </c>
      <c r="N70" s="61">
        <f>'Tabel 1.1'!H28</f>
        <v>0</v>
      </c>
      <c r="O70" s="58"/>
    </row>
    <row r="71" spans="1:15" x14ac:dyDescent="0.3">
      <c r="A71" s="58"/>
      <c r="B71" s="58"/>
      <c r="C71" s="58"/>
      <c r="D71" s="58"/>
      <c r="E71" s="58"/>
      <c r="F71" s="58"/>
      <c r="G71" s="58"/>
      <c r="H71" s="58"/>
      <c r="I71" s="58"/>
      <c r="J71" s="58"/>
      <c r="K71" s="58"/>
      <c r="L71" s="58" t="s">
        <v>91</v>
      </c>
      <c r="M71" s="61">
        <f>'Tabel 1.1'!G29</f>
        <v>0</v>
      </c>
      <c r="N71" s="61">
        <f>'Tabel 1.1'!H29</f>
        <v>0</v>
      </c>
      <c r="O71" s="58"/>
    </row>
    <row r="72" spans="1:15" x14ac:dyDescent="0.3">
      <c r="A72" s="58"/>
      <c r="B72" s="58"/>
      <c r="C72" s="58"/>
      <c r="D72" s="58"/>
      <c r="E72" s="58"/>
      <c r="F72" s="58"/>
      <c r="G72" s="58"/>
      <c r="H72" s="58"/>
      <c r="I72" s="58"/>
      <c r="J72" s="58"/>
      <c r="K72" s="58"/>
      <c r="L72" s="58" t="s">
        <v>362</v>
      </c>
      <c r="M72" s="61">
        <f>'Tabel 1.1'!G30</f>
        <v>0</v>
      </c>
      <c r="N72" s="61">
        <f>'Tabel 1.1'!H30</f>
        <v>0</v>
      </c>
      <c r="O72" s="58"/>
    </row>
    <row r="73" spans="1:15" x14ac:dyDescent="0.3">
      <c r="A73" s="58"/>
      <c r="B73" s="58"/>
      <c r="C73" s="58"/>
      <c r="D73" s="58"/>
      <c r="E73" s="58"/>
      <c r="F73" s="58"/>
      <c r="G73" s="58"/>
      <c r="H73" s="58"/>
      <c r="I73" s="58"/>
      <c r="J73" s="58"/>
      <c r="K73" s="58"/>
      <c r="L73" s="58" t="s">
        <v>372</v>
      </c>
      <c r="M73" s="61">
        <f>'Tabel 1.1'!G31</f>
        <v>7107</v>
      </c>
      <c r="N73" s="61">
        <f>'Tabel 1.1'!H31</f>
        <v>34208</v>
      </c>
      <c r="O73" s="58"/>
    </row>
    <row r="74" spans="1:15" x14ac:dyDescent="0.3">
      <c r="A74" s="58"/>
      <c r="B74" s="58"/>
      <c r="C74" s="58"/>
      <c r="D74" s="58"/>
      <c r="E74" s="58"/>
      <c r="F74" s="58"/>
      <c r="G74" s="58"/>
      <c r="H74" s="58"/>
      <c r="I74" s="58"/>
      <c r="J74" s="58"/>
      <c r="K74" s="58"/>
      <c r="O74" s="58"/>
    </row>
    <row r="75" spans="1:15" x14ac:dyDescent="0.3">
      <c r="A75" s="58"/>
      <c r="B75" s="58"/>
      <c r="C75" s="58"/>
      <c r="D75" s="58"/>
      <c r="E75" s="58"/>
      <c r="F75" s="58"/>
      <c r="G75" s="58"/>
      <c r="H75" s="58"/>
      <c r="I75" s="58"/>
      <c r="J75" s="58"/>
      <c r="K75" s="58"/>
      <c r="L75" s="58" t="s">
        <v>69</v>
      </c>
      <c r="O75" s="58"/>
    </row>
    <row r="76" spans="1:15" x14ac:dyDescent="0.3">
      <c r="A76" s="58"/>
      <c r="B76" s="58"/>
      <c r="C76" s="58"/>
      <c r="D76" s="58"/>
      <c r="E76" s="58"/>
      <c r="F76" s="58"/>
      <c r="G76" s="58"/>
      <c r="H76" s="58"/>
      <c r="I76" s="58"/>
      <c r="J76" s="58"/>
      <c r="K76" s="58"/>
      <c r="L76" s="58" t="s">
        <v>1</v>
      </c>
      <c r="O76" s="58"/>
    </row>
    <row r="77" spans="1:15" x14ac:dyDescent="0.3">
      <c r="A77" s="58"/>
      <c r="B77" s="58"/>
      <c r="C77" s="58"/>
      <c r="D77" s="58"/>
      <c r="E77" s="58"/>
      <c r="F77" s="58"/>
      <c r="G77" s="58"/>
      <c r="H77" s="58"/>
      <c r="I77" s="58"/>
      <c r="J77" s="58"/>
      <c r="K77" s="58"/>
      <c r="M77" s="58">
        <f>M7</f>
        <v>2023</v>
      </c>
      <c r="N77" s="58">
        <f>N7</f>
        <v>2024</v>
      </c>
      <c r="O77" s="58"/>
    </row>
    <row r="78" spans="1:15" x14ac:dyDescent="0.3">
      <c r="A78" s="58"/>
      <c r="B78" s="58"/>
      <c r="C78" s="58"/>
      <c r="D78" s="58"/>
      <c r="E78" s="58"/>
      <c r="F78" s="58"/>
      <c r="G78" s="58"/>
      <c r="H78" s="58"/>
      <c r="I78" s="58"/>
      <c r="J78" s="58"/>
      <c r="K78" s="58"/>
      <c r="L78" s="58" t="s">
        <v>54</v>
      </c>
      <c r="M78" s="61">
        <f>'Tabel 1.1'!G35</f>
        <v>146459867.64199999</v>
      </c>
      <c r="N78" s="61">
        <f>'Tabel 1.1'!H35</f>
        <v>179449570.928</v>
      </c>
      <c r="O78" s="58"/>
    </row>
    <row r="79" spans="1:15" x14ac:dyDescent="0.3">
      <c r="A79" s="58"/>
      <c r="B79" s="58"/>
      <c r="C79" s="58"/>
      <c r="D79" s="58"/>
      <c r="E79" s="58"/>
      <c r="F79" s="58"/>
      <c r="G79" s="58"/>
      <c r="H79" s="58"/>
      <c r="I79" s="58"/>
      <c r="J79" s="58"/>
      <c r="K79" s="58"/>
      <c r="L79" s="63" t="s">
        <v>59</v>
      </c>
      <c r="M79" s="61">
        <f>'Tabel 1.1'!G36</f>
        <v>51422836</v>
      </c>
      <c r="N79" s="61">
        <f>'Tabel 1.1'!H36</f>
        <v>65817579</v>
      </c>
      <c r="O79" s="58"/>
    </row>
    <row r="80" spans="1:15" x14ac:dyDescent="0.3">
      <c r="A80" s="59" t="s">
        <v>407</v>
      </c>
      <c r="B80" s="58"/>
      <c r="C80" s="58"/>
      <c r="D80" s="58"/>
      <c r="E80" s="58"/>
      <c r="F80" s="58"/>
      <c r="G80" s="58"/>
      <c r="H80" s="58"/>
      <c r="I80" s="63"/>
      <c r="J80" s="58"/>
      <c r="K80" s="58"/>
      <c r="L80" s="58" t="s">
        <v>61</v>
      </c>
      <c r="M80" s="61">
        <f>'Tabel 1.1'!G37</f>
        <v>2609059.09693</v>
      </c>
      <c r="N80" s="61">
        <f>'Tabel 1.1'!H37</f>
        <v>2764463.4104599999</v>
      </c>
      <c r="O80" s="58"/>
    </row>
    <row r="81" spans="1:15" x14ac:dyDescent="0.3">
      <c r="B81" s="58"/>
      <c r="C81" s="58"/>
      <c r="D81" s="58"/>
      <c r="E81" s="58"/>
      <c r="F81" s="58"/>
      <c r="G81" s="58"/>
      <c r="H81" s="58"/>
      <c r="I81" s="58"/>
      <c r="J81" s="58"/>
      <c r="K81" s="58"/>
      <c r="L81" s="58" t="s">
        <v>63</v>
      </c>
      <c r="M81" s="61">
        <f>'Tabel 1.1'!G38</f>
        <v>126457560</v>
      </c>
      <c r="N81" s="61">
        <f>'Tabel 1.1'!H38</f>
        <v>159130080</v>
      </c>
      <c r="O81" s="58"/>
    </row>
    <row r="82" spans="1:15" x14ac:dyDescent="0.3">
      <c r="A82" s="58"/>
      <c r="B82" s="58"/>
      <c r="C82" s="58"/>
      <c r="D82" s="58"/>
      <c r="E82" s="58"/>
      <c r="F82" s="58"/>
      <c r="G82" s="58"/>
      <c r="H82" s="58"/>
      <c r="I82" s="58"/>
      <c r="J82" s="58"/>
      <c r="K82" s="58"/>
      <c r="L82" s="58" t="s">
        <v>368</v>
      </c>
      <c r="M82" s="61">
        <f>'Tabel 1.1'!G39</f>
        <v>60413574.038189903</v>
      </c>
      <c r="N82" s="61">
        <f>'Tabel 1.1'!H39</f>
        <v>75514311.198369905</v>
      </c>
      <c r="O82" s="58"/>
    </row>
    <row r="83" spans="1:15" x14ac:dyDescent="0.3">
      <c r="A83" s="58"/>
      <c r="B83" s="58"/>
      <c r="C83" s="58"/>
      <c r="D83" s="58"/>
      <c r="E83" s="58"/>
      <c r="F83" s="58"/>
      <c r="G83" s="58"/>
      <c r="H83" s="58"/>
      <c r="I83" s="58"/>
      <c r="J83" s="58"/>
      <c r="K83" s="58"/>
      <c r="L83" s="58" t="s">
        <v>379</v>
      </c>
      <c r="M83" s="61">
        <f>'Tabel 1.1'!G40</f>
        <v>191251233.176</v>
      </c>
      <c r="N83" s="61">
        <f>'Tabel 1.1'!H40</f>
        <v>226481801.93450999</v>
      </c>
      <c r="O83" s="58"/>
    </row>
    <row r="84" spans="1:15" x14ac:dyDescent="0.3">
      <c r="A84" s="58"/>
      <c r="B84" s="58"/>
      <c r="C84" s="58"/>
      <c r="D84" s="58"/>
      <c r="E84" s="58"/>
      <c r="F84" s="58"/>
      <c r="G84" s="58"/>
      <c r="H84" s="58"/>
      <c r="I84" s="58"/>
      <c r="J84" s="58"/>
      <c r="K84" s="58"/>
      <c r="M84" s="61"/>
      <c r="O84" s="58"/>
    </row>
    <row r="85" spans="1:15" x14ac:dyDescent="0.3">
      <c r="B85" s="58"/>
      <c r="C85" s="58"/>
      <c r="D85" s="58"/>
      <c r="E85" s="58"/>
      <c r="F85" s="58"/>
      <c r="G85" s="58"/>
      <c r="H85" s="58"/>
      <c r="I85" s="58"/>
      <c r="J85" s="58"/>
      <c r="K85" s="58"/>
      <c r="O85" s="58"/>
    </row>
    <row r="86" spans="1:15" x14ac:dyDescent="0.3">
      <c r="B86" s="58"/>
      <c r="C86" s="58"/>
      <c r="D86" s="58"/>
      <c r="E86" s="58"/>
      <c r="F86" s="58"/>
      <c r="G86" s="58"/>
      <c r="H86" s="58"/>
      <c r="I86" s="58"/>
      <c r="J86" s="58"/>
      <c r="K86" s="58"/>
      <c r="O86" s="58"/>
    </row>
    <row r="87" spans="1:15" x14ac:dyDescent="0.3">
      <c r="B87" s="58"/>
      <c r="C87" s="58"/>
      <c r="D87" s="58"/>
      <c r="E87" s="58"/>
      <c r="F87" s="58"/>
      <c r="G87" s="58"/>
      <c r="H87" s="58"/>
      <c r="I87" s="58"/>
      <c r="J87" s="58"/>
      <c r="K87" s="58"/>
      <c r="O87" s="58"/>
    </row>
    <row r="88" spans="1:15" x14ac:dyDescent="0.3">
      <c r="B88" s="58"/>
      <c r="C88" s="58"/>
      <c r="D88" s="58"/>
      <c r="E88" s="58"/>
      <c r="F88" s="58"/>
      <c r="G88" s="58"/>
      <c r="H88" s="58"/>
      <c r="I88" s="58"/>
      <c r="J88" s="58"/>
      <c r="K88" s="58"/>
      <c r="O88" s="58"/>
    </row>
    <row r="89" spans="1:15" x14ac:dyDescent="0.3">
      <c r="B89" s="58"/>
      <c r="C89" s="58"/>
      <c r="D89" s="58"/>
      <c r="E89" s="58"/>
      <c r="F89" s="58"/>
      <c r="G89" s="58"/>
      <c r="H89" s="58"/>
      <c r="I89" s="58"/>
      <c r="J89" s="58"/>
      <c r="K89" s="58"/>
      <c r="O89" s="58"/>
    </row>
    <row r="90" spans="1:15" x14ac:dyDescent="0.3">
      <c r="B90" s="58"/>
      <c r="C90" s="58"/>
      <c r="D90" s="58"/>
      <c r="E90" s="58"/>
      <c r="F90" s="58"/>
      <c r="G90" s="58"/>
      <c r="H90" s="58"/>
      <c r="I90" s="58"/>
      <c r="J90" s="58"/>
      <c r="K90" s="58"/>
      <c r="O90" s="58"/>
    </row>
    <row r="91" spans="1:15" x14ac:dyDescent="0.3">
      <c r="A91" s="58"/>
      <c r="B91" s="58"/>
      <c r="C91" s="58"/>
      <c r="D91" s="58"/>
      <c r="E91" s="58"/>
      <c r="F91" s="58"/>
      <c r="G91" s="58"/>
      <c r="H91" s="58"/>
      <c r="I91" s="58"/>
      <c r="J91" s="58"/>
      <c r="K91" s="58"/>
      <c r="O91" s="58"/>
    </row>
    <row r="92" spans="1:15" ht="18.75" customHeight="1" x14ac:dyDescent="0.3">
      <c r="A92" s="58"/>
      <c r="B92" s="58"/>
      <c r="C92" s="58"/>
      <c r="D92" s="58"/>
      <c r="E92" s="58"/>
      <c r="F92" s="58"/>
      <c r="G92" s="58"/>
      <c r="H92" s="58"/>
      <c r="I92" s="58"/>
      <c r="J92" s="58"/>
      <c r="K92" s="58"/>
      <c r="O92" s="58"/>
    </row>
    <row r="93" spans="1:15" ht="18.75" customHeight="1" x14ac:dyDescent="0.3">
      <c r="A93" s="58"/>
      <c r="B93" s="58"/>
      <c r="C93" s="58"/>
      <c r="D93" s="58"/>
      <c r="E93" s="58"/>
      <c r="F93" s="58"/>
      <c r="G93" s="58"/>
      <c r="H93" s="58"/>
      <c r="I93" s="58"/>
      <c r="J93" s="58"/>
      <c r="K93" s="58"/>
      <c r="O93" s="58"/>
    </row>
    <row r="94" spans="1:15" ht="18.75" customHeight="1" x14ac:dyDescent="0.3">
      <c r="A94" s="58"/>
      <c r="B94" s="58"/>
      <c r="C94" s="58"/>
      <c r="D94" s="58"/>
      <c r="E94" s="58"/>
      <c r="F94" s="58"/>
      <c r="G94" s="58"/>
      <c r="H94" s="58"/>
      <c r="I94" s="58"/>
      <c r="J94" s="58"/>
      <c r="K94" s="58"/>
      <c r="O94" s="58"/>
    </row>
    <row r="95" spans="1:15" ht="18.75" customHeight="1" x14ac:dyDescent="0.3">
      <c r="A95" s="58"/>
      <c r="B95" s="58"/>
      <c r="C95" s="58"/>
      <c r="D95" s="58"/>
      <c r="E95" s="58"/>
      <c r="F95" s="58"/>
      <c r="G95" s="58"/>
      <c r="H95" s="58"/>
      <c r="I95" s="58"/>
      <c r="J95" s="58"/>
      <c r="K95" s="58"/>
      <c r="O95" s="58"/>
    </row>
    <row r="96" spans="1:15" ht="18.75" customHeight="1" x14ac:dyDescent="0.3">
      <c r="A96" s="58"/>
      <c r="B96" s="58"/>
      <c r="C96" s="58"/>
      <c r="D96" s="58"/>
      <c r="E96" s="58"/>
      <c r="F96" s="58"/>
      <c r="G96" s="58"/>
      <c r="H96" s="58"/>
      <c r="I96" s="58"/>
      <c r="J96" s="58"/>
      <c r="K96" s="58"/>
      <c r="O96" s="58"/>
    </row>
    <row r="97" spans="1:17" ht="18.75" customHeight="1" x14ac:dyDescent="0.3">
      <c r="A97" s="58"/>
      <c r="B97" s="58"/>
      <c r="C97" s="58"/>
      <c r="D97" s="58"/>
      <c r="E97" s="58"/>
      <c r="F97" s="58"/>
      <c r="G97" s="58"/>
      <c r="H97" s="58"/>
      <c r="I97" s="58"/>
      <c r="J97" s="58"/>
      <c r="K97" s="58"/>
      <c r="L97" s="63" t="s">
        <v>70</v>
      </c>
      <c r="O97" s="58"/>
      <c r="Q97" s="58"/>
    </row>
    <row r="98" spans="1:17" ht="18.75" customHeight="1" x14ac:dyDescent="0.3">
      <c r="A98" s="58"/>
      <c r="B98" s="58"/>
      <c r="C98" s="58"/>
      <c r="D98" s="58"/>
      <c r="E98" s="58"/>
      <c r="F98" s="58"/>
      <c r="G98" s="58"/>
      <c r="H98" s="58"/>
      <c r="I98" s="58"/>
      <c r="J98" s="58"/>
      <c r="K98" s="58"/>
      <c r="L98" s="58" t="s">
        <v>0</v>
      </c>
      <c r="O98" s="58"/>
      <c r="Q98" s="58"/>
    </row>
    <row r="99" spans="1:17" ht="18.75" customHeight="1" x14ac:dyDescent="0.3">
      <c r="A99" s="58"/>
      <c r="B99" s="58"/>
      <c r="C99" s="58"/>
      <c r="D99" s="58"/>
      <c r="E99" s="58"/>
      <c r="F99" s="58"/>
      <c r="G99" s="58"/>
      <c r="H99" s="58"/>
      <c r="I99" s="58"/>
      <c r="J99" s="58"/>
      <c r="K99" s="58"/>
      <c r="M99" s="58">
        <f>M7</f>
        <v>2023</v>
      </c>
      <c r="N99" s="58">
        <f>N7</f>
        <v>2024</v>
      </c>
      <c r="O99" s="58"/>
      <c r="Q99" s="58"/>
    </row>
    <row r="100" spans="1:17" ht="18.75" customHeight="1" x14ac:dyDescent="0.3">
      <c r="A100" s="58"/>
      <c r="B100" s="58"/>
      <c r="C100" s="58"/>
      <c r="D100" s="58"/>
      <c r="E100" s="58"/>
      <c r="F100" s="58"/>
      <c r="G100" s="58"/>
      <c r="H100" s="58"/>
      <c r="I100" s="58"/>
      <c r="J100" s="58"/>
      <c r="K100" s="58"/>
      <c r="L100" s="58" t="s">
        <v>54</v>
      </c>
      <c r="M100" s="61">
        <f>'DNB Livsforsikring'!B11-'DNB Livsforsikring'!B12+'DNB Livsforsikring'!B34-'DNB Livsforsikring'!B35+'DNB Livsforsikring'!B38-'DNB Livsforsikring'!B39+'DNB Livsforsikring'!B111-'DNB Livsforsikring'!B119+'DNB Livsforsikring'!B136-'DNB Livsforsikring'!B137</f>
        <v>46187</v>
      </c>
      <c r="N100" s="61">
        <f>'DNB Livsforsikring'!C11-'DNB Livsforsikring'!C12+'DNB Livsforsikring'!C34-'DNB Livsforsikring'!C35+'DNB Livsforsikring'!C38-'DNB Livsforsikring'!C39+'DNB Livsforsikring'!C111-'DNB Livsforsikring'!C119+'DNB Livsforsikring'!C136-'DNB Livsforsikring'!C137</f>
        <v>142093</v>
      </c>
      <c r="O100" s="58"/>
      <c r="Q100" s="58"/>
    </row>
    <row r="101" spans="1:17" ht="18.75" customHeight="1" x14ac:dyDescent="0.3">
      <c r="A101" s="58"/>
      <c r="B101" s="58"/>
      <c r="C101" s="58"/>
      <c r="D101" s="58"/>
      <c r="E101" s="58"/>
      <c r="F101" s="58"/>
      <c r="G101" s="58"/>
      <c r="H101" s="58"/>
      <c r="I101" s="58"/>
      <c r="J101" s="58"/>
      <c r="K101" s="58"/>
      <c r="L101" s="63" t="s">
        <v>59</v>
      </c>
      <c r="M101" s="61">
        <f>'Gjensidige Pensjon'!B11-'Gjensidige Pensjon'!B12+'Gjensidige Pensjon'!B34-'Gjensidige Pensjon'!B35+'Gjensidige Pensjon'!B38-'Gjensidige Pensjon'!B39+'Gjensidige Pensjon'!B111-'Gjensidige Pensjon'!B119+'Gjensidige Pensjon'!B136-'Gjensidige Pensjon'!B137</f>
        <v>36306</v>
      </c>
      <c r="N101" s="61">
        <f>'Gjensidige Pensjon'!C11-'Gjensidige Pensjon'!C12+'Gjensidige Pensjon'!C34-'Gjensidige Pensjon'!C35+'Gjensidige Pensjon'!C38-'Gjensidige Pensjon'!C39+'Gjensidige Pensjon'!C111-'Gjensidige Pensjon'!C119+'Gjensidige Pensjon'!C136-'Gjensidige Pensjon'!C137</f>
        <v>22481</v>
      </c>
      <c r="O101" s="58"/>
      <c r="Q101" s="58"/>
    </row>
    <row r="102" spans="1:17" ht="18.75" customHeight="1" x14ac:dyDescent="0.3">
      <c r="A102" s="58"/>
      <c r="B102" s="58"/>
      <c r="C102" s="58"/>
      <c r="D102" s="58"/>
      <c r="E102" s="58"/>
      <c r="F102" s="58"/>
      <c r="G102" s="58"/>
      <c r="H102" s="58"/>
      <c r="I102" s="58"/>
      <c r="J102" s="58"/>
      <c r="K102" s="58"/>
      <c r="L102" s="63" t="s">
        <v>61</v>
      </c>
      <c r="M102" s="61">
        <f>KLP!B11-KLP!B12+KLP!B34-KLP!B35+KLP!B38-KLP!B39+KLP!B111-KLP!B119+KLP!B136-KLP!B137</f>
        <v>-2034368.132</v>
      </c>
      <c r="N102" s="61">
        <f>KLP!C11-KLP!C12+KLP!C34-KLP!C35+KLP!C38-KLP!C39+KLP!C111-KLP!C119+KLP!C136-KLP!C137</f>
        <v>-2455267.2319999998</v>
      </c>
      <c r="O102" s="58"/>
      <c r="Q102" s="58"/>
    </row>
    <row r="103" spans="1:17" ht="18.75" customHeight="1" x14ac:dyDescent="0.3">
      <c r="A103" s="58"/>
      <c r="B103" s="58"/>
      <c r="C103" s="58"/>
      <c r="D103" s="58"/>
      <c r="E103" s="58"/>
      <c r="F103" s="58"/>
      <c r="G103" s="58"/>
      <c r="H103" s="58"/>
      <c r="I103" s="58"/>
      <c r="J103" s="58"/>
      <c r="K103" s="58"/>
      <c r="L103" s="58" t="s">
        <v>63</v>
      </c>
      <c r="M103" s="61">
        <f>'Nordea Liv '!B11-'Nordea Liv '!B12+'Nordea Liv '!B34-'Nordea Liv '!B35+'Nordea Liv '!B38-'Nordea Liv '!B39+'Nordea Liv '!B111-'Nordea Liv '!B119+'Nordea Liv '!B136-'Nordea Liv '!B137</f>
        <v>-1911.31200000015</v>
      </c>
      <c r="N103" s="61">
        <f>'Nordea Liv '!C11-'Nordea Liv '!C12+'Nordea Liv '!C34-'Nordea Liv '!C35+'Nordea Liv '!C38-'Nordea Liv '!C39+'Nordea Liv '!C111-'Nordea Liv '!C119+'Nordea Liv '!C136-'Nordea Liv '!C137</f>
        <v>-1336.18390000006</v>
      </c>
      <c r="O103" s="58"/>
      <c r="Q103" s="58"/>
    </row>
    <row r="104" spans="1:17" ht="18.75" customHeight="1" x14ac:dyDescent="0.3">
      <c r="A104" s="58"/>
      <c r="B104" s="58"/>
      <c r="C104" s="58"/>
      <c r="D104" s="58"/>
      <c r="E104" s="58"/>
      <c r="F104" s="58"/>
      <c r="G104" s="58"/>
      <c r="H104" s="58"/>
      <c r="I104" s="58"/>
      <c r="J104" s="58"/>
      <c r="K104" s="58"/>
      <c r="L104" s="58" t="s">
        <v>368</v>
      </c>
      <c r="M104" s="61">
        <f>'Sparebank 1'!B11-'Sparebank 1'!B12+'Sparebank 1'!B34-'Sparebank 1'!B35+'Sparebank 1'!B38-'Sparebank 1'!B39+'Sparebank 1'!B111-'Sparebank 1'!B119+'Sparebank 1'!B136-'Sparebank 1'!B137</f>
        <v>-28538.81914</v>
      </c>
      <c r="N104" s="61">
        <f>'Sparebank 1'!C11-'Sparebank 1'!C12+'Sparebank 1'!C34-'Sparebank 1'!C35+'Sparebank 1'!C38-'Sparebank 1'!C39+'Sparebank 1'!C111-'Sparebank 1'!C119+'Sparebank 1'!C136-'Sparebank 1'!C137</f>
        <v>-7141.412620000001</v>
      </c>
      <c r="O104" s="58"/>
      <c r="Q104" s="58"/>
    </row>
    <row r="105" spans="1:17" ht="18.75" customHeight="1" x14ac:dyDescent="0.3">
      <c r="A105" s="58"/>
      <c r="B105" s="58"/>
      <c r="C105" s="58"/>
      <c r="D105" s="58"/>
      <c r="E105" s="58"/>
      <c r="F105" s="58"/>
      <c r="G105" s="58"/>
      <c r="H105" s="58"/>
      <c r="I105" s="58"/>
      <c r="J105" s="58"/>
      <c r="K105" s="58"/>
      <c r="L105" s="58" t="s">
        <v>379</v>
      </c>
      <c r="M105" s="61">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819261.93400000001</v>
      </c>
      <c r="N105" s="61">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2416464.1535</v>
      </c>
      <c r="O105" s="58"/>
      <c r="Q105" s="58"/>
    </row>
    <row r="106" spans="1:17" ht="18.75" customHeight="1" x14ac:dyDescent="0.3">
      <c r="A106" s="59" t="s">
        <v>408</v>
      </c>
      <c r="B106" s="58"/>
      <c r="C106" s="58"/>
      <c r="D106" s="58"/>
      <c r="E106" s="58"/>
      <c r="F106" s="58"/>
      <c r="G106" s="58"/>
      <c r="H106" s="63"/>
      <c r="I106" s="58"/>
      <c r="J106" s="58"/>
      <c r="K106" s="58"/>
      <c r="M106" s="61"/>
      <c r="N106" s="61"/>
      <c r="O106" s="58"/>
      <c r="Q106" s="58"/>
    </row>
    <row r="107" spans="1:17" ht="18.75" customHeight="1" x14ac:dyDescent="0.3">
      <c r="A107" s="58"/>
      <c r="B107" s="58"/>
      <c r="C107" s="58"/>
      <c r="D107" s="58"/>
      <c r="E107" s="58"/>
      <c r="F107" s="58"/>
      <c r="G107" s="58"/>
      <c r="H107" s="58"/>
      <c r="I107" s="58"/>
      <c r="J107" s="58"/>
      <c r="K107" s="58"/>
      <c r="M107" s="61"/>
      <c r="N107" s="61"/>
      <c r="O107" s="58"/>
      <c r="Q107" s="58"/>
    </row>
    <row r="108" spans="1:17" ht="18.75" customHeight="1" x14ac:dyDescent="0.3">
      <c r="A108" s="58"/>
      <c r="B108" s="58"/>
      <c r="C108" s="58"/>
      <c r="D108" s="58"/>
      <c r="E108" s="58"/>
      <c r="F108" s="58"/>
      <c r="G108" s="58"/>
      <c r="H108" s="58"/>
      <c r="I108" s="58"/>
      <c r="J108" s="58"/>
      <c r="K108" s="58"/>
      <c r="M108" s="61"/>
      <c r="N108" s="61"/>
      <c r="O108" s="58"/>
      <c r="Q108" s="58"/>
    </row>
    <row r="109" spans="1:17" ht="18.75" customHeight="1" x14ac:dyDescent="0.3">
      <c r="A109" s="58"/>
      <c r="B109" s="58"/>
      <c r="C109" s="58"/>
      <c r="D109" s="58"/>
      <c r="E109" s="58"/>
      <c r="F109" s="58"/>
      <c r="G109" s="58"/>
      <c r="H109" s="58"/>
      <c r="I109" s="58"/>
      <c r="J109" s="58"/>
      <c r="K109" s="58"/>
      <c r="M109" s="61"/>
      <c r="N109" s="61"/>
      <c r="O109" s="58"/>
      <c r="Q109" s="58"/>
    </row>
    <row r="110" spans="1:17" ht="18.75" customHeight="1" x14ac:dyDescent="0.3">
      <c r="A110" s="58"/>
      <c r="B110" s="58"/>
      <c r="C110" s="58"/>
      <c r="D110" s="58"/>
      <c r="E110" s="58"/>
      <c r="F110" s="58"/>
      <c r="G110" s="58"/>
      <c r="H110" s="58"/>
      <c r="I110" s="58"/>
      <c r="J110" s="58"/>
      <c r="K110" s="58"/>
      <c r="M110" s="61"/>
      <c r="N110" s="61"/>
      <c r="O110" s="58"/>
      <c r="Q110" s="58"/>
    </row>
    <row r="111" spans="1:17" ht="18.75" customHeight="1" x14ac:dyDescent="0.3">
      <c r="A111" s="58"/>
      <c r="B111" s="58"/>
      <c r="C111" s="58"/>
      <c r="D111" s="58"/>
      <c r="E111" s="58"/>
      <c r="F111" s="58"/>
      <c r="G111" s="58"/>
      <c r="H111" s="58"/>
      <c r="I111" s="58"/>
      <c r="J111" s="58"/>
      <c r="K111" s="58"/>
      <c r="M111" s="61"/>
      <c r="N111" s="61"/>
      <c r="O111" s="58"/>
      <c r="Q111" s="58"/>
    </row>
    <row r="112" spans="1:17" ht="18.75" customHeight="1" x14ac:dyDescent="0.3">
      <c r="A112" s="58"/>
      <c r="B112" s="58"/>
      <c r="C112" s="58"/>
      <c r="D112" s="58"/>
      <c r="E112" s="58"/>
      <c r="F112" s="58"/>
      <c r="G112" s="58"/>
      <c r="H112" s="58"/>
      <c r="I112" s="58"/>
      <c r="J112" s="58"/>
      <c r="K112" s="58"/>
      <c r="M112" s="61"/>
      <c r="N112" s="61"/>
      <c r="O112" s="58"/>
      <c r="Q112" s="58"/>
    </row>
    <row r="113" spans="1:17" ht="18.75" customHeight="1" x14ac:dyDescent="0.3">
      <c r="A113" s="58"/>
      <c r="B113" s="58"/>
      <c r="C113" s="58"/>
      <c r="D113" s="58"/>
      <c r="E113" s="58"/>
      <c r="F113" s="58"/>
      <c r="G113" s="58"/>
      <c r="H113" s="58"/>
      <c r="I113" s="58"/>
      <c r="J113" s="58"/>
      <c r="K113" s="58"/>
      <c r="O113" s="58"/>
      <c r="Q113" s="58"/>
    </row>
    <row r="114" spans="1:17" ht="18.75" customHeight="1" x14ac:dyDescent="0.3">
      <c r="A114" s="58"/>
      <c r="B114" s="58"/>
      <c r="C114" s="58"/>
      <c r="D114" s="58"/>
      <c r="E114" s="58"/>
      <c r="F114" s="58"/>
      <c r="G114" s="58"/>
      <c r="H114" s="58"/>
      <c r="I114" s="58"/>
      <c r="J114" s="58"/>
      <c r="K114" s="58"/>
      <c r="O114" s="58"/>
      <c r="Q114" s="58"/>
    </row>
    <row r="115" spans="1:17" ht="18.75" customHeight="1" x14ac:dyDescent="0.3">
      <c r="A115" s="58"/>
      <c r="B115" s="58"/>
      <c r="C115" s="58"/>
      <c r="D115" s="58"/>
      <c r="E115" s="58"/>
      <c r="F115" s="58"/>
      <c r="G115" s="58"/>
      <c r="H115" s="58"/>
      <c r="I115" s="58"/>
      <c r="J115" s="58"/>
      <c r="K115" s="58"/>
      <c r="O115" s="58"/>
      <c r="Q115" s="58"/>
    </row>
    <row r="116" spans="1:17" ht="18.75" customHeight="1" x14ac:dyDescent="0.3">
      <c r="A116" s="58"/>
      <c r="B116" s="58"/>
      <c r="C116" s="58"/>
      <c r="D116" s="58"/>
      <c r="E116" s="58"/>
      <c r="F116" s="58"/>
      <c r="G116" s="58"/>
      <c r="H116" s="58"/>
      <c r="I116" s="58"/>
      <c r="J116" s="58"/>
      <c r="K116" s="58"/>
      <c r="O116" s="58"/>
      <c r="Q116" s="58"/>
    </row>
    <row r="117" spans="1:17" ht="18.75" customHeight="1" x14ac:dyDescent="0.3">
      <c r="A117" s="58"/>
      <c r="B117" s="58"/>
      <c r="C117" s="58"/>
      <c r="D117" s="58"/>
      <c r="E117" s="58"/>
      <c r="F117" s="58"/>
      <c r="G117" s="58"/>
      <c r="H117" s="58"/>
      <c r="I117" s="58"/>
      <c r="J117" s="58"/>
      <c r="K117" s="58"/>
      <c r="O117" s="58"/>
    </row>
    <row r="118" spans="1:17" ht="18.75" customHeight="1" x14ac:dyDescent="0.3">
      <c r="A118" s="58"/>
      <c r="B118" s="58"/>
      <c r="C118" s="58"/>
      <c r="D118" s="58"/>
      <c r="E118" s="58"/>
      <c r="F118" s="58"/>
      <c r="G118" s="58"/>
      <c r="H118" s="58"/>
      <c r="I118" s="58"/>
      <c r="J118" s="58"/>
      <c r="K118" s="58"/>
      <c r="O118" s="58"/>
    </row>
    <row r="119" spans="1:17" ht="18.75" customHeight="1" x14ac:dyDescent="0.3">
      <c r="A119" s="58"/>
      <c r="B119" s="58"/>
      <c r="C119" s="58"/>
      <c r="D119" s="58"/>
      <c r="E119" s="58"/>
      <c r="F119" s="58"/>
      <c r="G119" s="58"/>
      <c r="H119" s="58"/>
      <c r="I119" s="58"/>
      <c r="J119" s="58"/>
      <c r="K119" s="58"/>
      <c r="L119" s="63" t="s">
        <v>71</v>
      </c>
      <c r="O119" s="58"/>
    </row>
    <row r="120" spans="1:17" ht="18.75" customHeight="1" x14ac:dyDescent="0.3">
      <c r="A120" s="58"/>
      <c r="B120" s="58"/>
      <c r="C120" s="58"/>
      <c r="D120" s="58"/>
      <c r="E120" s="58"/>
      <c r="F120" s="58"/>
      <c r="G120" s="58"/>
      <c r="H120" s="58"/>
      <c r="I120" s="58"/>
      <c r="J120" s="58"/>
      <c r="K120" s="58"/>
      <c r="L120" s="58" t="s">
        <v>1</v>
      </c>
      <c r="O120" s="58"/>
    </row>
    <row r="121" spans="1:17" ht="18.75" customHeight="1" x14ac:dyDescent="0.3">
      <c r="A121" s="58"/>
      <c r="B121" s="58"/>
      <c r="C121" s="58"/>
      <c r="D121" s="58"/>
      <c r="E121" s="58"/>
      <c r="F121" s="58"/>
      <c r="G121" s="58"/>
      <c r="H121" s="58"/>
      <c r="I121" s="58"/>
      <c r="J121" s="58"/>
      <c r="K121" s="58"/>
      <c r="M121" s="58">
        <f>M7</f>
        <v>2023</v>
      </c>
      <c r="N121" s="58">
        <f>N7</f>
        <v>2024</v>
      </c>
      <c r="O121" s="58"/>
    </row>
    <row r="122" spans="1:17" ht="18.75" customHeight="1" x14ac:dyDescent="0.3">
      <c r="A122" s="58"/>
      <c r="B122" s="58"/>
      <c r="C122" s="58"/>
      <c r="D122" s="58"/>
      <c r="E122" s="58"/>
      <c r="F122" s="58"/>
      <c r="G122" s="58"/>
      <c r="H122" s="58"/>
      <c r="I122" s="58"/>
      <c r="J122" s="58"/>
      <c r="K122" s="58"/>
      <c r="L122" s="58" t="s">
        <v>54</v>
      </c>
      <c r="M122" s="61">
        <f>'DNB Livsforsikring'!F11-'DNB Livsforsikring'!F12+'DNB Livsforsikring'!F34-'DNB Livsforsikring'!F35+'DNB Livsforsikring'!F38-'DNB Livsforsikring'!F39+'DNB Livsforsikring'!F111-'DNB Livsforsikring'!F119+'DNB Livsforsikring'!F136-'DNB Livsforsikring'!F137</f>
        <v>-951646</v>
      </c>
      <c r="N122" s="61">
        <f>'DNB Livsforsikring'!G11-'DNB Livsforsikring'!G12+'DNB Livsforsikring'!G34-'DNB Livsforsikring'!G35+'DNB Livsforsikring'!G38-'DNB Livsforsikring'!G39+'DNB Livsforsikring'!G111-'DNB Livsforsikring'!G119+'DNB Livsforsikring'!G136-'DNB Livsforsikring'!G137</f>
        <v>-900203</v>
      </c>
      <c r="O122" s="58"/>
    </row>
    <row r="123" spans="1:17" x14ac:dyDescent="0.3">
      <c r="A123" s="58"/>
      <c r="B123" s="58"/>
      <c r="C123" s="58"/>
      <c r="D123" s="58"/>
      <c r="E123" s="58"/>
      <c r="F123" s="58"/>
      <c r="G123" s="58"/>
      <c r="H123" s="58"/>
      <c r="I123" s="58"/>
      <c r="J123" s="58"/>
      <c r="K123" s="58"/>
      <c r="L123" s="63" t="s">
        <v>59</v>
      </c>
      <c r="M123" s="61">
        <f>'Gjensidige Pensjon'!F11-'Gjensidige Pensjon'!F12+'Gjensidige Pensjon'!F34-'Gjensidige Pensjon'!F35+'Gjensidige Pensjon'!F38-'Gjensidige Pensjon'!F39+'Gjensidige Pensjon'!F111-'Gjensidige Pensjon'!F119+'Gjensidige Pensjon'!F136-'Gjensidige Pensjon'!F137</f>
        <v>1621849</v>
      </c>
      <c r="N123" s="61">
        <f>'Gjensidige Pensjon'!G11-'Gjensidige Pensjon'!G12+'Gjensidige Pensjon'!G34-'Gjensidige Pensjon'!G35+'Gjensidige Pensjon'!G38-'Gjensidige Pensjon'!G39+'Gjensidige Pensjon'!G111-'Gjensidige Pensjon'!G119+'Gjensidige Pensjon'!G136-'Gjensidige Pensjon'!G137</f>
        <v>432876</v>
      </c>
      <c r="O123" s="58"/>
    </row>
    <row r="124" spans="1:17" x14ac:dyDescent="0.3">
      <c r="A124" s="58"/>
      <c r="B124" s="58"/>
      <c r="C124" s="58"/>
      <c r="D124" s="58"/>
      <c r="E124" s="58"/>
      <c r="F124" s="58"/>
      <c r="G124" s="58"/>
      <c r="H124" s="58"/>
      <c r="I124" s="58"/>
      <c r="J124" s="58"/>
      <c r="K124" s="58"/>
      <c r="L124" s="58" t="s">
        <v>61</v>
      </c>
      <c r="M124" s="61">
        <f>KLP!F11-KLP!F12+KLP!F34-KLP!F35+KLP!F38-KLP!F39+KLP!F111-KLP!F119+KLP!F136-KLP!F137</f>
        <v>0</v>
      </c>
      <c r="N124" s="61">
        <f>KLP!G11-KLP!G12+KLP!G34-KLP!G35+KLP!G38-KLP!G39+KLP!G111-KLP!G119+KLP!G136-KLP!G137</f>
        <v>-182.05500000000001</v>
      </c>
      <c r="O124" s="58"/>
    </row>
    <row r="125" spans="1:17" x14ac:dyDescent="0.3">
      <c r="A125" s="58"/>
      <c r="B125" s="58"/>
      <c r="C125" s="58"/>
      <c r="D125" s="58"/>
      <c r="E125" s="58"/>
      <c r="F125" s="58"/>
      <c r="G125" s="58"/>
      <c r="H125" s="58"/>
      <c r="I125" s="58"/>
      <c r="J125" s="58"/>
      <c r="K125" s="58"/>
      <c r="L125" s="58" t="s">
        <v>63</v>
      </c>
      <c r="M125" s="61">
        <f>'Nordea Liv '!F11-'Nordea Liv '!F12+'Nordea Liv '!F34-'Nordea Liv '!F35+'Nordea Liv '!F38-'Nordea Liv '!F39+'Nordea Liv '!F111-'Nordea Liv '!F119+'Nordea Liv '!F136-'Nordea Liv '!F137</f>
        <v>-618652.85990000004</v>
      </c>
      <c r="N125" s="61">
        <f>'Nordea Liv '!G11-'Nordea Liv '!G12+'Nordea Liv '!G34-'Nordea Liv '!G35+'Nordea Liv '!G38-'Nordea Liv '!G39+'Nordea Liv '!G111-'Nordea Liv '!G119+'Nordea Liv '!G136-'Nordea Liv '!G137</f>
        <v>-799067.74282999989</v>
      </c>
      <c r="O125" s="58"/>
    </row>
    <row r="126" spans="1:17" x14ac:dyDescent="0.3">
      <c r="A126" s="58"/>
      <c r="B126" s="58"/>
      <c r="C126" s="58"/>
      <c r="D126" s="58"/>
      <c r="E126" s="58"/>
      <c r="F126" s="58"/>
      <c r="G126" s="58"/>
      <c r="H126" s="58"/>
      <c r="I126" s="58"/>
      <c r="J126" s="58"/>
      <c r="K126" s="58"/>
      <c r="L126" s="58" t="s">
        <v>368</v>
      </c>
      <c r="M126" s="61">
        <f>'Sparebank 1'!F11-'Sparebank 1'!F12+'Sparebank 1'!F34-'Sparebank 1'!F35+'Sparebank 1'!F38-'Sparebank 1'!F39+'Sparebank 1'!F111-'Sparebank 1'!F119+'Sparebank 1'!F136-'Sparebank 1'!F137</f>
        <v>-493333.32088000001</v>
      </c>
      <c r="N126" s="61">
        <f>'Sparebank 1'!G11-'Sparebank 1'!G12+'Sparebank 1'!G34-'Sparebank 1'!G35+'Sparebank 1'!G38-'Sparebank 1'!G39+'Sparebank 1'!G111-'Sparebank 1'!G119+'Sparebank 1'!G136-'Sparebank 1'!G137</f>
        <v>-297184.52006999985</v>
      </c>
      <c r="O126" s="58"/>
    </row>
    <row r="127" spans="1:17" x14ac:dyDescent="0.3">
      <c r="A127" s="58"/>
      <c r="B127" s="58"/>
      <c r="C127" s="58"/>
      <c r="D127" s="58"/>
      <c r="E127" s="58"/>
      <c r="F127" s="58"/>
      <c r="G127" s="58"/>
      <c r="H127" s="58"/>
      <c r="I127" s="58"/>
      <c r="J127" s="58"/>
      <c r="K127" s="58"/>
      <c r="L127" s="58" t="s">
        <v>379</v>
      </c>
      <c r="M127" s="61">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-297882.16838000016</v>
      </c>
      <c r="N127" s="61">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59260.881069999654</v>
      </c>
      <c r="O127" s="58"/>
    </row>
    <row r="128" spans="1:17" x14ac:dyDescent="0.3">
      <c r="A128" s="58"/>
      <c r="B128" s="58"/>
      <c r="C128" s="58"/>
      <c r="D128" s="58"/>
      <c r="E128" s="58"/>
      <c r="F128" s="58"/>
      <c r="G128" s="58"/>
      <c r="H128" s="58"/>
      <c r="I128" s="58"/>
      <c r="J128" s="58"/>
      <c r="K128" s="58"/>
      <c r="O128" s="58"/>
    </row>
    <row r="129" spans="1:15" x14ac:dyDescent="0.3">
      <c r="A129" s="58"/>
      <c r="B129" s="58"/>
      <c r="C129" s="58"/>
      <c r="D129" s="58"/>
      <c r="E129" s="58"/>
      <c r="F129" s="58"/>
      <c r="G129" s="58"/>
      <c r="H129" s="58"/>
      <c r="I129" s="58"/>
      <c r="J129" s="58"/>
      <c r="K129" s="58"/>
      <c r="O129" s="58"/>
    </row>
    <row r="130" spans="1:15" x14ac:dyDescent="0.3">
      <c r="A130" s="59" t="s">
        <v>409</v>
      </c>
      <c r="B130" s="58"/>
      <c r="C130" s="58"/>
      <c r="D130" s="58"/>
      <c r="E130" s="58"/>
      <c r="F130" s="58"/>
      <c r="G130" s="58"/>
      <c r="H130" s="63"/>
      <c r="I130" s="58"/>
      <c r="J130" s="58"/>
      <c r="K130" s="58"/>
      <c r="O130" s="58"/>
    </row>
    <row r="131" spans="1:15" x14ac:dyDescent="0.3">
      <c r="B131" s="58"/>
      <c r="C131" s="58"/>
      <c r="D131" s="58"/>
      <c r="E131" s="58"/>
      <c r="F131" s="58"/>
      <c r="G131" s="58"/>
      <c r="H131" s="58"/>
      <c r="I131" s="58"/>
      <c r="J131" s="58"/>
      <c r="K131" s="58"/>
      <c r="O131" s="58"/>
    </row>
    <row r="132" spans="1:15" x14ac:dyDescent="0.3">
      <c r="A132" s="58"/>
      <c r="B132" s="58"/>
      <c r="C132" s="58"/>
      <c r="D132" s="58"/>
      <c r="E132" s="58"/>
      <c r="F132" s="58"/>
      <c r="G132" s="58"/>
      <c r="H132" s="58"/>
      <c r="I132" s="58"/>
      <c r="J132" s="58"/>
      <c r="K132" s="58"/>
      <c r="O132" s="58"/>
    </row>
    <row r="133" spans="1:15" x14ac:dyDescent="0.3">
      <c r="A133" s="58"/>
      <c r="B133" s="58"/>
      <c r="C133" s="58"/>
      <c r="D133" s="58"/>
      <c r="E133" s="58"/>
      <c r="F133" s="58"/>
      <c r="G133" s="58"/>
      <c r="H133" s="58"/>
      <c r="I133" s="58"/>
      <c r="J133" s="58"/>
      <c r="K133" s="58"/>
      <c r="O133" s="58"/>
    </row>
    <row r="134" spans="1:15" x14ac:dyDescent="0.3">
      <c r="A134" s="58"/>
      <c r="B134" s="58"/>
      <c r="C134" s="58"/>
      <c r="D134" s="58"/>
      <c r="E134" s="58"/>
      <c r="F134" s="58"/>
      <c r="G134" s="58"/>
      <c r="H134" s="58"/>
      <c r="I134" s="58"/>
      <c r="J134" s="58"/>
      <c r="K134" s="58"/>
      <c r="O134" s="58"/>
    </row>
    <row r="135" spans="1:15" x14ac:dyDescent="0.3">
      <c r="A135" s="58"/>
      <c r="B135" s="58"/>
      <c r="C135" s="58"/>
      <c r="D135" s="58"/>
      <c r="E135" s="58"/>
      <c r="F135" s="58"/>
      <c r="G135" s="58"/>
      <c r="H135" s="58"/>
      <c r="I135" s="58"/>
      <c r="J135" s="58"/>
      <c r="K135" s="58"/>
      <c r="O135" s="58"/>
    </row>
    <row r="136" spans="1:15" x14ac:dyDescent="0.3">
      <c r="A136" s="58"/>
      <c r="B136" s="58"/>
      <c r="C136" s="58"/>
      <c r="D136" s="58"/>
      <c r="E136" s="58"/>
      <c r="F136" s="58"/>
      <c r="G136" s="58"/>
      <c r="H136" s="58"/>
      <c r="I136" s="58"/>
      <c r="J136" s="58"/>
      <c r="K136" s="58"/>
      <c r="O136" s="58"/>
    </row>
    <row r="137" spans="1:15" x14ac:dyDescent="0.3">
      <c r="A137" s="58"/>
      <c r="B137" s="58"/>
      <c r="C137" s="58"/>
      <c r="D137" s="58"/>
      <c r="E137" s="58"/>
      <c r="F137" s="58"/>
      <c r="G137" s="58"/>
      <c r="H137" s="58"/>
      <c r="I137" s="58"/>
      <c r="J137" s="58"/>
      <c r="K137" s="58"/>
      <c r="O137" s="58"/>
    </row>
    <row r="138" spans="1:15" x14ac:dyDescent="0.3">
      <c r="A138" s="58"/>
      <c r="B138" s="58"/>
      <c r="C138" s="58"/>
      <c r="D138" s="58"/>
      <c r="E138" s="58"/>
      <c r="F138" s="58"/>
      <c r="G138" s="58"/>
      <c r="H138" s="58"/>
      <c r="I138" s="58"/>
      <c r="J138" s="58"/>
      <c r="K138" s="58"/>
      <c r="O138" s="58"/>
    </row>
    <row r="139" spans="1:15" x14ac:dyDescent="0.3">
      <c r="A139" s="58"/>
      <c r="B139" s="58"/>
      <c r="C139" s="58"/>
      <c r="D139" s="58"/>
      <c r="E139" s="58"/>
      <c r="F139" s="58"/>
      <c r="G139" s="58"/>
      <c r="H139" s="58"/>
      <c r="I139" s="58"/>
      <c r="J139" s="58"/>
      <c r="K139" s="58"/>
      <c r="O139" s="58"/>
    </row>
    <row r="140" spans="1:15" x14ac:dyDescent="0.3">
      <c r="A140" s="58"/>
      <c r="B140" s="58"/>
      <c r="C140" s="58"/>
      <c r="D140" s="58"/>
      <c r="E140" s="58"/>
      <c r="F140" s="58"/>
      <c r="G140" s="58"/>
      <c r="H140" s="58"/>
      <c r="I140" s="58"/>
      <c r="J140" s="58"/>
      <c r="K140" s="58"/>
      <c r="O140" s="58"/>
    </row>
    <row r="141" spans="1:15" x14ac:dyDescent="0.3">
      <c r="A141" s="58"/>
      <c r="B141" s="58"/>
      <c r="C141" s="58"/>
      <c r="D141" s="58"/>
      <c r="E141" s="58"/>
      <c r="F141" s="58"/>
      <c r="G141" s="58"/>
      <c r="H141" s="58"/>
      <c r="I141" s="58"/>
      <c r="J141" s="58"/>
      <c r="K141" s="58"/>
      <c r="O141" s="58"/>
    </row>
    <row r="142" spans="1:15" x14ac:dyDescent="0.3">
      <c r="A142" s="58"/>
      <c r="B142" s="58"/>
      <c r="C142" s="58"/>
      <c r="D142" s="58"/>
      <c r="E142" s="58"/>
      <c r="F142" s="58"/>
      <c r="G142" s="58"/>
      <c r="H142" s="58"/>
      <c r="I142" s="58"/>
      <c r="J142" s="58"/>
      <c r="K142" s="58"/>
      <c r="O142" s="58"/>
    </row>
    <row r="143" spans="1:15" x14ac:dyDescent="0.3">
      <c r="A143" s="58"/>
      <c r="B143" s="58"/>
      <c r="C143" s="58"/>
      <c r="D143" s="58"/>
      <c r="E143" s="58"/>
      <c r="F143" s="58"/>
      <c r="G143" s="58"/>
      <c r="H143" s="58"/>
      <c r="I143" s="58"/>
      <c r="J143" s="58"/>
      <c r="K143" s="58"/>
      <c r="O143" s="58"/>
    </row>
    <row r="144" spans="1:15" x14ac:dyDescent="0.3">
      <c r="A144" s="58"/>
      <c r="B144" s="58"/>
      <c r="C144" s="58"/>
      <c r="D144" s="58"/>
      <c r="E144" s="58"/>
      <c r="F144" s="58"/>
      <c r="G144" s="58"/>
      <c r="H144" s="58"/>
      <c r="I144" s="58"/>
      <c r="J144" s="58"/>
      <c r="K144" s="58"/>
      <c r="O144" s="58"/>
    </row>
    <row r="145" spans="1:15" x14ac:dyDescent="0.3">
      <c r="A145" s="58"/>
      <c r="B145" s="58"/>
      <c r="C145" s="58"/>
      <c r="D145" s="58"/>
      <c r="E145" s="58"/>
      <c r="F145" s="58"/>
      <c r="G145" s="58"/>
      <c r="H145" s="58"/>
      <c r="I145" s="58"/>
      <c r="J145" s="58"/>
      <c r="K145" s="58"/>
      <c r="O145" s="58"/>
    </row>
    <row r="146" spans="1:15" x14ac:dyDescent="0.3">
      <c r="A146" s="58"/>
      <c r="B146" s="58"/>
      <c r="C146" s="58"/>
      <c r="D146" s="58"/>
      <c r="E146" s="58"/>
      <c r="F146" s="58"/>
      <c r="G146" s="58"/>
      <c r="H146" s="58"/>
      <c r="I146" s="58"/>
      <c r="J146" s="58"/>
      <c r="K146" s="58"/>
      <c r="O146" s="58"/>
    </row>
    <row r="147" spans="1:15" x14ac:dyDescent="0.3">
      <c r="A147" s="58"/>
      <c r="B147" s="58"/>
      <c r="C147" s="58"/>
      <c r="D147" s="58"/>
      <c r="E147" s="58"/>
      <c r="F147" s="58"/>
      <c r="G147" s="58"/>
      <c r="H147" s="58"/>
      <c r="I147" s="58"/>
      <c r="J147" s="58"/>
      <c r="K147" s="58"/>
      <c r="O147" s="58"/>
    </row>
    <row r="148" spans="1:15" x14ac:dyDescent="0.3">
      <c r="A148" s="58"/>
      <c r="B148" s="58"/>
      <c r="C148" s="58"/>
      <c r="D148" s="58"/>
      <c r="E148" s="58"/>
      <c r="F148" s="58"/>
      <c r="G148" s="58"/>
      <c r="H148" s="58"/>
      <c r="I148" s="58"/>
      <c r="J148" s="58"/>
      <c r="K148" s="58"/>
      <c r="O148" s="58"/>
    </row>
    <row r="149" spans="1:15" x14ac:dyDescent="0.3">
      <c r="A149" s="58"/>
      <c r="B149" s="58"/>
      <c r="C149" s="58"/>
      <c r="D149" s="58"/>
      <c r="E149" s="58"/>
      <c r="F149" s="58"/>
      <c r="G149" s="58"/>
      <c r="H149" s="58"/>
      <c r="I149" s="58"/>
      <c r="J149" s="58"/>
      <c r="K149" s="58"/>
      <c r="O149" s="58"/>
    </row>
    <row r="150" spans="1:15" x14ac:dyDescent="0.3">
      <c r="A150" s="58"/>
      <c r="B150" s="58"/>
      <c r="C150" s="58"/>
      <c r="D150" s="58"/>
      <c r="E150" s="58"/>
      <c r="F150" s="58"/>
      <c r="G150" s="58"/>
      <c r="H150" s="58"/>
      <c r="I150" s="58"/>
      <c r="J150" s="58"/>
      <c r="K150" s="58"/>
      <c r="O150" s="58"/>
    </row>
    <row r="151" spans="1:15" x14ac:dyDescent="0.3">
      <c r="A151" s="58"/>
      <c r="B151" s="58"/>
      <c r="C151" s="58"/>
      <c r="D151" s="58"/>
      <c r="E151" s="58"/>
      <c r="F151" s="58"/>
      <c r="G151" s="58"/>
      <c r="H151" s="58"/>
      <c r="I151" s="58"/>
      <c r="J151" s="58"/>
      <c r="K151" s="58"/>
      <c r="O151" s="58"/>
    </row>
    <row r="152" spans="1:15" x14ac:dyDescent="0.3">
      <c r="A152" s="58"/>
      <c r="B152" s="58"/>
      <c r="C152" s="58"/>
      <c r="D152" s="58"/>
      <c r="E152" s="58"/>
      <c r="F152" s="58"/>
      <c r="G152" s="58"/>
      <c r="H152" s="58"/>
      <c r="I152" s="58"/>
      <c r="J152" s="58"/>
      <c r="K152" s="58"/>
      <c r="O152" s="58"/>
    </row>
    <row r="153" spans="1:15" x14ac:dyDescent="0.3">
      <c r="A153" s="58"/>
      <c r="B153" s="58"/>
      <c r="C153" s="58"/>
      <c r="D153" s="58"/>
      <c r="E153" s="58"/>
      <c r="F153" s="58"/>
      <c r="G153" s="58"/>
      <c r="H153" s="58"/>
      <c r="I153" s="58"/>
      <c r="J153" s="58"/>
      <c r="K153" s="58"/>
      <c r="O153" s="58"/>
    </row>
    <row r="154" spans="1:15" x14ac:dyDescent="0.3">
      <c r="O154" s="58"/>
    </row>
    <row r="155" spans="1:15" x14ac:dyDescent="0.3">
      <c r="O155" s="58"/>
    </row>
    <row r="156" spans="1:15" x14ac:dyDescent="0.3">
      <c r="O156" s="58"/>
    </row>
    <row r="157" spans="1:15" x14ac:dyDescent="0.3">
      <c r="O157" s="58"/>
    </row>
    <row r="158" spans="1:15" x14ac:dyDescent="0.3">
      <c r="O158" s="58"/>
    </row>
    <row r="159" spans="1:15" x14ac:dyDescent="0.3">
      <c r="O159" s="58"/>
    </row>
    <row r="160" spans="1:15" x14ac:dyDescent="0.3">
      <c r="O160" s="58"/>
    </row>
    <row r="161" spans="1:15" x14ac:dyDescent="0.3">
      <c r="O161" s="58"/>
    </row>
    <row r="162" spans="1:15" x14ac:dyDescent="0.3">
      <c r="O162" s="58"/>
    </row>
    <row r="163" spans="1:15" x14ac:dyDescent="0.3">
      <c r="O163" s="58"/>
    </row>
    <row r="164" spans="1:15" x14ac:dyDescent="0.3">
      <c r="O164" s="58"/>
    </row>
    <row r="165" spans="1:15" x14ac:dyDescent="0.3">
      <c r="O165" s="58"/>
    </row>
    <row r="166" spans="1:15" x14ac:dyDescent="0.3">
      <c r="O166" s="58"/>
    </row>
    <row r="167" spans="1:15" x14ac:dyDescent="0.3">
      <c r="O167" s="58"/>
    </row>
    <row r="168" spans="1:15" x14ac:dyDescent="0.3">
      <c r="O168" s="58"/>
    </row>
    <row r="169" spans="1:15" x14ac:dyDescent="0.3">
      <c r="O169" s="58"/>
    </row>
    <row r="170" spans="1:15" x14ac:dyDescent="0.3">
      <c r="A170" s="58"/>
      <c r="B170" s="58"/>
      <c r="C170" s="58"/>
      <c r="D170" s="58"/>
      <c r="E170" s="58"/>
      <c r="F170" s="58"/>
      <c r="G170" s="58"/>
      <c r="H170" s="58"/>
      <c r="I170" s="58"/>
      <c r="J170" s="58"/>
      <c r="K170" s="58"/>
      <c r="O170" s="58"/>
    </row>
    <row r="171" spans="1:15" x14ac:dyDescent="0.3">
      <c r="A171" s="58"/>
      <c r="B171" s="58"/>
      <c r="C171" s="58"/>
      <c r="D171" s="58"/>
      <c r="E171" s="58"/>
      <c r="F171" s="58"/>
      <c r="G171" s="58"/>
      <c r="H171" s="58"/>
      <c r="I171" s="58"/>
      <c r="J171" s="58"/>
      <c r="K171" s="58"/>
      <c r="O171" s="58"/>
    </row>
    <row r="172" spans="1:15" x14ac:dyDescent="0.3">
      <c r="A172" s="58"/>
      <c r="B172" s="58"/>
      <c r="C172" s="58"/>
      <c r="D172" s="58"/>
      <c r="E172" s="58"/>
      <c r="F172" s="58"/>
      <c r="G172" s="58"/>
      <c r="H172" s="58"/>
      <c r="I172" s="58"/>
      <c r="J172" s="58"/>
      <c r="K172" s="58"/>
      <c r="O172" s="58"/>
    </row>
    <row r="173" spans="1:15" x14ac:dyDescent="0.3">
      <c r="A173" s="58"/>
      <c r="B173" s="58"/>
      <c r="C173" s="58"/>
      <c r="D173" s="58"/>
      <c r="E173" s="58"/>
      <c r="F173" s="58"/>
      <c r="G173" s="58"/>
      <c r="H173" s="58"/>
      <c r="I173" s="58"/>
      <c r="J173" s="58"/>
      <c r="K173" s="58"/>
      <c r="O173" s="58"/>
    </row>
    <row r="174" spans="1:15" x14ac:dyDescent="0.3">
      <c r="A174" s="58"/>
      <c r="B174" s="58"/>
      <c r="C174" s="58"/>
      <c r="D174" s="58"/>
      <c r="E174" s="58"/>
      <c r="F174" s="58"/>
      <c r="G174" s="58"/>
      <c r="H174" s="58"/>
      <c r="I174" s="58"/>
      <c r="J174" s="58"/>
      <c r="K174" s="58"/>
      <c r="O174" s="58"/>
    </row>
    <row r="175" spans="1:15" x14ac:dyDescent="0.3">
      <c r="A175" s="58"/>
      <c r="B175" s="58"/>
      <c r="C175" s="58"/>
      <c r="D175" s="58"/>
      <c r="E175" s="58"/>
      <c r="F175" s="58"/>
      <c r="G175" s="58"/>
      <c r="H175" s="58"/>
      <c r="I175" s="58"/>
      <c r="J175" s="58"/>
      <c r="K175" s="58"/>
      <c r="O175" s="58"/>
    </row>
    <row r="176" spans="1:15" x14ac:dyDescent="0.3">
      <c r="A176" s="58"/>
      <c r="B176" s="58"/>
      <c r="C176" s="58"/>
      <c r="D176" s="58"/>
      <c r="E176" s="58"/>
      <c r="F176" s="58"/>
      <c r="G176" s="58"/>
      <c r="H176" s="58"/>
      <c r="I176" s="58"/>
      <c r="J176" s="58"/>
      <c r="K176" s="58"/>
      <c r="O176" s="58"/>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37C7-9E35-491E-AA5D-FD2A7954B218}">
  <dimension ref="A1:O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370</v>
      </c>
      <c r="D1" s="26"/>
      <c r="E1" s="26"/>
      <c r="F1" s="26"/>
      <c r="G1" s="26"/>
      <c r="H1" s="26"/>
      <c r="I1" s="26"/>
      <c r="J1" s="26"/>
      <c r="K1" s="26"/>
      <c r="L1" s="26"/>
      <c r="M1" s="26"/>
    </row>
    <row r="2" spans="1:14" ht="15.75" x14ac:dyDescent="0.25">
      <c r="A2" s="149" t="s">
        <v>28</v>
      </c>
      <c r="B2" s="707"/>
      <c r="C2" s="707"/>
      <c r="D2" s="707"/>
      <c r="E2" s="526"/>
      <c r="F2" s="707"/>
      <c r="G2" s="707"/>
      <c r="H2" s="707"/>
      <c r="I2" s="526"/>
      <c r="J2" s="707"/>
      <c r="K2" s="707"/>
      <c r="L2" s="707"/>
      <c r="M2" s="526"/>
    </row>
    <row r="3" spans="1:14" ht="15.75" x14ac:dyDescent="0.25">
      <c r="A3" s="147"/>
      <c r="B3" s="526"/>
      <c r="C3" s="526"/>
      <c r="D3" s="526"/>
      <c r="E3" s="526"/>
      <c r="F3" s="526"/>
      <c r="G3" s="526"/>
      <c r="H3" s="526"/>
      <c r="I3" s="526"/>
      <c r="J3" s="526"/>
      <c r="K3" s="526"/>
      <c r="L3" s="526"/>
      <c r="M3" s="526"/>
    </row>
    <row r="4" spans="1:14" x14ac:dyDescent="0.2">
      <c r="A4" s="128"/>
      <c r="B4" s="705" t="s">
        <v>0</v>
      </c>
      <c r="C4" s="706"/>
      <c r="D4" s="706"/>
      <c r="E4" s="524"/>
      <c r="F4" s="705" t="s">
        <v>1</v>
      </c>
      <c r="G4" s="706"/>
      <c r="H4" s="706"/>
      <c r="I4" s="525"/>
      <c r="J4" s="705" t="s">
        <v>2</v>
      </c>
      <c r="K4" s="706"/>
      <c r="L4" s="706"/>
      <c r="M4" s="525"/>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v>1002</v>
      </c>
      <c r="C7" s="292">
        <v>2764</v>
      </c>
      <c r="D7" s="334">
        <f>IF(B7=0, "    ---- ", IF(ABS(ROUND(100/B7*C7-100,1))&lt;999,ROUND(100/B7*C7-100,1),IF(ROUND(100/B7*C7-100,1)&gt;999,999,-999)))</f>
        <v>175.8</v>
      </c>
      <c r="E7" s="11">
        <f>IFERROR(100/'Skjema total MA'!C7*C7,0)</f>
        <v>0.14424518997737315</v>
      </c>
      <c r="F7" s="291"/>
      <c r="G7" s="292"/>
      <c r="H7" s="334"/>
      <c r="I7" s="144"/>
      <c r="J7" s="293">
        <f t="shared" ref="J7:K10" si="0">SUM(B7,F7)</f>
        <v>1002</v>
      </c>
      <c r="K7" s="294">
        <f t="shared" si="0"/>
        <v>2764</v>
      </c>
      <c r="L7" s="404">
        <f>IF(J7=0, "    ---- ", IF(ABS(ROUND(100/J7*K7-100,1))&lt;999,ROUND(100/J7*K7-100,1),IF(ROUND(100/J7*K7-100,1)&gt;999,999,-999)))</f>
        <v>175.8</v>
      </c>
      <c r="M7" s="11">
        <f>IFERROR(100/'Skjema total MA'!I7*K7,0)</f>
        <v>4.7414637941632205E-2</v>
      </c>
    </row>
    <row r="8" spans="1:14" ht="15.75" x14ac:dyDescent="0.2">
      <c r="A8" s="21" t="s">
        <v>25</v>
      </c>
      <c r="B8" s="266">
        <v>669</v>
      </c>
      <c r="C8" s="267">
        <v>1499</v>
      </c>
      <c r="D8" s="150">
        <f t="shared" ref="D8:D10" si="1">IF(B8=0, "    ---- ", IF(ABS(ROUND(100/B8*C8-100,1))&lt;999,ROUND(100/B8*C8-100,1),IF(ROUND(100/B8*C8-100,1)&gt;999,999,-999)))</f>
        <v>124.1</v>
      </c>
      <c r="E8" s="27">
        <f>IFERROR(100/'Skjema total MA'!C8*C8,0)</f>
        <v>0.11586192107549731</v>
      </c>
      <c r="F8" s="270"/>
      <c r="G8" s="271"/>
      <c r="H8" s="150"/>
      <c r="I8" s="160"/>
      <c r="J8" s="217">
        <f t="shared" si="0"/>
        <v>669</v>
      </c>
      <c r="K8" s="272">
        <f t="shared" si="0"/>
        <v>1499</v>
      </c>
      <c r="L8" s="150">
        <f t="shared" ref="L8:L10" si="2">IF(J8=0, "    ---- ", IF(ABS(ROUND(100/J8*K8-100,1))&lt;999,ROUND(100/J8*K8-100,1),IF(ROUND(100/J8*K8-100,1)&gt;999,999,-999)))</f>
        <v>124.1</v>
      </c>
      <c r="M8" s="27">
        <f>IFERROR(100/'Skjema total MA'!I8*K8,0)</f>
        <v>0.11586192107549731</v>
      </c>
    </row>
    <row r="9" spans="1:14" ht="15.75" x14ac:dyDescent="0.2">
      <c r="A9" s="21" t="s">
        <v>24</v>
      </c>
      <c r="B9" s="266">
        <v>333</v>
      </c>
      <c r="C9" s="267">
        <v>562</v>
      </c>
      <c r="D9" s="150">
        <f t="shared" si="1"/>
        <v>68.8</v>
      </c>
      <c r="E9" s="27">
        <f>IFERROR(100/'Skjema total MA'!C9*C9,0)</f>
        <v>0.13141664598948077</v>
      </c>
      <c r="F9" s="270"/>
      <c r="G9" s="271"/>
      <c r="H9" s="150"/>
      <c r="I9" s="160"/>
      <c r="J9" s="217">
        <f t="shared" si="0"/>
        <v>333</v>
      </c>
      <c r="K9" s="272">
        <f t="shared" si="0"/>
        <v>562</v>
      </c>
      <c r="L9" s="150">
        <f t="shared" si="2"/>
        <v>68.8</v>
      </c>
      <c r="M9" s="27">
        <f>IFERROR(100/'Skjema total MA'!I9*K9,0)</f>
        <v>0.13141664598948077</v>
      </c>
    </row>
    <row r="10" spans="1:14" ht="15.75" x14ac:dyDescent="0.2">
      <c r="A10" s="13" t="s">
        <v>321</v>
      </c>
      <c r="B10" s="295">
        <v>5725</v>
      </c>
      <c r="C10" s="296">
        <v>3568</v>
      </c>
      <c r="D10" s="155">
        <f t="shared" si="1"/>
        <v>-37.700000000000003</v>
      </c>
      <c r="E10" s="11">
        <f>IFERROR(100/'Skjema total MA'!C10*C10,0)</f>
        <v>2.6371627026094521E-2</v>
      </c>
      <c r="F10" s="295"/>
      <c r="G10" s="296"/>
      <c r="H10" s="155"/>
      <c r="I10" s="144"/>
      <c r="J10" s="293">
        <f t="shared" si="0"/>
        <v>5725</v>
      </c>
      <c r="K10" s="294">
        <f t="shared" si="0"/>
        <v>3568</v>
      </c>
      <c r="L10" s="405">
        <f t="shared" si="2"/>
        <v>-37.700000000000003</v>
      </c>
      <c r="M10" s="11">
        <f>IFERROR(100/'Skjema total MA'!I10*K10,0)</f>
        <v>3.4372504960307492E-3</v>
      </c>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526"/>
      <c r="F18" s="704"/>
      <c r="G18" s="704"/>
      <c r="H18" s="704"/>
      <c r="I18" s="526"/>
      <c r="J18" s="704"/>
      <c r="K18" s="704"/>
      <c r="L18" s="704"/>
      <c r="M18" s="526"/>
    </row>
    <row r="19" spans="1:14" x14ac:dyDescent="0.2">
      <c r="A19" s="128"/>
      <c r="B19" s="705" t="s">
        <v>0</v>
      </c>
      <c r="C19" s="706"/>
      <c r="D19" s="706"/>
      <c r="E19" s="524"/>
      <c r="F19" s="705" t="s">
        <v>1</v>
      </c>
      <c r="G19" s="706"/>
      <c r="H19" s="706"/>
      <c r="I19" s="525"/>
      <c r="J19" s="705" t="s">
        <v>2</v>
      </c>
      <c r="K19" s="706"/>
      <c r="L19" s="706"/>
      <c r="M19" s="525"/>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556</v>
      </c>
      <c r="C22" s="295">
        <v>589</v>
      </c>
      <c r="D22" s="334">
        <f t="shared" ref="D22:D30" si="3">IF(B22=0, "    ---- ", IF(ABS(ROUND(100/B22*C22-100,1))&lt;999,ROUND(100/B22*C22-100,1),IF(ROUND(100/B22*C22-100,1)&gt;999,999,-999)))</f>
        <v>5.9</v>
      </c>
      <c r="E22" s="11">
        <f>IFERROR(100/'Skjema total MA'!C22*C22,0)</f>
        <v>6.6641484713253887E-2</v>
      </c>
      <c r="F22" s="303"/>
      <c r="G22" s="303"/>
      <c r="H22" s="334"/>
      <c r="I22" s="11"/>
      <c r="J22" s="301">
        <f t="shared" ref="J22:K30" si="4">SUM(B22,F22)</f>
        <v>556</v>
      </c>
      <c r="K22" s="301">
        <f t="shared" si="4"/>
        <v>589</v>
      </c>
      <c r="L22" s="404">
        <f t="shared" ref="L22:L30" si="5">IF(J22=0, "    ---- ", IF(ABS(ROUND(100/J22*K22-100,1))&lt;999,ROUND(100/J22*K22-100,1),IF(ROUND(100/J22*K22-100,1)&gt;999,999,-999)))</f>
        <v>5.9</v>
      </c>
      <c r="M22" s="24">
        <f>IFERROR(100/'Skjema total MA'!I22*K22,0)</f>
        <v>5.1754936658189331E-2</v>
      </c>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v>556</v>
      </c>
      <c r="C28" s="272">
        <v>589</v>
      </c>
      <c r="D28" s="150">
        <f t="shared" si="3"/>
        <v>5.9</v>
      </c>
      <c r="E28" s="11">
        <f>IFERROR(100/'Skjema total MA'!C28*C28,0)</f>
        <v>5.5807111193469594E-2</v>
      </c>
      <c r="F28" s="217"/>
      <c r="G28" s="272"/>
      <c r="H28" s="150"/>
      <c r="I28" s="27"/>
      <c r="J28" s="44">
        <f t="shared" si="4"/>
        <v>556</v>
      </c>
      <c r="K28" s="44">
        <f t="shared" si="4"/>
        <v>589</v>
      </c>
      <c r="L28" s="242">
        <f t="shared" si="5"/>
        <v>5.9</v>
      </c>
      <c r="M28" s="23">
        <f>IFERROR(100/'Skjema total MA'!I28*K28,0)</f>
        <v>5.5807111193469594E-2</v>
      </c>
    </row>
    <row r="29" spans="1:14" s="3" customFormat="1" ht="15.75" x14ac:dyDescent="0.2">
      <c r="A29" s="13" t="s">
        <v>321</v>
      </c>
      <c r="B29" s="219">
        <v>1382</v>
      </c>
      <c r="C29" s="219">
        <v>2112</v>
      </c>
      <c r="D29" s="155">
        <f t="shared" si="3"/>
        <v>52.8</v>
      </c>
      <c r="E29" s="11">
        <f>IFERROR(100/'Skjema total MA'!C29*C29,0)</f>
        <v>4.7979689175276161E-3</v>
      </c>
      <c r="F29" s="293"/>
      <c r="G29" s="293"/>
      <c r="H29" s="155"/>
      <c r="I29" s="11"/>
      <c r="J29" s="219">
        <f t="shared" si="4"/>
        <v>1382</v>
      </c>
      <c r="K29" s="219">
        <f t="shared" si="4"/>
        <v>2112</v>
      </c>
      <c r="L29" s="405">
        <f t="shared" si="5"/>
        <v>52.8</v>
      </c>
      <c r="M29" s="24">
        <f>IFERROR(100/'Skjema total MA'!I29*K29,0)</f>
        <v>2.9284705154214081E-3</v>
      </c>
      <c r="N29" s="132"/>
    </row>
    <row r="30" spans="1:14" s="3" customFormat="1" ht="15.75" x14ac:dyDescent="0.2">
      <c r="A30" s="454" t="s">
        <v>324</v>
      </c>
      <c r="B30" s="266">
        <v>1382</v>
      </c>
      <c r="C30" s="266">
        <v>2112</v>
      </c>
      <c r="D30" s="150">
        <f t="shared" si="3"/>
        <v>52.8</v>
      </c>
      <c r="E30" s="11">
        <f>IFERROR(100/'Skjema total MA'!C30*C30,0)</f>
        <v>1.1811987125567729E-2</v>
      </c>
      <c r="F30" s="275"/>
      <c r="G30" s="275"/>
      <c r="H30" s="150"/>
      <c r="I30" s="394"/>
      <c r="J30" s="275">
        <f t="shared" si="4"/>
        <v>1382</v>
      </c>
      <c r="K30" s="275">
        <f t="shared" si="4"/>
        <v>2112</v>
      </c>
      <c r="L30" s="150">
        <f t="shared" si="5"/>
        <v>52.8</v>
      </c>
      <c r="M30" s="23">
        <f>IFERROR(100/'Skjema total MA'!I30*K30,0)</f>
        <v>9.7525867888642488E-3</v>
      </c>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409"/>
      <c r="E38" s="24"/>
      <c r="F38" s="304"/>
      <c r="G38" s="305"/>
      <c r="H38" s="155"/>
      <c r="I38" s="411"/>
      <c r="J38" s="219"/>
      <c r="K38" s="219"/>
      <c r="L38" s="405"/>
      <c r="M38" s="24"/>
    </row>
    <row r="39" spans="1:14" ht="15.75" x14ac:dyDescent="0.2">
      <c r="A39" s="18" t="s">
        <v>331</v>
      </c>
      <c r="B39" s="261"/>
      <c r="C39" s="300"/>
      <c r="D39" s="410"/>
      <c r="E39" s="36"/>
      <c r="F39" s="307"/>
      <c r="G39" s="308"/>
      <c r="H39" s="153"/>
      <c r="I39" s="36"/>
      <c r="J39" s="219"/>
      <c r="K39" s="219"/>
      <c r="L39" s="406"/>
      <c r="M39" s="36"/>
    </row>
    <row r="40" spans="1:14" ht="15.75" x14ac:dyDescent="0.25">
      <c r="A40" s="47"/>
      <c r="B40" s="241"/>
      <c r="C40" s="241"/>
      <c r="D40" s="708"/>
      <c r="E40" s="709"/>
      <c r="F40" s="708"/>
      <c r="G40" s="708"/>
      <c r="H40" s="708"/>
      <c r="I40" s="708"/>
      <c r="J40" s="708"/>
      <c r="K40" s="708"/>
      <c r="L40" s="708"/>
      <c r="M40" s="527"/>
    </row>
    <row r="41" spans="1:14" x14ac:dyDescent="0.2">
      <c r="A41" s="139"/>
    </row>
    <row r="42" spans="1:14" ht="15.75" x14ac:dyDescent="0.25">
      <c r="A42" s="131" t="s">
        <v>243</v>
      </c>
      <c r="B42" s="707"/>
      <c r="C42" s="707"/>
      <c r="D42" s="707"/>
      <c r="E42" s="526"/>
      <c r="F42" s="709"/>
      <c r="G42" s="709"/>
      <c r="H42" s="709"/>
      <c r="I42" s="527"/>
      <c r="J42" s="709"/>
      <c r="K42" s="709"/>
      <c r="L42" s="709"/>
      <c r="M42" s="527"/>
    </row>
    <row r="43" spans="1:14" ht="15.75" x14ac:dyDescent="0.25">
      <c r="A43" s="147"/>
      <c r="B43" s="522"/>
      <c r="C43" s="522"/>
      <c r="D43" s="522"/>
      <c r="E43" s="522"/>
      <c r="F43" s="527"/>
      <c r="G43" s="527"/>
      <c r="H43" s="527"/>
      <c r="I43" s="527"/>
      <c r="J43" s="527"/>
      <c r="K43" s="527"/>
      <c r="L43" s="527"/>
      <c r="M43" s="527"/>
    </row>
    <row r="44" spans="1:14" ht="15.75" x14ac:dyDescent="0.25">
      <c r="A44" s="232"/>
      <c r="B44" s="705" t="s">
        <v>0</v>
      </c>
      <c r="C44" s="706"/>
      <c r="D44" s="706"/>
      <c r="E44" s="227"/>
      <c r="F44" s="527"/>
      <c r="G44" s="527"/>
      <c r="H44" s="527"/>
      <c r="I44" s="527"/>
      <c r="J44" s="527"/>
      <c r="K44" s="527"/>
      <c r="L44" s="527"/>
      <c r="M44" s="52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v>7940</v>
      </c>
      <c r="D47" s="404" t="str">
        <f t="shared" ref="D47:D48" si="6">IF(B47=0, "    ---- ", IF(ABS(ROUND(100/B47*C47-100,1))&lt;999,ROUND(100/B47*C47-100,1),IF(ROUND(100/B47*C47-100,1)&gt;999,999,-999)))</f>
        <v xml:space="preserve">    ---- </v>
      </c>
      <c r="E47" s="11">
        <f>IFERROR(100/'Skjema total MA'!C47*C47,0)</f>
        <v>0.19279199934723737</v>
      </c>
      <c r="F47" s="129"/>
      <c r="G47" s="33"/>
      <c r="H47" s="143"/>
      <c r="I47" s="143"/>
      <c r="J47" s="37"/>
      <c r="K47" s="37"/>
      <c r="L47" s="143"/>
      <c r="M47" s="143"/>
      <c r="N47" s="132"/>
    </row>
    <row r="48" spans="1:14" s="3" customFormat="1" ht="15.75" x14ac:dyDescent="0.2">
      <c r="A48" s="38" t="s">
        <v>332</v>
      </c>
      <c r="B48" s="266"/>
      <c r="C48" s="267">
        <v>7940</v>
      </c>
      <c r="D48" s="242" t="str">
        <f t="shared" si="6"/>
        <v xml:space="preserve">    ---- </v>
      </c>
      <c r="E48" s="27">
        <f>IFERROR(100/'Skjema total MA'!C48*C48,0)</f>
        <v>0.36079934316168766</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526"/>
      <c r="F62" s="704"/>
      <c r="G62" s="704"/>
      <c r="H62" s="704"/>
      <c r="I62" s="526"/>
      <c r="J62" s="704"/>
      <c r="K62" s="704"/>
      <c r="L62" s="704"/>
      <c r="M62" s="526"/>
    </row>
    <row r="63" spans="1:14" x14ac:dyDescent="0.2">
      <c r="A63" s="128"/>
      <c r="B63" s="705" t="s">
        <v>0</v>
      </c>
      <c r="C63" s="706"/>
      <c r="D63" s="710"/>
      <c r="E63" s="523"/>
      <c r="F63" s="706" t="s">
        <v>1</v>
      </c>
      <c r="G63" s="706"/>
      <c r="H63" s="706"/>
      <c r="I63" s="525"/>
      <c r="J63" s="705" t="s">
        <v>2</v>
      </c>
      <c r="K63" s="706"/>
      <c r="L63" s="706"/>
      <c r="M63" s="525"/>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v>5135</v>
      </c>
      <c r="D66" s="334" t="str">
        <f t="shared" ref="D66:D122" si="7">IF(B66=0, "    ---- ", IF(ABS(ROUND(100/B66*C66-100,1))&lt;999,ROUND(100/B66*C66-100,1),IF(ROUND(100/B66*C66-100,1)&gt;999,999,-999)))</f>
        <v xml:space="preserve">    ---- </v>
      </c>
      <c r="E66" s="11">
        <f>IFERROR(100/'Skjema total MA'!C66*C66,0)</f>
        <v>0.17409619688912908</v>
      </c>
      <c r="F66" s="336"/>
      <c r="G66" s="336"/>
      <c r="H66" s="334"/>
      <c r="I66" s="11"/>
      <c r="J66" s="294"/>
      <c r="K66" s="301">
        <f t="shared" ref="K66:K76" si="8">SUM(C66,G66)</f>
        <v>5135</v>
      </c>
      <c r="L66" s="405" t="str">
        <f t="shared" ref="L66:L122" si="9">IF(J66=0, "    ---- ", IF(ABS(ROUND(100/J66*K66-100,1))&lt;999,ROUND(100/J66*K66-100,1),IF(ROUND(100/J66*K66-100,1)&gt;999,999,-999)))</f>
        <v xml:space="preserve">    ---- </v>
      </c>
      <c r="M66" s="11">
        <f>IFERROR(100/'Skjema total MA'!I66*K66,0)</f>
        <v>3.2865611645858786E-2</v>
      </c>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v>5135</v>
      </c>
      <c r="D76" s="150" t="str">
        <f t="shared" si="7"/>
        <v xml:space="preserve">    ---- </v>
      </c>
      <c r="E76" s="27">
        <f>IFERROR(100/'Skjema total MA'!C77*C76,0)</f>
        <v>0.26859640790084316</v>
      </c>
      <c r="F76" s="217"/>
      <c r="G76" s="129"/>
      <c r="H76" s="150"/>
      <c r="I76" s="27"/>
      <c r="J76" s="272"/>
      <c r="K76" s="44">
        <f t="shared" si="8"/>
        <v>5135</v>
      </c>
      <c r="L76" s="242" t="str">
        <f t="shared" si="9"/>
        <v xml:space="preserve">    ---- </v>
      </c>
      <c r="M76" s="27">
        <f>IFERROR(100/'Skjema total MA'!I77*K76,0)</f>
        <v>3.6513579438672665E-2</v>
      </c>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v>28528</v>
      </c>
      <c r="D87" s="155" t="str">
        <f t="shared" si="7"/>
        <v xml:space="preserve">    ---- </v>
      </c>
      <c r="E87" s="11">
        <f>IFERROR(100/'Skjema total MA'!C87*C87,0)</f>
        <v>7.0736998468275379E-3</v>
      </c>
      <c r="F87" s="336"/>
      <c r="G87" s="336"/>
      <c r="H87" s="155"/>
      <c r="I87" s="11"/>
      <c r="J87" s="294"/>
      <c r="K87" s="219">
        <f t="shared" ref="K87:K97" si="10">SUM(C87,G87)</f>
        <v>28528</v>
      </c>
      <c r="L87" s="405" t="str">
        <f t="shared" si="9"/>
        <v xml:space="preserve">    ---- </v>
      </c>
      <c r="M87" s="11">
        <f>IFERROR(100/'Skjema total MA'!I87*K87,0)</f>
        <v>2.8777938328619686E-3</v>
      </c>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5" x14ac:dyDescent="0.2">
      <c r="A97" s="21" t="s">
        <v>305</v>
      </c>
      <c r="B97" s="217"/>
      <c r="C97" s="129">
        <v>28528</v>
      </c>
      <c r="D97" s="150" t="str">
        <f t="shared" si="7"/>
        <v xml:space="preserve">    ---- </v>
      </c>
      <c r="E97" s="27">
        <f>IFERROR(100/'Skjema total MA'!C98*C97,0)</f>
        <v>7.4652350996718487E-3</v>
      </c>
      <c r="F97" s="217"/>
      <c r="G97" s="129"/>
      <c r="H97" s="150"/>
      <c r="I97" s="27"/>
      <c r="J97" s="272"/>
      <c r="K97" s="44">
        <f t="shared" si="10"/>
        <v>28528</v>
      </c>
      <c r="L97" s="242" t="str">
        <f t="shared" si="9"/>
        <v xml:space="preserve">    ---- </v>
      </c>
      <c r="M97" s="27">
        <f>IFERROR(100/'Skjema total MA'!I98*K97,0)</f>
        <v>2.9683661255668799E-3</v>
      </c>
    </row>
    <row r="98" spans="1:15" ht="15.75" x14ac:dyDescent="0.2">
      <c r="A98" s="21" t="s">
        <v>338</v>
      </c>
      <c r="B98" s="217"/>
      <c r="C98" s="217"/>
      <c r="D98" s="150"/>
      <c r="E98" s="27"/>
      <c r="F98" s="277"/>
      <c r="G98" s="277"/>
      <c r="H98" s="150"/>
      <c r="I98" s="27"/>
      <c r="J98" s="272"/>
      <c r="K98" s="44"/>
      <c r="L98" s="242"/>
      <c r="M98" s="27"/>
    </row>
    <row r="99" spans="1:15" x14ac:dyDescent="0.2">
      <c r="A99" s="21" t="s">
        <v>9</v>
      </c>
      <c r="B99" s="277"/>
      <c r="C99" s="278"/>
      <c r="D99" s="150"/>
      <c r="E99" s="27"/>
      <c r="F99" s="217"/>
      <c r="G99" s="129"/>
      <c r="H99" s="150"/>
      <c r="I99" s="27"/>
      <c r="J99" s="272"/>
      <c r="K99" s="44"/>
      <c r="L99" s="242"/>
      <c r="M99" s="27"/>
    </row>
    <row r="100" spans="1:15" x14ac:dyDescent="0.2">
      <c r="A100" s="38" t="s">
        <v>366</v>
      </c>
      <c r="B100" s="277"/>
      <c r="C100" s="278"/>
      <c r="D100" s="150"/>
      <c r="E100" s="27"/>
      <c r="F100" s="217"/>
      <c r="G100" s="217"/>
      <c r="H100" s="150"/>
      <c r="I100" s="27"/>
      <c r="J100" s="272"/>
      <c r="K100" s="44"/>
      <c r="L100" s="242"/>
      <c r="M100" s="27"/>
    </row>
    <row r="101" spans="1:15" ht="15.75" x14ac:dyDescent="0.2">
      <c r="A101" s="281" t="s">
        <v>336</v>
      </c>
      <c r="B101" s="266"/>
      <c r="C101" s="266"/>
      <c r="D101" s="150"/>
      <c r="E101" s="394"/>
      <c r="F101" s="266"/>
      <c r="G101" s="266"/>
      <c r="H101" s="150"/>
      <c r="I101" s="394"/>
      <c r="J101" s="275"/>
      <c r="K101" s="275"/>
      <c r="L101" s="150"/>
      <c r="M101" s="23"/>
    </row>
    <row r="102" spans="1:15" x14ac:dyDescent="0.2">
      <c r="A102" s="281" t="s">
        <v>12</v>
      </c>
      <c r="B102" s="218"/>
      <c r="C102" s="274"/>
      <c r="D102" s="150"/>
      <c r="E102" s="394"/>
      <c r="F102" s="266"/>
      <c r="G102" s="266"/>
      <c r="H102" s="150"/>
      <c r="I102" s="394"/>
      <c r="J102" s="275"/>
      <c r="K102" s="275"/>
      <c r="L102" s="150"/>
      <c r="M102" s="23"/>
    </row>
    <row r="103" spans="1:15" x14ac:dyDescent="0.2">
      <c r="A103" s="281" t="s">
        <v>13</v>
      </c>
      <c r="B103" s="218"/>
      <c r="C103" s="274"/>
      <c r="D103" s="150"/>
      <c r="E103" s="394"/>
      <c r="F103" s="266"/>
      <c r="G103" s="266"/>
      <c r="H103" s="150"/>
      <c r="I103" s="394"/>
      <c r="J103" s="275"/>
      <c r="K103" s="275"/>
      <c r="L103" s="150"/>
      <c r="M103" s="23"/>
    </row>
    <row r="104" spans="1:15" ht="15.75" x14ac:dyDescent="0.2">
      <c r="A104" s="281" t="s">
        <v>337</v>
      </c>
      <c r="B104" s="266"/>
      <c r="C104" s="266"/>
      <c r="D104" s="150"/>
      <c r="E104" s="394"/>
      <c r="F104" s="266"/>
      <c r="G104" s="266"/>
      <c r="H104" s="150"/>
      <c r="I104" s="394"/>
      <c r="J104" s="275"/>
      <c r="K104" s="275"/>
      <c r="L104" s="150"/>
      <c r="M104" s="23"/>
    </row>
    <row r="105" spans="1:15" x14ac:dyDescent="0.2">
      <c r="A105" s="281" t="s">
        <v>12</v>
      </c>
      <c r="B105" s="218"/>
      <c r="C105" s="274"/>
      <c r="D105" s="150"/>
      <c r="E105" s="394"/>
      <c r="F105" s="266"/>
      <c r="G105" s="266"/>
      <c r="H105" s="150"/>
      <c r="I105" s="394"/>
      <c r="J105" s="275"/>
      <c r="K105" s="275"/>
      <c r="L105" s="150"/>
      <c r="M105" s="23"/>
    </row>
    <row r="106" spans="1:15" x14ac:dyDescent="0.2">
      <c r="A106" s="281" t="s">
        <v>13</v>
      </c>
      <c r="B106" s="218"/>
      <c r="C106" s="274"/>
      <c r="D106" s="150"/>
      <c r="E106" s="394"/>
      <c r="F106" s="266"/>
      <c r="G106" s="266"/>
      <c r="H106" s="150"/>
      <c r="I106" s="394"/>
      <c r="J106" s="275"/>
      <c r="K106" s="275"/>
      <c r="L106" s="150"/>
      <c r="M106" s="23"/>
    </row>
    <row r="107" spans="1:15" ht="15.75" x14ac:dyDescent="0.2">
      <c r="A107" s="21" t="s">
        <v>339</v>
      </c>
      <c r="B107" s="217"/>
      <c r="C107" s="129"/>
      <c r="D107" s="150"/>
      <c r="E107" s="27"/>
      <c r="F107" s="217"/>
      <c r="G107" s="129"/>
      <c r="H107" s="150"/>
      <c r="I107" s="27"/>
      <c r="J107" s="272"/>
      <c r="K107" s="44"/>
      <c r="L107" s="242"/>
      <c r="M107" s="27"/>
    </row>
    <row r="108" spans="1:15" ht="15.75" x14ac:dyDescent="0.2">
      <c r="A108" s="21" t="s">
        <v>340</v>
      </c>
      <c r="B108" s="217"/>
      <c r="C108" s="217"/>
      <c r="D108" s="150"/>
      <c r="E108" s="27"/>
      <c r="F108" s="217"/>
      <c r="G108" s="217"/>
      <c r="H108" s="150"/>
      <c r="I108" s="27"/>
      <c r="J108" s="272"/>
      <c r="K108" s="44"/>
      <c r="L108" s="242"/>
      <c r="M108" s="27"/>
    </row>
    <row r="109" spans="1:15" ht="15.75" x14ac:dyDescent="0.2">
      <c r="A109" s="38" t="s">
        <v>374</v>
      </c>
      <c r="B109" s="217"/>
      <c r="C109" s="217"/>
      <c r="D109" s="150"/>
      <c r="E109" s="27"/>
      <c r="F109" s="217"/>
      <c r="G109" s="217"/>
      <c r="H109" s="150"/>
      <c r="I109" s="27"/>
      <c r="J109" s="272"/>
      <c r="K109" s="44"/>
      <c r="L109" s="242"/>
      <c r="M109" s="27"/>
      <c r="O109" s="3"/>
    </row>
    <row r="110" spans="1:15" ht="15.75" x14ac:dyDescent="0.2">
      <c r="A110" s="21" t="s">
        <v>341</v>
      </c>
      <c r="B110" s="217"/>
      <c r="C110" s="217"/>
      <c r="D110" s="150"/>
      <c r="E110" s="27"/>
      <c r="F110" s="217"/>
      <c r="G110" s="217"/>
      <c r="H110" s="150"/>
      <c r="I110" s="27"/>
      <c r="J110" s="272"/>
      <c r="K110" s="44"/>
      <c r="L110" s="242"/>
      <c r="M110" s="27"/>
    </row>
    <row r="111" spans="1:15" ht="15.75" x14ac:dyDescent="0.2">
      <c r="A111" s="13" t="s">
        <v>322</v>
      </c>
      <c r="B111" s="293"/>
      <c r="C111" s="143"/>
      <c r="D111" s="155"/>
      <c r="E111" s="11"/>
      <c r="F111" s="293"/>
      <c r="G111" s="143"/>
      <c r="H111" s="155"/>
      <c r="I111" s="11"/>
      <c r="J111" s="294"/>
      <c r="K111" s="219"/>
      <c r="L111" s="405"/>
      <c r="M111" s="11"/>
    </row>
    <row r="112" spans="1:15"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v>2288</v>
      </c>
      <c r="D119" s="155" t="str">
        <f t="shared" si="7"/>
        <v xml:space="preserve">    ---- </v>
      </c>
      <c r="E119" s="11">
        <f>IFERROR(100/'Skjema total MA'!C119*C119,0)</f>
        <v>2.1826840677820152</v>
      </c>
      <c r="F119" s="293"/>
      <c r="G119" s="143"/>
      <c r="H119" s="155"/>
      <c r="I119" s="11"/>
      <c r="J119" s="294"/>
      <c r="K119" s="219">
        <f t="shared" ref="K119:K122" si="11">SUM(C119,G119)</f>
        <v>2288</v>
      </c>
      <c r="L119" s="405" t="str">
        <f t="shared" si="9"/>
        <v xml:space="preserve">    ---- </v>
      </c>
      <c r="M119" s="11">
        <f>IFERROR(100/'Skjema total MA'!I119*K119,0)</f>
        <v>1.4825059577558622E-2</v>
      </c>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v>2288</v>
      </c>
      <c r="D122" s="150" t="str">
        <f t="shared" si="7"/>
        <v xml:space="preserve">    ---- </v>
      </c>
      <c r="E122" s="27">
        <f>IFERROR(100/'Skjema total MA'!C122*C122,0)</f>
        <v>5.5871393719752493</v>
      </c>
      <c r="F122" s="217"/>
      <c r="G122" s="129"/>
      <c r="H122" s="150"/>
      <c r="I122" s="27"/>
      <c r="J122" s="272"/>
      <c r="K122" s="44">
        <f t="shared" si="11"/>
        <v>2288</v>
      </c>
      <c r="L122" s="242" t="str">
        <f t="shared" si="9"/>
        <v xml:space="preserve">    ---- </v>
      </c>
      <c r="M122" s="27">
        <f>IFERROR(100/'Skjema total MA'!I122*K122,0)</f>
        <v>5.5871393719752493</v>
      </c>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526"/>
      <c r="F130" s="704"/>
      <c r="G130" s="704"/>
      <c r="H130" s="704"/>
      <c r="I130" s="526"/>
      <c r="J130" s="704"/>
      <c r="K130" s="704"/>
      <c r="L130" s="704"/>
      <c r="M130" s="526"/>
    </row>
    <row r="131" spans="1:14" s="3" customFormat="1" x14ac:dyDescent="0.2">
      <c r="A131" s="128"/>
      <c r="B131" s="705" t="s">
        <v>0</v>
      </c>
      <c r="C131" s="706"/>
      <c r="D131" s="706"/>
      <c r="E131" s="524"/>
      <c r="F131" s="705" t="s">
        <v>1</v>
      </c>
      <c r="G131" s="706"/>
      <c r="H131" s="706"/>
      <c r="I131" s="525"/>
      <c r="J131" s="705" t="s">
        <v>2</v>
      </c>
      <c r="K131" s="706"/>
      <c r="L131" s="706"/>
      <c r="M131" s="525"/>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209" priority="59">
      <formula>kvartal &lt; 4</formula>
    </cfRule>
  </conditionalFormatting>
  <conditionalFormatting sqref="B69">
    <cfRule type="expression" dxfId="208" priority="58">
      <formula>kvartal &lt; 4</formula>
    </cfRule>
  </conditionalFormatting>
  <conditionalFormatting sqref="C69">
    <cfRule type="expression" dxfId="207" priority="57">
      <formula>kvartal &lt; 4</formula>
    </cfRule>
  </conditionalFormatting>
  <conditionalFormatting sqref="B72">
    <cfRule type="expression" dxfId="206" priority="56">
      <formula>kvartal &lt; 4</formula>
    </cfRule>
  </conditionalFormatting>
  <conditionalFormatting sqref="C72">
    <cfRule type="expression" dxfId="205" priority="55">
      <formula>kvartal &lt; 4</formula>
    </cfRule>
  </conditionalFormatting>
  <conditionalFormatting sqref="B80">
    <cfRule type="expression" dxfId="204" priority="54">
      <formula>kvartal &lt; 4</formula>
    </cfRule>
  </conditionalFormatting>
  <conditionalFormatting sqref="C80">
    <cfRule type="expression" dxfId="203" priority="53">
      <formula>kvartal &lt; 4</formula>
    </cfRule>
  </conditionalFormatting>
  <conditionalFormatting sqref="B83">
    <cfRule type="expression" dxfId="202" priority="52">
      <formula>kvartal &lt; 4</formula>
    </cfRule>
  </conditionalFormatting>
  <conditionalFormatting sqref="C83">
    <cfRule type="expression" dxfId="201" priority="51">
      <formula>kvartal &lt; 4</formula>
    </cfRule>
  </conditionalFormatting>
  <conditionalFormatting sqref="B90">
    <cfRule type="expression" dxfId="200" priority="50">
      <formula>kvartal &lt; 4</formula>
    </cfRule>
  </conditionalFormatting>
  <conditionalFormatting sqref="C90">
    <cfRule type="expression" dxfId="199" priority="49">
      <formula>kvartal &lt; 4</formula>
    </cfRule>
  </conditionalFormatting>
  <conditionalFormatting sqref="B93">
    <cfRule type="expression" dxfId="198" priority="48">
      <formula>kvartal &lt; 4</formula>
    </cfRule>
  </conditionalFormatting>
  <conditionalFormatting sqref="C93">
    <cfRule type="expression" dxfId="197" priority="47">
      <formula>kvartal &lt; 4</formula>
    </cfRule>
  </conditionalFormatting>
  <conditionalFormatting sqref="B101">
    <cfRule type="expression" dxfId="196" priority="46">
      <formula>kvartal &lt; 4</formula>
    </cfRule>
  </conditionalFormatting>
  <conditionalFormatting sqref="C101">
    <cfRule type="expression" dxfId="195" priority="45">
      <formula>kvartal &lt; 4</formula>
    </cfRule>
  </conditionalFormatting>
  <conditionalFormatting sqref="B104">
    <cfRule type="expression" dxfId="194" priority="44">
      <formula>kvartal &lt; 4</formula>
    </cfRule>
  </conditionalFormatting>
  <conditionalFormatting sqref="C104">
    <cfRule type="expression" dxfId="193" priority="43">
      <formula>kvartal &lt; 4</formula>
    </cfRule>
  </conditionalFormatting>
  <conditionalFormatting sqref="B115">
    <cfRule type="expression" dxfId="192" priority="42">
      <formula>kvartal &lt; 4</formula>
    </cfRule>
  </conditionalFormatting>
  <conditionalFormatting sqref="C115">
    <cfRule type="expression" dxfId="191" priority="41">
      <formula>kvartal &lt; 4</formula>
    </cfRule>
  </conditionalFormatting>
  <conditionalFormatting sqref="B123">
    <cfRule type="expression" dxfId="190" priority="40">
      <formula>kvartal &lt; 4</formula>
    </cfRule>
  </conditionalFormatting>
  <conditionalFormatting sqref="C123">
    <cfRule type="expression" dxfId="189" priority="39">
      <formula>kvartal &lt; 4</formula>
    </cfRule>
  </conditionalFormatting>
  <conditionalFormatting sqref="F70">
    <cfRule type="expression" dxfId="188" priority="38">
      <formula>kvartal &lt; 4</formula>
    </cfRule>
  </conditionalFormatting>
  <conditionalFormatting sqref="G70">
    <cfRule type="expression" dxfId="187" priority="37">
      <formula>kvartal &lt; 4</formula>
    </cfRule>
  </conditionalFormatting>
  <conditionalFormatting sqref="F71:G71">
    <cfRule type="expression" dxfId="186" priority="36">
      <formula>kvartal &lt; 4</formula>
    </cfRule>
  </conditionalFormatting>
  <conditionalFormatting sqref="F73:G74">
    <cfRule type="expression" dxfId="185" priority="35">
      <formula>kvartal &lt; 4</formula>
    </cfRule>
  </conditionalFormatting>
  <conditionalFormatting sqref="F81:G82">
    <cfRule type="expression" dxfId="184" priority="34">
      <formula>kvartal &lt; 4</formula>
    </cfRule>
  </conditionalFormatting>
  <conditionalFormatting sqref="F84:G85">
    <cfRule type="expression" dxfId="183" priority="33">
      <formula>kvartal &lt; 4</formula>
    </cfRule>
  </conditionalFormatting>
  <conditionalFormatting sqref="F91:G92">
    <cfRule type="expression" dxfId="182" priority="32">
      <formula>kvartal &lt; 4</formula>
    </cfRule>
  </conditionalFormatting>
  <conditionalFormatting sqref="F94:G95">
    <cfRule type="expression" dxfId="181" priority="31">
      <formula>kvartal &lt; 4</formula>
    </cfRule>
  </conditionalFormatting>
  <conditionalFormatting sqref="F102:G103">
    <cfRule type="expression" dxfId="180" priority="30">
      <formula>kvartal &lt; 4</formula>
    </cfRule>
  </conditionalFormatting>
  <conditionalFormatting sqref="F105:G106">
    <cfRule type="expression" dxfId="179" priority="29">
      <formula>kvartal &lt; 4</formula>
    </cfRule>
  </conditionalFormatting>
  <conditionalFormatting sqref="F115">
    <cfRule type="expression" dxfId="178" priority="28">
      <formula>kvartal &lt; 4</formula>
    </cfRule>
  </conditionalFormatting>
  <conditionalFormatting sqref="G115">
    <cfRule type="expression" dxfId="177" priority="27">
      <formula>kvartal &lt; 4</formula>
    </cfRule>
  </conditionalFormatting>
  <conditionalFormatting sqref="F123:G123">
    <cfRule type="expression" dxfId="176" priority="26">
      <formula>kvartal &lt; 4</formula>
    </cfRule>
  </conditionalFormatting>
  <conditionalFormatting sqref="F69:G69">
    <cfRule type="expression" dxfId="175" priority="25">
      <formula>kvartal &lt; 4</formula>
    </cfRule>
  </conditionalFormatting>
  <conditionalFormatting sqref="F72:G72">
    <cfRule type="expression" dxfId="174" priority="24">
      <formula>kvartal &lt; 4</formula>
    </cfRule>
  </conditionalFormatting>
  <conditionalFormatting sqref="F80:G80">
    <cfRule type="expression" dxfId="173" priority="23">
      <formula>kvartal &lt; 4</formula>
    </cfRule>
  </conditionalFormatting>
  <conditionalFormatting sqref="F83:G83">
    <cfRule type="expression" dxfId="172" priority="22">
      <formula>kvartal &lt; 4</formula>
    </cfRule>
  </conditionalFormatting>
  <conditionalFormatting sqref="F90:G90">
    <cfRule type="expression" dxfId="171" priority="21">
      <formula>kvartal &lt; 4</formula>
    </cfRule>
  </conditionalFormatting>
  <conditionalFormatting sqref="F93">
    <cfRule type="expression" dxfId="170" priority="20">
      <formula>kvartal &lt; 4</formula>
    </cfRule>
  </conditionalFormatting>
  <conditionalFormatting sqref="G93">
    <cfRule type="expression" dxfId="169" priority="19">
      <formula>kvartal &lt; 4</formula>
    </cfRule>
  </conditionalFormatting>
  <conditionalFormatting sqref="F101">
    <cfRule type="expression" dxfId="168" priority="18">
      <formula>kvartal &lt; 4</formula>
    </cfRule>
  </conditionalFormatting>
  <conditionalFormatting sqref="G101">
    <cfRule type="expression" dxfId="167" priority="17">
      <formula>kvartal &lt; 4</formula>
    </cfRule>
  </conditionalFormatting>
  <conditionalFormatting sqref="G104">
    <cfRule type="expression" dxfId="166" priority="16">
      <formula>kvartal &lt; 4</formula>
    </cfRule>
  </conditionalFormatting>
  <conditionalFormatting sqref="F104">
    <cfRule type="expression" dxfId="165" priority="15">
      <formula>kvartal &lt; 4</formula>
    </cfRule>
  </conditionalFormatting>
  <conditionalFormatting sqref="J69:K73">
    <cfRule type="expression" dxfId="164" priority="14">
      <formula>kvartal &lt; 4</formula>
    </cfRule>
  </conditionalFormatting>
  <conditionalFormatting sqref="J74:K74">
    <cfRule type="expression" dxfId="163" priority="13">
      <formula>kvartal &lt; 4</formula>
    </cfRule>
  </conditionalFormatting>
  <conditionalFormatting sqref="J80:K85">
    <cfRule type="expression" dxfId="162" priority="12">
      <formula>kvartal &lt; 4</formula>
    </cfRule>
  </conditionalFormatting>
  <conditionalFormatting sqref="J90:K95">
    <cfRule type="expression" dxfId="161" priority="11">
      <formula>kvartal &lt; 4</formula>
    </cfRule>
  </conditionalFormatting>
  <conditionalFormatting sqref="J101:K106">
    <cfRule type="expression" dxfId="160" priority="10">
      <formula>kvartal &lt; 4</formula>
    </cfRule>
  </conditionalFormatting>
  <conditionalFormatting sqref="J115:K115">
    <cfRule type="expression" dxfId="159" priority="9">
      <formula>kvartal &lt; 4</formula>
    </cfRule>
  </conditionalFormatting>
  <conditionalFormatting sqref="J123:K123">
    <cfRule type="expression" dxfId="158" priority="8">
      <formula>kvartal &lt; 4</formula>
    </cfRule>
  </conditionalFormatting>
  <conditionalFormatting sqref="A50:A52">
    <cfRule type="expression" dxfId="157" priority="7">
      <formula>kvartal &lt; 4</formula>
    </cfRule>
  </conditionalFormatting>
  <conditionalFormatting sqref="A69:A74">
    <cfRule type="expression" dxfId="156" priority="6">
      <formula>kvartal &lt; 4</formula>
    </cfRule>
  </conditionalFormatting>
  <conditionalFormatting sqref="A80:A85">
    <cfRule type="expression" dxfId="155" priority="5">
      <formula>kvartal &lt; 4</formula>
    </cfRule>
  </conditionalFormatting>
  <conditionalFormatting sqref="A90:A95">
    <cfRule type="expression" dxfId="154" priority="4">
      <formula>kvartal &lt; 4</formula>
    </cfRule>
  </conditionalFormatting>
  <conditionalFormatting sqref="A101:A106">
    <cfRule type="expression" dxfId="153" priority="3">
      <formula>kvartal &lt; 4</formula>
    </cfRule>
  </conditionalFormatting>
  <conditionalFormatting sqref="A115">
    <cfRule type="expression" dxfId="152" priority="2">
      <formula>kvartal &lt; 4</formula>
    </cfRule>
  </conditionalFormatting>
  <conditionalFormatting sqref="A123">
    <cfRule type="expression" dxfId="151" priority="1">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K62"/>
  <sheetViews>
    <sheetView showGridLines="0" zoomScale="70" zoomScaleNormal="70" workbookViewId="0">
      <pane xSplit="1" ySplit="8" topLeftCell="B9" activePane="bottomRight" state="frozen"/>
      <selection activeCell="A5" sqref="A5"/>
      <selection pane="topRight" activeCell="A5" sqref="A5"/>
      <selection pane="bottomLeft" activeCell="A5" sqref="A5"/>
      <selection pane="bottomRight" activeCell="A9" sqref="A9"/>
    </sheetView>
  </sheetViews>
  <sheetFormatPr baseColWidth="10" defaultColWidth="11.42578125" defaultRowHeight="12.75" x14ac:dyDescent="0.2"/>
  <cols>
    <col min="1" max="1" width="123.5703125" style="428" customWidth="1"/>
    <col min="2" max="37" width="11.7109375" style="428" customWidth="1"/>
    <col min="38" max="16384" width="11.42578125" style="428"/>
  </cols>
  <sheetData>
    <row r="1" spans="1:37" ht="20.25" x14ac:dyDescent="0.3">
      <c r="A1" s="431" t="s">
        <v>254</v>
      </c>
      <c r="B1" s="432"/>
      <c r="C1" s="432"/>
      <c r="D1" s="432"/>
      <c r="E1" s="432"/>
      <c r="F1" s="432"/>
      <c r="G1" s="432"/>
      <c r="H1" s="432"/>
      <c r="I1" s="432"/>
      <c r="J1" s="432"/>
    </row>
    <row r="2" spans="1:37" ht="20.25" x14ac:dyDescent="0.3">
      <c r="A2" s="431" t="s">
        <v>226</v>
      </c>
      <c r="B2" s="589"/>
      <c r="C2" s="589"/>
      <c r="D2" s="590"/>
      <c r="E2" s="591"/>
      <c r="F2" s="591"/>
      <c r="G2" s="429"/>
      <c r="H2" s="429"/>
      <c r="I2" s="429"/>
      <c r="J2" s="429"/>
      <c r="K2" s="429"/>
      <c r="L2" s="429"/>
      <c r="M2" s="429"/>
      <c r="N2" s="429"/>
      <c r="O2" s="429"/>
      <c r="P2" s="429"/>
      <c r="Q2" s="429"/>
      <c r="R2" s="429"/>
      <c r="S2" s="429"/>
      <c r="T2" s="429"/>
      <c r="U2" s="429"/>
      <c r="V2" s="429"/>
      <c r="W2" s="429"/>
      <c r="X2" s="429"/>
      <c r="Y2" s="429"/>
      <c r="Z2" s="429"/>
      <c r="AA2" s="592"/>
      <c r="AB2" s="429"/>
      <c r="AC2" s="429"/>
      <c r="AD2" s="592"/>
      <c r="AE2" s="429"/>
      <c r="AF2" s="429"/>
      <c r="AG2" s="429"/>
      <c r="AH2" s="429"/>
      <c r="AI2" s="429"/>
      <c r="AJ2" s="429"/>
      <c r="AK2" s="429"/>
    </row>
    <row r="3" spans="1:37" ht="18.75" x14ac:dyDescent="0.3">
      <c r="A3" s="593" t="s">
        <v>255</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row>
    <row r="4" spans="1:37" ht="18.75" customHeight="1" x14ac:dyDescent="0.25">
      <c r="A4" s="446" t="s">
        <v>398</v>
      </c>
      <c r="B4" s="596"/>
      <c r="C4" s="597"/>
      <c r="D4" s="598"/>
      <c r="E4" s="596"/>
      <c r="F4" s="597"/>
      <c r="G4" s="598"/>
      <c r="H4" s="596"/>
      <c r="I4" s="597"/>
      <c r="J4" s="598"/>
      <c r="K4" s="434"/>
      <c r="L4" s="434"/>
      <c r="M4" s="434"/>
      <c r="N4" s="435"/>
      <c r="O4" s="434"/>
      <c r="P4" s="436"/>
      <c r="Q4" s="435"/>
      <c r="R4" s="434"/>
      <c r="S4" s="436"/>
      <c r="T4" s="435"/>
      <c r="U4" s="434"/>
      <c r="V4" s="436"/>
      <c r="W4" s="435"/>
      <c r="X4" s="434"/>
      <c r="Y4" s="436"/>
      <c r="Z4" s="435"/>
      <c r="AA4" s="434"/>
      <c r="AB4" s="436"/>
      <c r="AC4" s="435"/>
      <c r="AD4" s="434"/>
      <c r="AE4" s="436"/>
      <c r="AF4" s="599"/>
      <c r="AG4" s="600"/>
      <c r="AH4" s="601"/>
      <c r="AI4" s="435"/>
      <c r="AJ4" s="434"/>
      <c r="AK4" s="602"/>
    </row>
    <row r="5" spans="1:37" ht="18.75" customHeight="1" x14ac:dyDescent="0.3">
      <c r="A5" s="531" t="s">
        <v>94</v>
      </c>
      <c r="B5" s="721" t="s">
        <v>155</v>
      </c>
      <c r="C5" s="722"/>
      <c r="D5" s="723"/>
      <c r="E5" s="721"/>
      <c r="F5" s="722"/>
      <c r="G5" s="723"/>
      <c r="H5" s="721" t="s">
        <v>156</v>
      </c>
      <c r="I5" s="722"/>
      <c r="J5" s="723"/>
      <c r="K5" s="721" t="s">
        <v>157</v>
      </c>
      <c r="L5" s="722"/>
      <c r="M5" s="723"/>
      <c r="N5" s="721"/>
      <c r="O5" s="722"/>
      <c r="P5" s="723"/>
      <c r="Q5" s="634"/>
      <c r="R5" s="635"/>
      <c r="S5" s="636"/>
      <c r="T5" s="721" t="s">
        <v>159</v>
      </c>
      <c r="U5" s="722"/>
      <c r="V5" s="723"/>
      <c r="W5" s="721" t="s">
        <v>65</v>
      </c>
      <c r="X5" s="722"/>
      <c r="Y5" s="723"/>
      <c r="Z5" s="721" t="s">
        <v>68</v>
      </c>
      <c r="AA5" s="722"/>
      <c r="AB5" s="723"/>
      <c r="AC5" s="721" t="s">
        <v>371</v>
      </c>
      <c r="AD5" s="722"/>
      <c r="AE5" s="723"/>
      <c r="AF5" s="715" t="s">
        <v>2</v>
      </c>
      <c r="AG5" s="716"/>
      <c r="AH5" s="717"/>
      <c r="AI5" s="715" t="s">
        <v>256</v>
      </c>
      <c r="AJ5" s="716"/>
      <c r="AK5" s="717"/>
    </row>
    <row r="6" spans="1:37" ht="21" customHeight="1" x14ac:dyDescent="0.3">
      <c r="A6" s="532"/>
      <c r="B6" s="718" t="s">
        <v>161</v>
      </c>
      <c r="C6" s="719"/>
      <c r="D6" s="720"/>
      <c r="E6" s="718" t="s">
        <v>356</v>
      </c>
      <c r="F6" s="719"/>
      <c r="G6" s="720"/>
      <c r="H6" s="718" t="s">
        <v>161</v>
      </c>
      <c r="I6" s="719"/>
      <c r="J6" s="720"/>
      <c r="K6" s="718" t="s">
        <v>162</v>
      </c>
      <c r="L6" s="719"/>
      <c r="M6" s="720"/>
      <c r="N6" s="718" t="s">
        <v>61</v>
      </c>
      <c r="O6" s="719"/>
      <c r="P6" s="720"/>
      <c r="Q6" s="718" t="s">
        <v>63</v>
      </c>
      <c r="R6" s="719"/>
      <c r="S6" s="720"/>
      <c r="T6" s="718" t="s">
        <v>160</v>
      </c>
      <c r="U6" s="719"/>
      <c r="V6" s="720"/>
      <c r="W6" s="718" t="s">
        <v>367</v>
      </c>
      <c r="X6" s="719"/>
      <c r="Y6" s="720"/>
      <c r="Z6" s="718" t="s">
        <v>161</v>
      </c>
      <c r="AA6" s="719"/>
      <c r="AB6" s="720"/>
      <c r="AC6" s="718" t="s">
        <v>161</v>
      </c>
      <c r="AD6" s="719"/>
      <c r="AE6" s="720"/>
      <c r="AF6" s="712" t="s">
        <v>257</v>
      </c>
      <c r="AG6" s="713"/>
      <c r="AH6" s="714"/>
      <c r="AI6" s="712" t="s">
        <v>258</v>
      </c>
      <c r="AJ6" s="713"/>
      <c r="AK6" s="714"/>
    </row>
    <row r="7" spans="1:37" ht="18.75" customHeight="1" x14ac:dyDescent="0.3">
      <c r="A7" s="532"/>
      <c r="B7" s="532"/>
      <c r="C7" s="532"/>
      <c r="D7" s="533" t="s">
        <v>76</v>
      </c>
      <c r="E7" s="532"/>
      <c r="F7" s="532"/>
      <c r="G7" s="533" t="s">
        <v>76</v>
      </c>
      <c r="H7" s="532"/>
      <c r="I7" s="532"/>
      <c r="J7" s="533" t="s">
        <v>76</v>
      </c>
      <c r="K7" s="532"/>
      <c r="L7" s="532"/>
      <c r="M7" s="533" t="s">
        <v>76</v>
      </c>
      <c r="N7" s="532"/>
      <c r="O7" s="532"/>
      <c r="P7" s="533" t="s">
        <v>76</v>
      </c>
      <c r="Q7" s="532"/>
      <c r="R7" s="532"/>
      <c r="S7" s="533" t="s">
        <v>76</v>
      </c>
      <c r="T7" s="532"/>
      <c r="U7" s="532"/>
      <c r="V7" s="533" t="s">
        <v>76</v>
      </c>
      <c r="W7" s="532"/>
      <c r="X7" s="532"/>
      <c r="Y7" s="533" t="s">
        <v>76</v>
      </c>
      <c r="Z7" s="532"/>
      <c r="AA7" s="532"/>
      <c r="AB7" s="533" t="s">
        <v>76</v>
      </c>
      <c r="AC7" s="532"/>
      <c r="AD7" s="532"/>
      <c r="AE7" s="533" t="s">
        <v>76</v>
      </c>
      <c r="AF7" s="532"/>
      <c r="AG7" s="532"/>
      <c r="AH7" s="533" t="s">
        <v>76</v>
      </c>
      <c r="AI7" s="532"/>
      <c r="AJ7" s="532"/>
      <c r="AK7" s="533" t="s">
        <v>76</v>
      </c>
    </row>
    <row r="8" spans="1:37" ht="18.75" customHeight="1" x14ac:dyDescent="0.25">
      <c r="A8" s="534" t="s">
        <v>259</v>
      </c>
      <c r="B8" s="503">
        <v>2023</v>
      </c>
      <c r="C8" s="503">
        <v>2024</v>
      </c>
      <c r="D8" s="535" t="s">
        <v>78</v>
      </c>
      <c r="E8" s="503">
        <f>$B$8</f>
        <v>2023</v>
      </c>
      <c r="F8" s="503">
        <f>$C$8</f>
        <v>2024</v>
      </c>
      <c r="G8" s="535" t="s">
        <v>78</v>
      </c>
      <c r="H8" s="503">
        <f>$B$8</f>
        <v>2023</v>
      </c>
      <c r="I8" s="503">
        <f>$C$8</f>
        <v>2024</v>
      </c>
      <c r="J8" s="535" t="s">
        <v>78</v>
      </c>
      <c r="K8" s="503">
        <f>$B$8</f>
        <v>2023</v>
      </c>
      <c r="L8" s="503">
        <f>$C$8</f>
        <v>2024</v>
      </c>
      <c r="M8" s="535" t="s">
        <v>78</v>
      </c>
      <c r="N8" s="503">
        <f>$B$8</f>
        <v>2023</v>
      </c>
      <c r="O8" s="503">
        <f>$C$8</f>
        <v>2024</v>
      </c>
      <c r="P8" s="535" t="s">
        <v>78</v>
      </c>
      <c r="Q8" s="503">
        <f>$B$8</f>
        <v>2023</v>
      </c>
      <c r="R8" s="503">
        <f>$C$8</f>
        <v>2024</v>
      </c>
      <c r="S8" s="535" t="s">
        <v>78</v>
      </c>
      <c r="T8" s="503">
        <f>$B$8</f>
        <v>2023</v>
      </c>
      <c r="U8" s="503">
        <f>$C$8</f>
        <v>2024</v>
      </c>
      <c r="V8" s="535" t="s">
        <v>78</v>
      </c>
      <c r="W8" s="503">
        <f>$B$8</f>
        <v>2023</v>
      </c>
      <c r="X8" s="503">
        <f>$C$8</f>
        <v>2024</v>
      </c>
      <c r="Y8" s="535" t="s">
        <v>78</v>
      </c>
      <c r="Z8" s="503">
        <f>$B$8</f>
        <v>2023</v>
      </c>
      <c r="AA8" s="503">
        <f>$C$8</f>
        <v>2024</v>
      </c>
      <c r="AB8" s="535" t="s">
        <v>78</v>
      </c>
      <c r="AC8" s="503">
        <f>$B$8</f>
        <v>2023</v>
      </c>
      <c r="AD8" s="503">
        <f>$C$8</f>
        <v>2024</v>
      </c>
      <c r="AE8" s="535" t="s">
        <v>78</v>
      </c>
      <c r="AF8" s="503">
        <f>$B$8</f>
        <v>2023</v>
      </c>
      <c r="AG8" s="503">
        <f>$C$8</f>
        <v>2024</v>
      </c>
      <c r="AH8" s="535" t="s">
        <v>78</v>
      </c>
      <c r="AI8" s="503">
        <f>$B$8</f>
        <v>2023</v>
      </c>
      <c r="AJ8" s="503">
        <f>$C$8</f>
        <v>2024</v>
      </c>
      <c r="AK8" s="535" t="s">
        <v>78</v>
      </c>
    </row>
    <row r="9" spans="1:37" ht="18.75" customHeight="1" x14ac:dyDescent="0.3">
      <c r="A9" s="532" t="s">
        <v>260</v>
      </c>
      <c r="B9" s="626"/>
      <c r="C9" s="461"/>
      <c r="D9" s="463"/>
      <c r="E9" s="626"/>
      <c r="F9" s="461"/>
      <c r="G9" s="463"/>
      <c r="H9" s="626"/>
      <c r="I9" s="461"/>
      <c r="J9" s="463"/>
      <c r="K9" s="626"/>
      <c r="L9" s="461"/>
      <c r="M9" s="461"/>
      <c r="N9" s="656"/>
      <c r="O9" s="463"/>
      <c r="P9" s="463"/>
      <c r="Q9" s="626"/>
      <c r="R9" s="461"/>
      <c r="S9" s="463"/>
      <c r="T9" s="656"/>
      <c r="U9" s="463"/>
      <c r="V9" s="463"/>
      <c r="W9" s="626"/>
      <c r="X9" s="461"/>
      <c r="Y9" s="463"/>
      <c r="Z9" s="626"/>
      <c r="AA9" s="461"/>
      <c r="AB9" s="463"/>
      <c r="AC9" s="626"/>
      <c r="AD9" s="461"/>
      <c r="AE9" s="463"/>
      <c r="AF9" s="463"/>
      <c r="AG9" s="463"/>
      <c r="AH9" s="463"/>
      <c r="AI9" s="536"/>
      <c r="AJ9" s="536"/>
      <c r="AK9" s="536"/>
    </row>
    <row r="10" spans="1:37" s="429" customFormat="1" ht="18.75" customHeight="1" x14ac:dyDescent="0.3">
      <c r="A10" s="530" t="s">
        <v>380</v>
      </c>
      <c r="B10" s="90"/>
      <c r="C10" s="674"/>
      <c r="D10" s="322"/>
      <c r="E10" s="537"/>
      <c r="F10" s="414"/>
      <c r="G10" s="322"/>
      <c r="H10" s="537"/>
      <c r="I10" s="414"/>
      <c r="J10" s="322"/>
      <c r="K10" s="537"/>
      <c r="L10" s="414"/>
      <c r="M10" s="414"/>
      <c r="N10" s="538"/>
      <c r="O10" s="322"/>
      <c r="P10" s="322"/>
      <c r="Q10" s="537"/>
      <c r="R10" s="414"/>
      <c r="S10" s="322"/>
      <c r="T10" s="538"/>
      <c r="U10" s="322"/>
      <c r="V10" s="322"/>
      <c r="W10" s="537"/>
      <c r="X10" s="414"/>
      <c r="Y10" s="322"/>
      <c r="Z10" s="537"/>
      <c r="AA10" s="414"/>
      <c r="AB10" s="322"/>
      <c r="AC10" s="537"/>
      <c r="AD10" s="414"/>
      <c r="AE10" s="322"/>
      <c r="AF10" s="322"/>
      <c r="AG10" s="322"/>
      <c r="AH10" s="322"/>
      <c r="AI10" s="539"/>
      <c r="AJ10" s="539"/>
      <c r="AK10" s="539"/>
    </row>
    <row r="11" spans="1:37" s="429" customFormat="1" ht="18.75" customHeight="1" x14ac:dyDescent="0.3">
      <c r="A11" s="530" t="s">
        <v>261</v>
      </c>
      <c r="B11" s="538">
        <v>5127.5727535599999</v>
      </c>
      <c r="C11" s="322">
        <v>5413.7453947900003</v>
      </c>
      <c r="D11" s="322">
        <f t="shared" ref="D11:D17" si="0">IF(B11=0, "    ---- ", IF(ABS(ROUND(100/B11*C11-100,1))&lt;999,ROUND(100/B11*C11-100,1),IF(ROUND(100/B11*C11-100,1)&gt;999,999,-999)))</f>
        <v>5.6</v>
      </c>
      <c r="E11" s="538">
        <v>1073.0959974</v>
      </c>
      <c r="F11" s="322">
        <v>1150.1115065399999</v>
      </c>
      <c r="G11" s="322">
        <f t="shared" ref="G11:G17" si="1">IF(E11=0, "    ---- ", IF(ABS(ROUND(100/E11*F11-100,1))&lt;999,ROUND(100/E11*F11-100,1),IF(ROUND(100/E11*F11-100,1)&gt;999,999,-999)))</f>
        <v>7.2</v>
      </c>
      <c r="H11" s="538">
        <v>674.995</v>
      </c>
      <c r="I11" s="322">
        <v>758.34500000000003</v>
      </c>
      <c r="J11" s="322">
        <f t="shared" ref="J11:J15" si="2">IF(H11=0, "    ---- ", IF(ABS(ROUND(100/H11*I11-100,1))&lt;999,ROUND(100/H11*I11-100,1),IF(ROUND(100/H11*I11-100,1)&gt;999,999,-999)))</f>
        <v>12.3</v>
      </c>
      <c r="K11" s="538">
        <v>1708</v>
      </c>
      <c r="L11" s="322">
        <v>1956</v>
      </c>
      <c r="M11" s="322">
        <f t="shared" ref="M11:M17" si="3">IF(K11=0, "    ---- ", IF(ABS(ROUND(100/K11*L11-100,1))&lt;999,ROUND(100/K11*L11-100,1),IF(ROUND(100/K11*L11-100,1)&gt;999,999,-999)))</f>
        <v>14.5</v>
      </c>
      <c r="N11" s="538">
        <v>7572.3346326800001</v>
      </c>
      <c r="O11" s="322">
        <v>7841.8137909099996</v>
      </c>
      <c r="P11" s="322">
        <f t="shared" ref="P11:P17" si="4">IF(N11=0, "    ---- ", IF(ABS(ROUND(100/N11*O11-100,1))&lt;999,ROUND(100/N11*O11-100,1),IF(ROUND(100/N11*O11-100,1)&gt;999,999,-999)))</f>
        <v>3.6</v>
      </c>
      <c r="Q11" s="538">
        <v>4813.2438217500003</v>
      </c>
      <c r="R11" s="322">
        <v>6125.6567999999997</v>
      </c>
      <c r="S11" s="322">
        <f t="shared" ref="S11:S17" si="5">IF(Q11=0, "    ---- ", IF(ABS(ROUND(100/Q11*R11-100,1))&lt;999,ROUND(100/Q11*R11-100,1),IF(ROUND(100/Q11*R11-100,1)&gt;999,999,-999)))</f>
        <v>27.3</v>
      </c>
      <c r="T11" s="538">
        <v>1068</v>
      </c>
      <c r="U11" s="322">
        <v>908</v>
      </c>
      <c r="V11" s="322">
        <f t="shared" ref="V11:V17" si="6">IF(T11=0, "    ---- ", IF(ABS(ROUND(100/T11*U11-100,1))&lt;999,ROUND(100/T11*U11-100,1),IF(ROUND(100/T11*U11-100,1)&gt;999,999,-999)))</f>
        <v>-15</v>
      </c>
      <c r="W11" s="538">
        <v>1996.59005673</v>
      </c>
      <c r="X11" s="322">
        <v>2122.3642050999997</v>
      </c>
      <c r="Y11" s="322">
        <f t="shared" ref="Y11:Y17" si="7">IF(W11=0, "    ---- ", IF(ABS(ROUND(100/W11*X11-100,1))&lt;999,ROUND(100/W11*X11-100,1),IF(ROUND(100/W11*X11-100,1)&gt;999,999,-999)))</f>
        <v>6.3</v>
      </c>
      <c r="Z11" s="538">
        <v>7370</v>
      </c>
      <c r="AA11" s="322">
        <v>7282.7130262300016</v>
      </c>
      <c r="AB11" s="322">
        <f t="shared" ref="AB11:AB17" si="8">IF(Z11=0, "    ---- ", IF(ABS(ROUND(100/Z11*AA11-100,1))&lt;999,ROUND(100/Z11*AA11-100,1),IF(ROUND(100/Z11*AA11-100,1)&gt;999,999,-999)))</f>
        <v>-1.2</v>
      </c>
      <c r="AC11" s="538">
        <v>2</v>
      </c>
      <c r="AD11" s="322">
        <v>56</v>
      </c>
      <c r="AE11" s="322">
        <f t="shared" ref="AE11:AE14" si="9">IF(AC11=0, "    ---- ", IF(ABS(ROUND(100/AC11*AD11-100,1))&lt;999,ROUND(100/AC11*AD11-100,1),IF(ROUND(100/AC11*AD11-100,1)&gt;999,999,-999)))</f>
        <v>999</v>
      </c>
      <c r="AF11" s="322">
        <f>B11+E11+H11+K11+N11+Q11+T11+W11+Z11</f>
        <v>31403.832262120002</v>
      </c>
      <c r="AG11" s="322">
        <f>C11+F11+I11+L11+O11+R11+U11+X11+AA11</f>
        <v>33558.749723569999</v>
      </c>
      <c r="AH11" s="322">
        <f t="shared" ref="AH11:AH46" si="10">IF(AF11=0, "    ---- ", IF(ABS(ROUND(100/AF11*AG11-100,1))&lt;999,ROUND(100/AF11*AG11-100,1),IF(ROUND(100/AF11*AG11-100,1)&gt;999,999,-999)))</f>
        <v>6.9</v>
      </c>
      <c r="AI11" s="417">
        <f t="shared" ref="AI11:AI12" si="11">B11+E11+H11+K11+N11+Q11+T11+W11+Z11+AC11</f>
        <v>31405.832262120002</v>
      </c>
      <c r="AJ11" s="417">
        <f t="shared" ref="AJ11:AJ12" si="12">C11+F11+I11+L11+O11+R11+U11+X11+AA11+AD11</f>
        <v>33614.749723569999</v>
      </c>
      <c r="AK11" s="322">
        <f t="shared" ref="AK11:AK17" si="13">IF(AI11=0, "    ---- ", IF(ABS(ROUND(100/AI11*AJ11-100,1))&lt;999,ROUND(100/AI11*AJ11-100,1),IF(ROUND(100/AI11*AJ11-100,1)&gt;999,999,-999)))</f>
        <v>7</v>
      </c>
    </row>
    <row r="12" spans="1:37" s="429" customFormat="1" ht="18.75" customHeight="1" x14ac:dyDescent="0.3">
      <c r="A12" s="530" t="s">
        <v>262</v>
      </c>
      <c r="B12" s="538">
        <v>-152.31609930000002</v>
      </c>
      <c r="C12" s="322">
        <v>-115.2985956</v>
      </c>
      <c r="D12" s="322">
        <f t="shared" si="0"/>
        <v>-24.3</v>
      </c>
      <c r="E12" s="538">
        <v>-13.678208830000001</v>
      </c>
      <c r="F12" s="322">
        <v>-6.9905409700000005</v>
      </c>
      <c r="G12" s="322">
        <f t="shared" si="1"/>
        <v>-48.9</v>
      </c>
      <c r="H12" s="538">
        <v>-8.1769999999999996</v>
      </c>
      <c r="I12" s="322">
        <v>-5.7720000000000002</v>
      </c>
      <c r="J12" s="322">
        <f t="shared" si="2"/>
        <v>-29.4</v>
      </c>
      <c r="K12" s="538">
        <v>-30</v>
      </c>
      <c r="L12" s="322">
        <v>-33</v>
      </c>
      <c r="M12" s="322">
        <f t="shared" si="3"/>
        <v>10</v>
      </c>
      <c r="N12" s="538"/>
      <c r="O12" s="322"/>
      <c r="P12" s="322"/>
      <c r="Q12" s="538">
        <v>-35.08</v>
      </c>
      <c r="R12" s="322">
        <v>-27.98</v>
      </c>
      <c r="S12" s="322">
        <f t="shared" si="5"/>
        <v>-20.2</v>
      </c>
      <c r="T12" s="538"/>
      <c r="U12" s="322"/>
      <c r="V12" s="322"/>
      <c r="W12" s="538">
        <v>-1.94</v>
      </c>
      <c r="X12" s="322">
        <v>-2.2170000000000001</v>
      </c>
      <c r="Y12" s="322">
        <f t="shared" si="7"/>
        <v>14.3</v>
      </c>
      <c r="Z12" s="538">
        <v>-29</v>
      </c>
      <c r="AA12" s="322">
        <v>-11.100668399999998</v>
      </c>
      <c r="AB12" s="322">
        <f t="shared" si="8"/>
        <v>-61.7</v>
      </c>
      <c r="AC12" s="538">
        <v>-1</v>
      </c>
      <c r="AD12" s="322">
        <v>-7</v>
      </c>
      <c r="AE12" s="322">
        <f t="shared" si="9"/>
        <v>600</v>
      </c>
      <c r="AF12" s="322">
        <f t="shared" ref="AF12:AG35" si="14">B12+E12+H12+K12+N12+Q12+T12+W12+Z12</f>
        <v>-270.19130812999998</v>
      </c>
      <c r="AG12" s="322">
        <f t="shared" si="14"/>
        <v>-202.35880496999999</v>
      </c>
      <c r="AH12" s="322">
        <f t="shared" si="10"/>
        <v>-25.1</v>
      </c>
      <c r="AI12" s="417">
        <f t="shared" si="11"/>
        <v>-271.19130812999998</v>
      </c>
      <c r="AJ12" s="417">
        <f t="shared" si="12"/>
        <v>-209.35880496999999</v>
      </c>
      <c r="AK12" s="322">
        <f t="shared" si="13"/>
        <v>-22.8</v>
      </c>
    </row>
    <row r="13" spans="1:37" s="429" customFormat="1" ht="18.75" customHeight="1" x14ac:dyDescent="0.3">
      <c r="A13" s="530" t="s">
        <v>381</v>
      </c>
      <c r="B13" s="538">
        <v>3034.6358938799995</v>
      </c>
      <c r="C13" s="322">
        <v>3860.8843554099999</v>
      </c>
      <c r="D13" s="322">
        <f t="shared" si="0"/>
        <v>27.2</v>
      </c>
      <c r="E13" s="538"/>
      <c r="F13" s="322"/>
      <c r="G13" s="322"/>
      <c r="H13" s="538"/>
      <c r="I13" s="322"/>
      <c r="J13" s="322"/>
      <c r="K13" s="538">
        <v>2969</v>
      </c>
      <c r="L13" s="322">
        <v>2267</v>
      </c>
      <c r="M13" s="322">
        <f t="shared" si="3"/>
        <v>-23.6</v>
      </c>
      <c r="N13" s="538">
        <v>91.093686000000005</v>
      </c>
      <c r="O13" s="322"/>
      <c r="P13" s="322">
        <f t="shared" si="4"/>
        <v>-100</v>
      </c>
      <c r="Q13" s="538">
        <v>2076.33</v>
      </c>
      <c r="R13" s="322">
        <v>2882.6</v>
      </c>
      <c r="S13" s="322">
        <f t="shared" si="5"/>
        <v>38.799999999999997</v>
      </c>
      <c r="T13" s="538"/>
      <c r="U13" s="322"/>
      <c r="V13" s="322"/>
      <c r="W13" s="538">
        <v>1244.1698677700006</v>
      </c>
      <c r="X13" s="322">
        <v>1452.4735717600001</v>
      </c>
      <c r="Y13" s="322">
        <f t="shared" si="7"/>
        <v>16.7</v>
      </c>
      <c r="Z13" s="538">
        <v>3997</v>
      </c>
      <c r="AA13" s="322">
        <v>6115.1251916000001</v>
      </c>
      <c r="AB13" s="322">
        <f t="shared" si="8"/>
        <v>53</v>
      </c>
      <c r="AC13" s="538"/>
      <c r="AD13" s="322">
        <v>2</v>
      </c>
      <c r="AE13" s="322" t="str">
        <f t="shared" si="9"/>
        <v xml:space="preserve">    ---- </v>
      </c>
      <c r="AF13" s="322">
        <f t="shared" si="14"/>
        <v>13412.229447649999</v>
      </c>
      <c r="AG13" s="322">
        <f t="shared" si="14"/>
        <v>16578.083118770002</v>
      </c>
      <c r="AH13" s="322">
        <f t="shared" si="10"/>
        <v>23.6</v>
      </c>
      <c r="AI13" s="417">
        <f>B13+E13+H13+K13+N13+Q13+T13+W13+Z13+AC13</f>
        <v>13412.229447649999</v>
      </c>
      <c r="AJ13" s="417">
        <f>C13+F13+I13+L13+O13+R13+U13+X13+AA13+AD13</f>
        <v>16580.083118770002</v>
      </c>
      <c r="AK13" s="322">
        <f t="shared" si="13"/>
        <v>23.6</v>
      </c>
    </row>
    <row r="14" spans="1:37" s="429" customFormat="1" ht="18.75" customHeight="1" x14ac:dyDescent="0.3">
      <c r="A14" s="530" t="s">
        <v>263</v>
      </c>
      <c r="B14" s="537">
        <f>SUM(B11:B13)</f>
        <v>8009.8925481399992</v>
      </c>
      <c r="C14" s="414">
        <f>SUM(C11:C13)</f>
        <v>9159.3311546000004</v>
      </c>
      <c r="D14" s="322">
        <f t="shared" si="0"/>
        <v>14.4</v>
      </c>
      <c r="E14" s="537">
        <f>SUM(E11:E13)</f>
        <v>1059.4177885700001</v>
      </c>
      <c r="F14" s="414">
        <f>SUM(F11:F13)</f>
        <v>1143.12096557</v>
      </c>
      <c r="G14" s="322">
        <f t="shared" si="1"/>
        <v>7.9</v>
      </c>
      <c r="H14" s="537">
        <f>SUM(H11:H13)</f>
        <v>666.81799999999998</v>
      </c>
      <c r="I14" s="414">
        <f>SUM(I11:I13)</f>
        <v>752.57299999999998</v>
      </c>
      <c r="J14" s="322">
        <f t="shared" si="2"/>
        <v>12.9</v>
      </c>
      <c r="K14" s="537">
        <f>SUM(K11:K13)</f>
        <v>4647</v>
      </c>
      <c r="L14" s="414">
        <f>SUM(L11:L13)</f>
        <v>4190</v>
      </c>
      <c r="M14" s="322">
        <f t="shared" si="3"/>
        <v>-9.8000000000000007</v>
      </c>
      <c r="N14" s="537">
        <v>7663.4283186800003</v>
      </c>
      <c r="O14" s="414">
        <f>SUM(O11:O13)</f>
        <v>7841.8137909099996</v>
      </c>
      <c r="P14" s="322">
        <f t="shared" si="4"/>
        <v>2.2999999999999998</v>
      </c>
      <c r="Q14" s="537">
        <f>SUM(Q11:Q13)</f>
        <v>6854.4938217500003</v>
      </c>
      <c r="R14" s="414">
        <f>SUM(R11:R13)</f>
        <v>8980.2767999999996</v>
      </c>
      <c r="S14" s="322">
        <f t="shared" si="5"/>
        <v>31</v>
      </c>
      <c r="T14" s="537">
        <f>SUM(T11:T13)</f>
        <v>1068</v>
      </c>
      <c r="U14" s="414">
        <f>SUM(U11:U13)</f>
        <v>908</v>
      </c>
      <c r="V14" s="322">
        <f t="shared" si="6"/>
        <v>-15</v>
      </c>
      <c r="W14" s="537">
        <f>SUM(W11:W13)</f>
        <v>3238.8199245000005</v>
      </c>
      <c r="X14" s="414">
        <f>SUM(X11:X13)</f>
        <v>3572.6207768599998</v>
      </c>
      <c r="Y14" s="322">
        <f t="shared" si="7"/>
        <v>10.3</v>
      </c>
      <c r="Z14" s="537">
        <f>SUM(Z11:Z13)</f>
        <v>11338</v>
      </c>
      <c r="AA14" s="414">
        <f>SUM(AA11:AA13)</f>
        <v>13386.737549430001</v>
      </c>
      <c r="AB14" s="322">
        <f t="shared" si="8"/>
        <v>18.100000000000001</v>
      </c>
      <c r="AC14" s="537">
        <f>SUM(AC11:AC13)</f>
        <v>1</v>
      </c>
      <c r="AD14" s="414">
        <f>SUM(AD11:AD13)</f>
        <v>51</v>
      </c>
      <c r="AE14" s="322">
        <f t="shared" si="9"/>
        <v>999</v>
      </c>
      <c r="AF14" s="322">
        <f t="shared" si="14"/>
        <v>44545.870401640001</v>
      </c>
      <c r="AG14" s="322">
        <f t="shared" si="14"/>
        <v>49934.474037369997</v>
      </c>
      <c r="AH14" s="322">
        <f t="shared" si="10"/>
        <v>12.1</v>
      </c>
      <c r="AI14" s="417">
        <f t="shared" ref="AI14:AI21" si="15">B14+E14+H14+K14+N14+Q14+T14+W14+Z14+AC14</f>
        <v>44546.870401640001</v>
      </c>
      <c r="AJ14" s="417">
        <f t="shared" ref="AJ14:AJ21" si="16">C14+F14+I14+L14+O14+R14+U14+X14+AA14+AD14</f>
        <v>49985.474037369997</v>
      </c>
      <c r="AK14" s="322">
        <f t="shared" si="13"/>
        <v>12.2</v>
      </c>
    </row>
    <row r="15" spans="1:37" s="429" customFormat="1" ht="18.75" customHeight="1" x14ac:dyDescent="0.3">
      <c r="A15" s="530" t="s">
        <v>264</v>
      </c>
      <c r="B15" s="180">
        <v>2125.7301604600002</v>
      </c>
      <c r="C15" s="417">
        <v>2099.0109061199996</v>
      </c>
      <c r="D15" s="322">
        <f t="shared" si="0"/>
        <v>-1.3</v>
      </c>
      <c r="E15" s="645">
        <v>118.26666369</v>
      </c>
      <c r="F15" s="464">
        <v>131.40442156</v>
      </c>
      <c r="G15" s="322">
        <f t="shared" si="1"/>
        <v>11.1</v>
      </c>
      <c r="H15" s="645">
        <v>24.059000000000001</v>
      </c>
      <c r="I15" s="464">
        <v>29.306000000000001</v>
      </c>
      <c r="J15" s="322">
        <f t="shared" si="2"/>
        <v>21.8</v>
      </c>
      <c r="K15" s="180">
        <v>52</v>
      </c>
      <c r="L15" s="417">
        <v>90</v>
      </c>
      <c r="M15" s="322">
        <f t="shared" si="3"/>
        <v>73.099999999999994</v>
      </c>
      <c r="N15" s="180">
        <v>16275.011707950001</v>
      </c>
      <c r="O15" s="417">
        <v>22085.828653230001</v>
      </c>
      <c r="P15" s="322">
        <f t="shared" si="4"/>
        <v>35.700000000000003</v>
      </c>
      <c r="Q15" s="180">
        <v>611.54547864999995</v>
      </c>
      <c r="R15" s="417">
        <v>744.80399999999997</v>
      </c>
      <c r="S15" s="322">
        <f t="shared" si="5"/>
        <v>21.8</v>
      </c>
      <c r="T15" s="180">
        <v>2681</v>
      </c>
      <c r="U15" s="417">
        <v>3102</v>
      </c>
      <c r="V15" s="322">
        <f t="shared" si="6"/>
        <v>15.7</v>
      </c>
      <c r="W15" s="643">
        <v>479.14729225999992</v>
      </c>
      <c r="X15" s="440">
        <v>417.0062622100001</v>
      </c>
      <c r="Y15" s="322">
        <f t="shared" si="7"/>
        <v>-13</v>
      </c>
      <c r="Z15" s="180">
        <v>2151</v>
      </c>
      <c r="AA15" s="417">
        <v>2853.1622271200013</v>
      </c>
      <c r="AB15" s="322">
        <f t="shared" si="8"/>
        <v>32.6</v>
      </c>
      <c r="AC15" s="180"/>
      <c r="AD15" s="417"/>
      <c r="AE15" s="322"/>
      <c r="AF15" s="322">
        <f t="shared" si="14"/>
        <v>24517.760303010004</v>
      </c>
      <c r="AG15" s="322">
        <f t="shared" si="14"/>
        <v>31552.522470240001</v>
      </c>
      <c r="AH15" s="322">
        <f t="shared" si="10"/>
        <v>28.7</v>
      </c>
      <c r="AI15" s="417">
        <f t="shared" si="15"/>
        <v>24517.760303010004</v>
      </c>
      <c r="AJ15" s="417">
        <f t="shared" si="16"/>
        <v>31552.522470240001</v>
      </c>
      <c r="AK15" s="322">
        <f t="shared" si="13"/>
        <v>28.7</v>
      </c>
    </row>
    <row r="16" spans="1:37" s="429" customFormat="1" ht="18.75" customHeight="1" x14ac:dyDescent="0.3">
      <c r="A16" s="530" t="s">
        <v>265</v>
      </c>
      <c r="B16" s="180">
        <v>6273.9597932099996</v>
      </c>
      <c r="C16" s="417">
        <v>10683.403642310002</v>
      </c>
      <c r="D16" s="322">
        <f t="shared" si="0"/>
        <v>70.3</v>
      </c>
      <c r="E16" s="645"/>
      <c r="F16" s="464"/>
      <c r="G16" s="322"/>
      <c r="H16" s="645"/>
      <c r="I16" s="464"/>
      <c r="J16" s="322"/>
      <c r="K16" s="180">
        <v>2621</v>
      </c>
      <c r="L16" s="417">
        <v>4147</v>
      </c>
      <c r="M16" s="414">
        <f t="shared" si="3"/>
        <v>58.2</v>
      </c>
      <c r="N16" s="180">
        <v>87.538414720000006</v>
      </c>
      <c r="O16" s="417">
        <v>113.19240462</v>
      </c>
      <c r="P16" s="540">
        <f t="shared" si="4"/>
        <v>29.3</v>
      </c>
      <c r="Q16" s="180">
        <v>6656.9155857300002</v>
      </c>
      <c r="R16" s="417">
        <v>9490.1679000000004</v>
      </c>
      <c r="S16" s="322">
        <f t="shared" si="5"/>
        <v>42.6</v>
      </c>
      <c r="T16" s="180"/>
      <c r="U16" s="417"/>
      <c r="V16" s="322"/>
      <c r="W16" s="643">
        <v>2991.5478926699993</v>
      </c>
      <c r="X16" s="440">
        <v>4545.2488839000007</v>
      </c>
      <c r="Y16" s="322">
        <f t="shared" si="7"/>
        <v>51.9</v>
      </c>
      <c r="Z16" s="180">
        <v>8791</v>
      </c>
      <c r="AA16" s="417">
        <v>13788.031872229993</v>
      </c>
      <c r="AB16" s="322">
        <f t="shared" si="8"/>
        <v>56.8</v>
      </c>
      <c r="AC16" s="180"/>
      <c r="AD16" s="417"/>
      <c r="AE16" s="322"/>
      <c r="AF16" s="322">
        <f t="shared" si="14"/>
        <v>27421.96168633</v>
      </c>
      <c r="AG16" s="322">
        <f t="shared" si="14"/>
        <v>42767.044703059997</v>
      </c>
      <c r="AH16" s="322">
        <f t="shared" si="10"/>
        <v>56</v>
      </c>
      <c r="AI16" s="417">
        <f t="shared" si="15"/>
        <v>27421.96168633</v>
      </c>
      <c r="AJ16" s="417">
        <f t="shared" si="16"/>
        <v>42767.044703059997</v>
      </c>
      <c r="AK16" s="322">
        <f t="shared" si="13"/>
        <v>56</v>
      </c>
    </row>
    <row r="17" spans="1:37" s="429" customFormat="1" ht="18.75" customHeight="1" x14ac:dyDescent="0.3">
      <c r="A17" s="530" t="s">
        <v>266</v>
      </c>
      <c r="B17" s="180">
        <v>18.745343010000003</v>
      </c>
      <c r="C17" s="417">
        <v>15.385647859999999</v>
      </c>
      <c r="D17" s="322">
        <f t="shared" si="0"/>
        <v>-17.899999999999999</v>
      </c>
      <c r="E17" s="645">
        <v>2.76329</v>
      </c>
      <c r="F17" s="464">
        <v>3.2182637400000003</v>
      </c>
      <c r="G17" s="322">
        <f t="shared" si="1"/>
        <v>16.5</v>
      </c>
      <c r="H17" s="645"/>
      <c r="I17" s="464"/>
      <c r="J17" s="322"/>
      <c r="K17" s="180">
        <v>63</v>
      </c>
      <c r="L17" s="417">
        <v>74</v>
      </c>
      <c r="M17" s="414">
        <f t="shared" si="3"/>
        <v>17.5</v>
      </c>
      <c r="N17" s="180">
        <v>342.328394</v>
      </c>
      <c r="O17" s="417">
        <v>355.63786099999999</v>
      </c>
      <c r="P17" s="322">
        <f t="shared" si="4"/>
        <v>3.9</v>
      </c>
      <c r="Q17" s="180">
        <v>76.137095049999999</v>
      </c>
      <c r="R17" s="417">
        <v>82.096999999999994</v>
      </c>
      <c r="S17" s="322">
        <f t="shared" si="5"/>
        <v>7.8</v>
      </c>
      <c r="T17" s="180">
        <v>9</v>
      </c>
      <c r="U17" s="417">
        <v>33</v>
      </c>
      <c r="V17" s="322">
        <f t="shared" si="6"/>
        <v>266.7</v>
      </c>
      <c r="W17" s="643">
        <v>83.857706760000042</v>
      </c>
      <c r="X17" s="440">
        <v>88.530777510000007</v>
      </c>
      <c r="Y17" s="322">
        <f t="shared" si="7"/>
        <v>5.6</v>
      </c>
      <c r="Z17" s="180">
        <v>201</v>
      </c>
      <c r="AA17" s="417">
        <v>235.28708249999994</v>
      </c>
      <c r="AB17" s="322">
        <f t="shared" si="8"/>
        <v>17.100000000000001</v>
      </c>
      <c r="AC17" s="180"/>
      <c r="AD17" s="417"/>
      <c r="AE17" s="322"/>
      <c r="AF17" s="322">
        <f t="shared" si="14"/>
        <v>796.83182882000006</v>
      </c>
      <c r="AG17" s="322">
        <f t="shared" si="14"/>
        <v>887.15663260999986</v>
      </c>
      <c r="AH17" s="322">
        <f t="shared" si="10"/>
        <v>11.3</v>
      </c>
      <c r="AI17" s="417">
        <f t="shared" si="15"/>
        <v>796.83182882000006</v>
      </c>
      <c r="AJ17" s="417">
        <f t="shared" si="16"/>
        <v>887.15663260999986</v>
      </c>
      <c r="AK17" s="322">
        <f t="shared" si="13"/>
        <v>11.3</v>
      </c>
    </row>
    <row r="18" spans="1:37" s="429" customFormat="1" ht="18.75" customHeight="1" x14ac:dyDescent="0.3">
      <c r="A18" s="530" t="s">
        <v>267</v>
      </c>
      <c r="B18" s="672"/>
      <c r="C18" s="673"/>
      <c r="D18" s="322"/>
      <c r="E18" s="645"/>
      <c r="F18" s="464"/>
      <c r="G18" s="322"/>
      <c r="H18" s="645"/>
      <c r="I18" s="464"/>
      <c r="J18" s="322"/>
      <c r="K18" s="180"/>
      <c r="L18" s="417"/>
      <c r="M18" s="414"/>
      <c r="N18" s="180"/>
      <c r="O18" s="417"/>
      <c r="P18" s="322"/>
      <c r="Q18" s="627"/>
      <c r="R18" s="441"/>
      <c r="S18" s="322"/>
      <c r="T18" s="180"/>
      <c r="U18" s="417"/>
      <c r="V18" s="322"/>
      <c r="W18" s="643"/>
      <c r="X18" s="440"/>
      <c r="Y18" s="322"/>
      <c r="Z18" s="180"/>
      <c r="AA18" s="417"/>
      <c r="AB18" s="322"/>
      <c r="AC18" s="180"/>
      <c r="AD18" s="417"/>
      <c r="AE18" s="322"/>
      <c r="AF18" s="322">
        <f t="shared" si="14"/>
        <v>0</v>
      </c>
      <c r="AG18" s="322">
        <f t="shared" si="14"/>
        <v>0</v>
      </c>
      <c r="AH18" s="322"/>
      <c r="AI18" s="417">
        <f t="shared" si="15"/>
        <v>0</v>
      </c>
      <c r="AJ18" s="417">
        <f t="shared" si="16"/>
        <v>0</v>
      </c>
      <c r="AK18" s="539"/>
    </row>
    <row r="19" spans="1:37" s="429" customFormat="1" ht="18.75" customHeight="1" x14ac:dyDescent="0.3">
      <c r="A19" s="530" t="s">
        <v>268</v>
      </c>
      <c r="B19" s="537">
        <v>-4041.8932571399996</v>
      </c>
      <c r="C19" s="414">
        <v>-4068.7069141800002</v>
      </c>
      <c r="D19" s="322">
        <f>IF(B19=0, "    ---- ", IF(ABS(ROUND(100/B19*C19-100,1))&lt;999,ROUND(100/B19*C19-100,1),IF(ROUND(100/B19*C19-100,1)&gt;999,999,-999)))</f>
        <v>0.7</v>
      </c>
      <c r="E19" s="537">
        <v>-436.17101266999998</v>
      </c>
      <c r="F19" s="414">
        <v>-468.75172418999995</v>
      </c>
      <c r="G19" s="322">
        <f>IF(E19=0, "    ---- ", IF(ABS(ROUND(100/E19*F19-100,1))&lt;999,ROUND(100/E19*F19-100,1),IF(ROUND(100/E19*F19-100,1)&gt;999,999,-999)))</f>
        <v>7.5</v>
      </c>
      <c r="H19" s="537">
        <v>-35.137999999999998</v>
      </c>
      <c r="I19" s="414">
        <v>-40.069000000000003</v>
      </c>
      <c r="J19" s="322">
        <f>IF(H19=0, "    ---- ", IF(ABS(ROUND(100/H19*I19-100,1))&lt;999,ROUND(100/H19*I19-100,1),IF(ROUND(100/H19*I19-100,1)&gt;999,999,-999)))</f>
        <v>14</v>
      </c>
      <c r="K19" s="537">
        <v>-252</v>
      </c>
      <c r="L19" s="414">
        <v>-309</v>
      </c>
      <c r="M19" s="322">
        <f>IF(K19=0, "    ---- ", IF(ABS(ROUND(100/K19*L19-100,1))&lt;999,ROUND(100/K19*L19-100,1),IF(ROUND(100/K19*L19-100,1)&gt;999,999,-999)))</f>
        <v>22.6</v>
      </c>
      <c r="N19" s="537">
        <v>-6205.6940290000002</v>
      </c>
      <c r="O19" s="414">
        <v>-6809.4731871000004</v>
      </c>
      <c r="P19" s="322">
        <f>IF(N19=0, "    ---- ", IF(ABS(ROUND(100/N19*O19-100,1))&lt;999,ROUND(100/N19*O19-100,1),IF(ROUND(100/N19*O19-100,1)&gt;999,999,-999)))</f>
        <v>9.6999999999999993</v>
      </c>
      <c r="Q19" s="537">
        <v>-2276.7431111700007</v>
      </c>
      <c r="R19" s="414">
        <v>-2384.5938000000001</v>
      </c>
      <c r="S19" s="322">
        <f>IF(Q19=0, "    ---- ", IF(ABS(ROUND(100/Q19*R19-100,1))&lt;999,ROUND(100/Q19*R19-100,1),IF(ROUND(100/Q19*R19-100,1)&gt;999,999,-999)))</f>
        <v>4.7</v>
      </c>
      <c r="T19" s="537">
        <v>-872</v>
      </c>
      <c r="U19" s="414">
        <v>-913</v>
      </c>
      <c r="V19" s="322">
        <f>IF(T19=0, "    ---- ", IF(ABS(ROUND(100/T19*U19-100,1))&lt;999,ROUND(100/T19*U19-100,1),IF(ROUND(100/T19*U19-100,1)&gt;999,999,-999)))</f>
        <v>4.7</v>
      </c>
      <c r="W19" s="644">
        <v>-451.29129750999999</v>
      </c>
      <c r="X19" s="442">
        <v>-515.37711950999994</v>
      </c>
      <c r="Y19" s="322">
        <f>IF(W19=0, "    ---- ", IF(ABS(ROUND(100/W19*X19-100,1))&lt;999,ROUND(100/W19*X19-100,1),IF(ROUND(100/W19*X19-100,1)&gt;999,999,-999)))</f>
        <v>14.2</v>
      </c>
      <c r="Z19" s="537">
        <f>-3761+10</f>
        <v>-3751</v>
      </c>
      <c r="AA19" s="414">
        <f>-3936.90614467+1.98229727</f>
        <v>-3934.9238473999999</v>
      </c>
      <c r="AB19" s="322">
        <f>IF(Z19=0, "    ---- ", IF(ABS(ROUND(100/Z19*AA19-100,1))&lt;999,ROUND(100/Z19*AA19-100,1),IF(ROUND(100/Z19*AA19-100,1)&gt;999,999,-999)))</f>
        <v>4.9000000000000004</v>
      </c>
      <c r="AC19" s="537"/>
      <c r="AD19" s="414">
        <v>-1</v>
      </c>
      <c r="AE19" s="322" t="str">
        <f>IF(AC19=0, "    ---- ", IF(ABS(ROUND(100/AC19*AD19-100,1))&lt;999,ROUND(100/AC19*AD19-100,1),IF(ROUND(100/AC19*AD19-100,1)&gt;999,999,-999)))</f>
        <v xml:space="preserve">    ---- </v>
      </c>
      <c r="AF19" s="322">
        <f t="shared" si="14"/>
        <v>-18321.930707489999</v>
      </c>
      <c r="AG19" s="322">
        <f t="shared" si="14"/>
        <v>-19443.895592380002</v>
      </c>
      <c r="AH19" s="322">
        <f t="shared" si="10"/>
        <v>6.1</v>
      </c>
      <c r="AI19" s="417">
        <f t="shared" si="15"/>
        <v>-18321.930707489999</v>
      </c>
      <c r="AJ19" s="417">
        <f t="shared" si="16"/>
        <v>-19444.895592380002</v>
      </c>
      <c r="AK19" s="322">
        <f>IF(AI19=0, "    ---- ", IF(ABS(ROUND(100/AI19*AJ19-100,1))&lt;999,ROUND(100/AI19*AJ19-100,1),IF(ROUND(100/AI19*AJ19-100,1)&gt;999,999,-999)))</f>
        <v>6.1</v>
      </c>
    </row>
    <row r="20" spans="1:37" s="429" customFormat="1" ht="18.75" x14ac:dyDescent="0.3">
      <c r="A20" s="670" t="s">
        <v>417</v>
      </c>
      <c r="B20" s="538">
        <v>-3944.9635093899997</v>
      </c>
      <c r="C20" s="322">
        <v>-4649.5248187799998</v>
      </c>
      <c r="D20" s="322">
        <f>IF(B20=0, "    ---- ", IF(ABS(ROUND(100/B20*C20-100,1))&lt;999,ROUND(100/B20*C20-100,1),IF(ROUND(100/B20*C20-100,1)&gt;999,999,-999)))</f>
        <v>17.899999999999999</v>
      </c>
      <c r="E20" s="538">
        <v>34.664757600000002</v>
      </c>
      <c r="F20" s="322">
        <v>26.86250076</v>
      </c>
      <c r="G20" s="322">
        <f>IF(E20=0, "    ---- ", IF(ABS(ROUND(100/E20*F20-100,1))&lt;999,ROUND(100/E20*F20-100,1),IF(ROUND(100/E20*F20-100,1)&gt;999,999,-999)))</f>
        <v>-22.5</v>
      </c>
      <c r="H20" s="538"/>
      <c r="I20" s="322"/>
      <c r="J20" s="322"/>
      <c r="K20" s="538">
        <v>-1311</v>
      </c>
      <c r="L20" s="322">
        <v>-1812</v>
      </c>
      <c r="M20" s="322">
        <f>IF(K20=0, "    ---- ", IF(ABS(ROUND(100/K20*L20-100,1))&lt;999,ROUND(100/K20*L20-100,1),IF(ROUND(100/K20*L20-100,1)&gt;999,999,-999)))</f>
        <v>38.200000000000003</v>
      </c>
      <c r="N20" s="538">
        <v>-2125.4618180000002</v>
      </c>
      <c r="O20" s="322">
        <v>-2455.5312260000001</v>
      </c>
      <c r="P20" s="322">
        <f>IF(N20=0, "    ---- ", IF(ABS(ROUND(100/N20*O20-100,1))&lt;999,ROUND(100/N20*O20-100,1),IF(ROUND(100/N20*O20-100,1)&gt;999,999,-999)))</f>
        <v>15.5</v>
      </c>
      <c r="Q20" s="628">
        <v>-2697</v>
      </c>
      <c r="R20" s="443">
        <v>-3683</v>
      </c>
      <c r="S20" s="322">
        <f>IF(Q20=0, "    ---- ", IF(ABS(ROUND(100/Q20*R20-100,1))&lt;999,ROUND(100/Q20*R20-100,1),IF(ROUND(100/Q20*R20-100,1)&gt;999,999,-999)))</f>
        <v>36.6</v>
      </c>
      <c r="T20" s="628"/>
      <c r="U20" s="443">
        <v>-121</v>
      </c>
      <c r="V20" s="322" t="str">
        <f>IF(T20=0, "    ---- ", IF(ABS(ROUND(100/T20*U20-100,1))&lt;999,ROUND(100/T20*U20-100,1),IF(ROUND(100/T20*U20-100,1)&gt;999,999,-999)))</f>
        <v xml:space="preserve">    ---- </v>
      </c>
      <c r="W20" s="628">
        <v>-1766.0420077900003</v>
      </c>
      <c r="X20" s="443">
        <v>-1756.7995381400003</v>
      </c>
      <c r="Y20" s="322">
        <f>IF(W20=0, "    ---- ", IF(ABS(ROUND(100/W20*X20-100,1))&lt;999,ROUND(100/W20*X20-100,1),IF(ROUND(100/W20*X20-100,1)&gt;999,999,-999)))</f>
        <v>-0.5</v>
      </c>
      <c r="Z20" s="538">
        <v>-3484</v>
      </c>
      <c r="AA20" s="322">
        <v>-3638.4533758100001</v>
      </c>
      <c r="AB20" s="322">
        <f>IF(Z20=0, "    ---- ", IF(ABS(ROUND(100/Z20*AA20-100,1))&lt;999,ROUND(100/Z20*AA20-100,1),IF(ROUND(100/Z20*AA20-100,1)&gt;999,999,-999)))</f>
        <v>4.4000000000000004</v>
      </c>
      <c r="AC20" s="538"/>
      <c r="AD20" s="322">
        <v>-2</v>
      </c>
      <c r="AE20" s="322" t="str">
        <f>IF(AC20=0, "    ---- ", IF(ABS(ROUND(100/AC20*AD20-100,1))&lt;999,ROUND(100/AC20*AD20-100,1),IF(ROUND(100/AC20*AD20-100,1)&gt;999,999,-999)))</f>
        <v xml:space="preserve">    ---- </v>
      </c>
      <c r="AF20" s="322">
        <f t="shared" si="14"/>
        <v>-15293.80257758</v>
      </c>
      <c r="AG20" s="322">
        <f t="shared" si="14"/>
        <v>-18089.44645797</v>
      </c>
      <c r="AH20" s="322">
        <f>IF(AF20=0, "    ---- ", IF(ABS(ROUND(100/AF20*AG20-100,1))&lt;999,ROUND(100/AF20*AG20-100,1),IF(ROUND(100/AF20*AG20-100,1)&gt;999,999,-999)))</f>
        <v>18.3</v>
      </c>
      <c r="AI20" s="417">
        <f t="shared" si="15"/>
        <v>-15293.80257758</v>
      </c>
      <c r="AJ20" s="417">
        <f t="shared" si="16"/>
        <v>-18091.44645797</v>
      </c>
      <c r="AK20" s="322">
        <f>IF(AI20=0, "    ---- ", IF(ABS(ROUND(100/AI20*AJ20-100,1))&lt;999,ROUND(100/AI20*AJ20-100,1),IF(ROUND(100/AI20*AJ20-100,1)&gt;999,999,-999)))</f>
        <v>18.3</v>
      </c>
    </row>
    <row r="21" spans="1:37" s="429" customFormat="1" ht="18.75" customHeight="1" x14ac:dyDescent="0.3">
      <c r="A21" s="530" t="s">
        <v>269</v>
      </c>
      <c r="B21" s="537">
        <f>SUM(B19:B20)</f>
        <v>-7986.8567665299997</v>
      </c>
      <c r="C21" s="414">
        <f>SUM(C19:C20)</f>
        <v>-8718.231732960001</v>
      </c>
      <c r="D21" s="322">
        <f>IF(B21=0, "    ---- ", IF(ABS(ROUND(100/B21*C21-100,1))&lt;999,ROUND(100/B21*C21-100,1),IF(ROUND(100/B21*C21-100,1)&gt;999,999,-999)))</f>
        <v>9.1999999999999993</v>
      </c>
      <c r="E21" s="537">
        <f>SUM(E19:E20)</f>
        <v>-401.50625506999995</v>
      </c>
      <c r="F21" s="414">
        <f>SUM(F19:F20)</f>
        <v>-441.88922342999996</v>
      </c>
      <c r="G21" s="322">
        <f>IF(E21=0, "    ---- ", IF(ABS(ROUND(100/E21*F21-100,1))&lt;999,ROUND(100/E21*F21-100,1),IF(ROUND(100/E21*F21-100,1)&gt;999,999,-999)))</f>
        <v>10.1</v>
      </c>
      <c r="H21" s="537">
        <f>SUM(H19:H20)</f>
        <v>-35.137999999999998</v>
      </c>
      <c r="I21" s="414">
        <f>SUM(I19:I20)</f>
        <v>-40.069000000000003</v>
      </c>
      <c r="J21" s="322">
        <f>IF(H21=0, "    ---- ", IF(ABS(ROUND(100/H21*I21-100,1))&lt;999,ROUND(100/H21*I21-100,1),IF(ROUND(100/H21*I21-100,1)&gt;999,999,-999)))</f>
        <v>14</v>
      </c>
      <c r="K21" s="537">
        <f>SUM(K19:K20)</f>
        <v>-1563</v>
      </c>
      <c r="L21" s="414">
        <f>SUM(L19:L20)</f>
        <v>-2121</v>
      </c>
      <c r="M21" s="322">
        <f>IF(K21=0, "    ---- ", IF(ABS(ROUND(100/K21*L21-100,1))&lt;999,ROUND(100/K21*L21-100,1),IF(ROUND(100/K21*L21-100,1)&gt;999,999,-999)))</f>
        <v>35.700000000000003</v>
      </c>
      <c r="N21" s="537">
        <v>-8331.155847</v>
      </c>
      <c r="O21" s="414">
        <f>SUM(O19:O20)</f>
        <v>-9265.0044130999995</v>
      </c>
      <c r="P21" s="322">
        <f>IF(N21=0, "    ---- ", IF(ABS(ROUND(100/N21*O21-100,1))&lt;999,ROUND(100/N21*O21-100,1),IF(ROUND(100/N21*O21-100,1)&gt;999,999,-999)))</f>
        <v>11.2</v>
      </c>
      <c r="Q21" s="537">
        <f>SUM(Q19:Q20)</f>
        <v>-4973.7431111700007</v>
      </c>
      <c r="R21" s="414">
        <f>SUM(R19:R20)</f>
        <v>-6067.5938000000006</v>
      </c>
      <c r="S21" s="322">
        <f>IF(Q21=0, "    ---- ", IF(ABS(ROUND(100/Q21*R21-100,1))&lt;999,ROUND(100/Q21*R21-100,1),IF(ROUND(100/Q21*R21-100,1)&gt;999,999,-999)))</f>
        <v>22</v>
      </c>
      <c r="T21" s="537">
        <f>SUM(T19:T20)</f>
        <v>-872</v>
      </c>
      <c r="U21" s="414">
        <f>SUM(U19:U20)</f>
        <v>-1034</v>
      </c>
      <c r="V21" s="322">
        <f>IF(T21=0, "    ---- ", IF(ABS(ROUND(100/T21*U21-100,1))&lt;999,ROUND(100/T21*U21-100,1),IF(ROUND(100/T21*U21-100,1)&gt;999,999,-999)))</f>
        <v>18.600000000000001</v>
      </c>
      <c r="W21" s="537">
        <f>SUM(W19:W20)</f>
        <v>-2217.3333053000001</v>
      </c>
      <c r="X21" s="414">
        <f>SUM(X19:X20)</f>
        <v>-2272.1766576500004</v>
      </c>
      <c r="Y21" s="322">
        <f>IF(W21=0, "    ---- ", IF(ABS(ROUND(100/W21*X21-100,1))&lt;999,ROUND(100/W21*X21-100,1),IF(ROUND(100/W21*X21-100,1)&gt;999,999,-999)))</f>
        <v>2.5</v>
      </c>
      <c r="Z21" s="537">
        <f>SUM(Z19:Z20)</f>
        <v>-7235</v>
      </c>
      <c r="AA21" s="414">
        <f>SUM(AA19:AA20)</f>
        <v>-7573.37722321</v>
      </c>
      <c r="AB21" s="322">
        <f>IF(Z21=0, "    ---- ", IF(ABS(ROUND(100/Z21*AA21-100,1))&lt;999,ROUND(100/Z21*AA21-100,1),IF(ROUND(100/Z21*AA21-100,1)&gt;999,999,-999)))</f>
        <v>4.7</v>
      </c>
      <c r="AC21" s="537"/>
      <c r="AD21" s="414">
        <f>SUM(AD19:AD20)</f>
        <v>-3</v>
      </c>
      <c r="AE21" s="322" t="str">
        <f>IF(AC21=0, "    ---- ", IF(ABS(ROUND(100/AC21*AD21-100,1))&lt;999,ROUND(100/AC21*AD21-100,1),IF(ROUND(100/AC21*AD21-100,1)&gt;999,999,-999)))</f>
        <v xml:space="preserve">    ---- </v>
      </c>
      <c r="AF21" s="322">
        <f t="shared" si="14"/>
        <v>-33615.733285070004</v>
      </c>
      <c r="AG21" s="322">
        <f t="shared" si="14"/>
        <v>-37533.342050350002</v>
      </c>
      <c r="AH21" s="322">
        <f t="shared" si="10"/>
        <v>11.7</v>
      </c>
      <c r="AI21" s="417">
        <f t="shared" si="15"/>
        <v>-33615.733285070004</v>
      </c>
      <c r="AJ21" s="417">
        <f t="shared" si="16"/>
        <v>-37536.342050350002</v>
      </c>
      <c r="AK21" s="322">
        <f>IF(AI21=0, "    ---- ", IF(ABS(ROUND(100/AI21*AJ21-100,1))&lt;999,ROUND(100/AI21*AJ21-100,1),IF(ROUND(100/AI21*AJ21-100,1)&gt;999,999,-999)))</f>
        <v>11.7</v>
      </c>
    </row>
    <row r="22" spans="1:37" s="429" customFormat="1" ht="18.75" customHeight="1" x14ac:dyDescent="0.3">
      <c r="A22" s="530" t="s">
        <v>270</v>
      </c>
      <c r="B22" s="180"/>
      <c r="C22" s="417"/>
      <c r="D22" s="322"/>
      <c r="E22" s="629"/>
      <c r="F22" s="462"/>
      <c r="G22" s="322"/>
      <c r="H22" s="629"/>
      <c r="I22" s="462"/>
      <c r="J22" s="322"/>
      <c r="K22" s="180"/>
      <c r="L22" s="417"/>
      <c r="M22" s="322"/>
      <c r="N22" s="180"/>
      <c r="O22" s="417"/>
      <c r="P22" s="322"/>
      <c r="Q22" s="629"/>
      <c r="R22" s="462"/>
      <c r="S22" s="322"/>
      <c r="T22" s="629"/>
      <c r="U22" s="462"/>
      <c r="V22" s="322"/>
      <c r="W22" s="629"/>
      <c r="X22" s="462"/>
      <c r="Y22" s="322"/>
      <c r="Z22" s="180"/>
      <c r="AA22" s="417"/>
      <c r="AB22" s="322"/>
      <c r="AC22" s="180"/>
      <c r="AD22" s="417"/>
      <c r="AE22" s="322"/>
      <c r="AF22" s="322">
        <f t="shared" si="14"/>
        <v>0</v>
      </c>
      <c r="AG22" s="322">
        <f t="shared" si="14"/>
        <v>0</v>
      </c>
      <c r="AH22" s="322"/>
      <c r="AI22" s="322"/>
      <c r="AJ22" s="322"/>
      <c r="AK22" s="322"/>
    </row>
    <row r="23" spans="1:37" s="429" customFormat="1" ht="18.75" customHeight="1" x14ac:dyDescent="0.3">
      <c r="A23" s="530" t="s">
        <v>375</v>
      </c>
      <c r="B23" s="538">
        <v>1398.6786823099999</v>
      </c>
      <c r="C23" s="322">
        <v>1094.22649598</v>
      </c>
      <c r="D23" s="322">
        <f t="shared" ref="D23:D30" si="17">IF(B23=0, "    ---- ", IF(ABS(ROUND(100/B23*C23-100,1))&lt;999,ROUND(100/B23*C23-100,1),IF(ROUND(100/B23*C23-100,1)&gt;999,999,-999)))</f>
        <v>-21.8</v>
      </c>
      <c r="E23" s="538">
        <v>-242.9924885099995</v>
      </c>
      <c r="F23" s="322">
        <v>-336.32360914000009</v>
      </c>
      <c r="G23" s="322">
        <f>IF(E23=0, "    ---- ", IF(ABS(ROUND(100/E23*F23-100,1))&lt;999,ROUND(100/E23*F23-100,1),IF(ROUND(100/E23*F23-100,1)&gt;999,999,-999)))</f>
        <v>38.4</v>
      </c>
      <c r="H23" s="538">
        <v>-583.17200000000003</v>
      </c>
      <c r="I23" s="322">
        <v>-624.91</v>
      </c>
      <c r="J23" s="322">
        <f>IF(H23=0, "    ---- ", IF(ABS(ROUND(100/H23*I23-100,1))&lt;999,ROUND(100/H23*I23-100,1),IF(ROUND(100/H23*I23-100,1)&gt;999,999,-999)))</f>
        <v>7.2</v>
      </c>
      <c r="K23" s="538">
        <v>-242</v>
      </c>
      <c r="L23" s="322">
        <v>-252</v>
      </c>
      <c r="M23" s="322">
        <f t="shared" ref="M23:M32" si="18">IF(K23=0, "    ---- ", IF(ABS(ROUND(100/K23*L23-100,1))&lt;999,ROUND(100/K23*L23-100,1),IF(ROUND(100/K23*L23-100,1)&gt;999,999,-999)))</f>
        <v>4.0999999999999996</v>
      </c>
      <c r="N23" s="538">
        <v>-1733.09685315</v>
      </c>
      <c r="O23" s="322">
        <v>-1350.3984559600001</v>
      </c>
      <c r="P23" s="322">
        <f t="shared" ref="P23:P31" si="19">IF(N23=0, "    ---- ", IF(ABS(ROUND(100/N23*O23-100,1))&lt;999,ROUND(100/N23*O23-100,1),IF(ROUND(100/N23*O23-100,1)&gt;999,999,-999)))</f>
        <v>-22.1</v>
      </c>
      <c r="Q23" s="538">
        <v>-185.05010545000002</v>
      </c>
      <c r="R23" s="322">
        <v>-202.4956</v>
      </c>
      <c r="S23" s="322">
        <f t="shared" ref="S23:S30" si="20">IF(Q23=0, "    ---- ", IF(ABS(ROUND(100/Q23*R23-100,1))&lt;999,ROUND(100/Q23*R23-100,1),IF(ROUND(100/Q23*R23-100,1)&gt;999,999,-999)))</f>
        <v>9.4</v>
      </c>
      <c r="T23" s="538">
        <v>-492</v>
      </c>
      <c r="U23" s="322">
        <v>-242</v>
      </c>
      <c r="V23" s="322">
        <f>IF(T23=0, "    ---- ", IF(ABS(ROUND(100/T23*U23-100,1))&lt;999,ROUND(100/T23*U23-100,1),IF(ROUND(100/T23*U23-100,1)&gt;999,999,-999)))</f>
        <v>-50.8</v>
      </c>
      <c r="W23" s="538">
        <v>-63.853041680000047</v>
      </c>
      <c r="X23" s="322">
        <v>-99.121653649999999</v>
      </c>
      <c r="Y23" s="322">
        <f t="shared" ref="Y23:Y30" si="21">IF(W23=0, "    ---- ", IF(ABS(ROUND(100/W23*X23-100,1))&lt;999,ROUND(100/W23*X23-100,1),IF(ROUND(100/W23*X23-100,1)&gt;999,999,-999)))</f>
        <v>55.2</v>
      </c>
      <c r="Z23" s="538">
        <v>-1846</v>
      </c>
      <c r="AA23" s="322">
        <v>-3119.9143209199988</v>
      </c>
      <c r="AB23" s="322">
        <f t="shared" ref="AB23:AB30" si="22">IF(Z23=0, "    ---- ", IF(ABS(ROUND(100/Z23*AA23-100,1))&lt;999,ROUND(100/Z23*AA23-100,1),IF(ROUND(100/Z23*AA23-100,1)&gt;999,999,-999)))</f>
        <v>69</v>
      </c>
      <c r="AC23" s="538">
        <v>-1</v>
      </c>
      <c r="AD23" s="322">
        <v>-39</v>
      </c>
      <c r="AE23" s="322">
        <f t="shared" ref="AE23:AE30" si="23">IF(AC23=0, "    ---- ", IF(ABS(ROUND(100/AC23*AD23-100,1))&lt;999,ROUND(100/AC23*AD23-100,1),IF(ROUND(100/AC23*AD23-100,1)&gt;999,999,-999)))</f>
        <v>999</v>
      </c>
      <c r="AF23" s="322">
        <f t="shared" si="14"/>
        <v>-3989.4858064799996</v>
      </c>
      <c r="AG23" s="322">
        <f t="shared" si="14"/>
        <v>-5132.9371436899992</v>
      </c>
      <c r="AH23" s="322">
        <f t="shared" si="10"/>
        <v>28.7</v>
      </c>
      <c r="AI23" s="322"/>
      <c r="AJ23" s="322"/>
      <c r="AK23" s="322"/>
    </row>
    <row r="24" spans="1:37" s="429" customFormat="1" ht="18.75" customHeight="1" x14ac:dyDescent="0.3">
      <c r="A24" s="530" t="s">
        <v>382</v>
      </c>
      <c r="B24" s="538">
        <v>-2.6848023799999998</v>
      </c>
      <c r="C24" s="322">
        <v>-34.302953000000002</v>
      </c>
      <c r="D24" s="322">
        <f>IF(B24=0, "    ---- ", IF(ABS(ROUND(100/B24*C24-100,1))&lt;999,ROUND(100/B24*C24-100,1),IF(ROUND(100/B24*C24-100,1)&gt;999,999,-999)))</f>
        <v>999</v>
      </c>
      <c r="E24" s="538"/>
      <c r="F24" s="322"/>
      <c r="G24" s="322"/>
      <c r="H24" s="538"/>
      <c r="I24" s="322"/>
      <c r="J24" s="322"/>
      <c r="K24" s="538"/>
      <c r="L24" s="322">
        <v>-5</v>
      </c>
      <c r="M24" s="322" t="str">
        <f>IF(K24=0, "    ---- ", IF(ABS(ROUND(100/K24*L24-100,1))&lt;999,ROUND(100/K24*L24-100,1),IF(ROUND(100/K24*L24-100,1)&gt;999,999,-999)))</f>
        <v xml:space="preserve">    ---- </v>
      </c>
      <c r="N24" s="538">
        <v>-162.298869</v>
      </c>
      <c r="O24" s="322">
        <v>-209.64133100000001</v>
      </c>
      <c r="P24" s="322">
        <f>IF(N24=0, "    ---- ", IF(ABS(ROUND(100/N24*O24-100,1))&lt;999,ROUND(100/N24*O24-100,1),IF(ROUND(100/N24*O24-100,1)&gt;999,999,-999)))</f>
        <v>29.2</v>
      </c>
      <c r="Q24" s="538"/>
      <c r="R24" s="322">
        <v>-212</v>
      </c>
      <c r="S24" s="322" t="str">
        <f>IF(Q24=0, "    ---- ", IF(ABS(ROUND(100/Q24*R24-100,1))&lt;999,ROUND(100/Q24*R24-100,1),IF(ROUND(100/Q24*R24-100,1)&gt;999,999,-999)))</f>
        <v xml:space="preserve">    ---- </v>
      </c>
      <c r="T24" s="538"/>
      <c r="U24" s="322"/>
      <c r="V24" s="322"/>
      <c r="W24" s="538">
        <v>-1.2406619999999999</v>
      </c>
      <c r="X24" s="322">
        <v>29.286595139999971</v>
      </c>
      <c r="Y24" s="322">
        <f>IF(W24=0, "    ---- ", IF(ABS(ROUND(100/W24*X24-100,1))&lt;999,ROUND(100/W24*X24-100,1),IF(ROUND(100/W24*X24-100,1)&gt;999,999,-999)))</f>
        <v>-999</v>
      </c>
      <c r="Z24" s="538">
        <v>-577</v>
      </c>
      <c r="AA24" s="322">
        <v>-414.03473196000004</v>
      </c>
      <c r="AB24" s="322">
        <f>IF(Z24=0, "    ---- ", IF(ABS(ROUND(100/Z24*AA24-100,1))&lt;999,ROUND(100/Z24*AA24-100,1),IF(ROUND(100/Z24*AA24-100,1)&gt;999,999,-999)))</f>
        <v>-28.2</v>
      </c>
      <c r="AC24" s="538"/>
      <c r="AD24" s="322"/>
      <c r="AE24" s="322"/>
      <c r="AF24" s="322">
        <f t="shared" si="14"/>
        <v>-743.22433337999996</v>
      </c>
      <c r="AG24" s="322">
        <f t="shared" si="14"/>
        <v>-845.69242082000005</v>
      </c>
      <c r="AH24" s="322">
        <f>IF(AF24=0, "    ---- ", IF(ABS(ROUND(100/AF24*AG24-100,1))&lt;999,ROUND(100/AF24*AG24-100,1),IF(ROUND(100/AF24*AG24-100,1)&gt;999,999,-999)))</f>
        <v>13.8</v>
      </c>
      <c r="AI24" s="322"/>
      <c r="AJ24" s="322"/>
      <c r="AK24" s="322"/>
    </row>
    <row r="25" spans="1:37" s="429" customFormat="1" ht="18.75" customHeight="1" x14ac:dyDescent="0.3">
      <c r="A25" s="665" t="s">
        <v>383</v>
      </c>
      <c r="B25" s="538">
        <v>-3.7300548099999999</v>
      </c>
      <c r="C25" s="630"/>
      <c r="D25" s="322">
        <f>IF(B25=0, "    ---- ", IF(ABS(ROUND(100/B25*C25-100,1))&lt;999,ROUND(100/B25*C25-100,1),IF(ROUND(100/B25*C25-100,1)&gt;999,999,-999)))</f>
        <v>-100</v>
      </c>
      <c r="E25" s="538"/>
      <c r="F25" s="630"/>
      <c r="G25" s="322"/>
      <c r="H25" s="538"/>
      <c r="I25" s="630"/>
      <c r="J25" s="322"/>
      <c r="K25" s="538">
        <v>-1</v>
      </c>
      <c r="L25" s="630"/>
      <c r="M25" s="322">
        <f>IF(K25=0, "    ---- ", IF(ABS(ROUND(100/K25*L25-100,1))&lt;999,ROUND(100/K25*L25-100,1),IF(ROUND(100/K25*L25-100,1)&gt;999,999,-999)))</f>
        <v>-100</v>
      </c>
      <c r="N25" s="538"/>
      <c r="O25" s="630"/>
      <c r="P25" s="322"/>
      <c r="Q25" s="538">
        <v>73</v>
      </c>
      <c r="R25" s="630"/>
      <c r="S25" s="322">
        <f>IF(Q25=0, "    ---- ", IF(ABS(ROUND(100/Q25*R25-100,1))&lt;999,ROUND(100/Q25*R25-100,1),IF(ROUND(100/Q25*R25-100,1)&gt;999,999,-999)))</f>
        <v>-100</v>
      </c>
      <c r="T25" s="538"/>
      <c r="U25" s="630"/>
      <c r="V25" s="322"/>
      <c r="W25" s="538">
        <v>4.4219938899999995</v>
      </c>
      <c r="X25" s="630"/>
      <c r="Y25" s="322">
        <f>IF(W25=0, "    ---- ", IF(ABS(ROUND(100/W25*X25-100,1))&lt;999,ROUND(100/W25*X25-100,1),IF(ROUND(100/W25*X25-100,1)&gt;999,999,-999)))</f>
        <v>-100</v>
      </c>
      <c r="Z25" s="538">
        <v>34</v>
      </c>
      <c r="AA25" s="630"/>
      <c r="AB25" s="322">
        <f>IF(Z25=0, "    ---- ", IF(ABS(ROUND(100/Z25*AA25-100,1))&lt;999,ROUND(100/Z25*AA25-100,1),IF(ROUND(100/Z25*AA25-100,1)&gt;999,999,-999)))</f>
        <v>-100</v>
      </c>
      <c r="AC25" s="538"/>
      <c r="AD25" s="664"/>
      <c r="AE25" s="322"/>
      <c r="AF25" s="322">
        <f t="shared" si="14"/>
        <v>106.69193908</v>
      </c>
      <c r="AG25" s="88"/>
      <c r="AH25" s="322"/>
      <c r="AI25" s="322"/>
      <c r="AJ25" s="322"/>
      <c r="AK25" s="322"/>
    </row>
    <row r="26" spans="1:37" s="429" customFormat="1" ht="18.75" customHeight="1" x14ac:dyDescent="0.3">
      <c r="A26" s="530" t="s">
        <v>384</v>
      </c>
      <c r="B26" s="672">
        <v>-417.29346803999999</v>
      </c>
      <c r="C26" s="673">
        <v>-2.4380065600000003</v>
      </c>
      <c r="D26" s="322">
        <f>IF(B26=0, "    ---- ", IF(ABS(ROUND(100/B26*C26-100,1))&lt;999,ROUND(100/B26*C26-100,1),IF(ROUND(100/B26*C26-100,1)&gt;999,999,-999)))</f>
        <v>-99.4</v>
      </c>
      <c r="E26" s="538"/>
      <c r="F26" s="322"/>
      <c r="G26" s="322"/>
      <c r="H26" s="538"/>
      <c r="I26" s="322"/>
      <c r="J26" s="322"/>
      <c r="K26" s="538">
        <v>1</v>
      </c>
      <c r="L26" s="322">
        <v>17</v>
      </c>
      <c r="M26" s="322">
        <f>IF(K26=0, "    ---- ", IF(ABS(ROUND(100/K26*L26-100,1))&lt;999,ROUND(100/K26*L26-100,1),IF(ROUND(100/K26*L26-100,1)&gt;999,999,-999)))</f>
        <v>999</v>
      </c>
      <c r="N26" s="538"/>
      <c r="O26" s="322"/>
      <c r="P26" s="322"/>
      <c r="Q26" s="538">
        <v>-1</v>
      </c>
      <c r="R26" s="322">
        <v>-1</v>
      </c>
      <c r="S26" s="322">
        <f>IF(Q26=0, "    ---- ", IF(ABS(ROUND(100/Q26*R26-100,1))&lt;999,ROUND(100/Q26*R26-100,1),IF(ROUND(100/Q26*R26-100,1)&gt;999,999,-999)))</f>
        <v>0</v>
      </c>
      <c r="T26" s="538">
        <v>-28</v>
      </c>
      <c r="U26" s="322">
        <v>-21</v>
      </c>
      <c r="V26" s="322">
        <f>IF(T26=0, "    ---- ", IF(ABS(ROUND(100/T26*U26-100,1))&lt;999,ROUND(100/T26*U26-100,1),IF(ROUND(100/T26*U26-100,1)&gt;999,999,-999)))</f>
        <v>-25</v>
      </c>
      <c r="W26" s="538">
        <v>0</v>
      </c>
      <c r="X26" s="322">
        <v>0.635598</v>
      </c>
      <c r="Y26" s="322" t="str">
        <f>IF(W26=0, "    ---- ", IF(ABS(ROUND(100/W26*X26-100,1))&lt;999,ROUND(100/W26*X26-100,1),IF(ROUND(100/W26*X26-100,1)&gt;999,999,-999)))</f>
        <v xml:space="preserve">    ---- </v>
      </c>
      <c r="Z26" s="538"/>
      <c r="AA26" s="322">
        <v>-29.436980050000013</v>
      </c>
      <c r="AB26" s="322" t="str">
        <f>IF(Z26=0, "    ---- ", IF(ABS(ROUND(100/Z26*AA26-100,1))&lt;999,ROUND(100/Z26*AA26-100,1),IF(ROUND(100/Z26*AA26-100,1)&gt;999,999,-999)))</f>
        <v xml:space="preserve">    ---- </v>
      </c>
      <c r="AC26" s="538"/>
      <c r="AD26" s="322"/>
      <c r="AE26" s="322"/>
      <c r="AF26" s="322">
        <f t="shared" si="14"/>
        <v>-445.29346803999999</v>
      </c>
      <c r="AG26" s="322">
        <f t="shared" si="14"/>
        <v>-36.239388610000013</v>
      </c>
      <c r="AH26" s="322">
        <f>IF(AF26=0, "    ---- ", IF(ABS(ROUND(100/AF26*AG26-100,1))&lt;999,ROUND(100/AF26*AG26-100,1),IF(ROUND(100/AF26*AG26-100,1)&gt;999,999,-999)))</f>
        <v>-91.9</v>
      </c>
      <c r="AI26" s="322"/>
      <c r="AJ26" s="322"/>
      <c r="AK26" s="322"/>
    </row>
    <row r="27" spans="1:37" s="429" customFormat="1" ht="18.75" customHeight="1" x14ac:dyDescent="0.3">
      <c r="A27" s="665" t="s">
        <v>385</v>
      </c>
      <c r="B27" s="538">
        <v>-935.37904141999991</v>
      </c>
      <c r="C27" s="630"/>
      <c r="D27" s="322">
        <f t="shared" si="17"/>
        <v>-100</v>
      </c>
      <c r="E27" s="538">
        <v>-69.410729529999998</v>
      </c>
      <c r="F27" s="630"/>
      <c r="G27" s="322"/>
      <c r="H27" s="538"/>
      <c r="I27" s="630"/>
      <c r="J27" s="322"/>
      <c r="K27" s="538"/>
      <c r="L27" s="630"/>
      <c r="M27" s="322"/>
      <c r="N27" s="538"/>
      <c r="O27" s="630"/>
      <c r="P27" s="322"/>
      <c r="Q27" s="538">
        <v>325</v>
      </c>
      <c r="R27" s="630"/>
      <c r="S27" s="322">
        <f t="shared" si="20"/>
        <v>-100</v>
      </c>
      <c r="T27" s="538"/>
      <c r="U27" s="630"/>
      <c r="V27" s="322"/>
      <c r="W27" s="538">
        <v>-277.29807294000005</v>
      </c>
      <c r="X27" s="630"/>
      <c r="Y27" s="322">
        <f t="shared" si="21"/>
        <v>-100</v>
      </c>
      <c r="Z27" s="538">
        <v>-988</v>
      </c>
      <c r="AA27" s="630"/>
      <c r="AB27" s="322">
        <f t="shared" si="22"/>
        <v>-100</v>
      </c>
      <c r="AC27" s="538"/>
      <c r="AD27" s="664"/>
      <c r="AE27" s="322"/>
      <c r="AF27" s="322">
        <f t="shared" si="14"/>
        <v>-1945.0878438899999</v>
      </c>
      <c r="AG27" s="88"/>
      <c r="AH27" s="322"/>
      <c r="AI27" s="322"/>
      <c r="AJ27" s="322"/>
      <c r="AK27" s="322"/>
    </row>
    <row r="28" spans="1:37" s="429" customFormat="1" ht="18.75" customHeight="1" x14ac:dyDescent="0.3">
      <c r="A28" s="530" t="s">
        <v>386</v>
      </c>
      <c r="B28" s="538">
        <v>4.8689107099999998</v>
      </c>
      <c r="C28" s="322">
        <v>-454.83149802999998</v>
      </c>
      <c r="D28" s="322">
        <f t="shared" si="17"/>
        <v>-999</v>
      </c>
      <c r="E28" s="538"/>
      <c r="F28" s="322"/>
      <c r="G28" s="322"/>
      <c r="H28" s="538">
        <v>-2.657</v>
      </c>
      <c r="I28" s="322">
        <v>-2.286</v>
      </c>
      <c r="J28" s="322">
        <f>IF(H28=0, "    ---- ", IF(ABS(ROUND(100/H28*I28-100,1))&lt;999,ROUND(100/H28*I28-100,1),IF(ROUND(100/H28*I28-100,1)&gt;999,999,-999)))</f>
        <v>-14</v>
      </c>
      <c r="K28" s="538"/>
      <c r="L28" s="322"/>
      <c r="M28" s="322"/>
      <c r="N28" s="538"/>
      <c r="O28" s="322"/>
      <c r="P28" s="322"/>
      <c r="Q28" s="538">
        <v>0</v>
      </c>
      <c r="R28" s="322">
        <v>0</v>
      </c>
      <c r="S28" s="322" t="str">
        <f t="shared" si="20"/>
        <v xml:space="preserve">    ---- </v>
      </c>
      <c r="T28" s="538">
        <v>-2</v>
      </c>
      <c r="U28" s="322">
        <v>0</v>
      </c>
      <c r="V28" s="322">
        <f>IF(T28=0, "    ---- ", IF(ABS(ROUND(100/T28*U28-100,1))&lt;999,ROUND(100/T28*U28-100,1),IF(ROUND(100/T28*U28-100,1)&gt;999,999,-999)))</f>
        <v>-100</v>
      </c>
      <c r="W28" s="538"/>
      <c r="X28" s="322"/>
      <c r="Y28" s="322"/>
      <c r="Z28" s="538">
        <v>-39</v>
      </c>
      <c r="AA28" s="322">
        <v>-55.404047920000025</v>
      </c>
      <c r="AB28" s="322">
        <f t="shared" si="22"/>
        <v>42.1</v>
      </c>
      <c r="AC28" s="538"/>
      <c r="AD28" s="322"/>
      <c r="AE28" s="322"/>
      <c r="AF28" s="322">
        <f t="shared" si="14"/>
        <v>-38.788089290000002</v>
      </c>
      <c r="AG28" s="322">
        <f t="shared" si="14"/>
        <v>-512.52154595000002</v>
      </c>
      <c r="AH28" s="322">
        <f t="shared" si="10"/>
        <v>999</v>
      </c>
      <c r="AI28" s="322"/>
      <c r="AJ28" s="322"/>
      <c r="AK28" s="322"/>
    </row>
    <row r="29" spans="1:37" s="429" customFormat="1" ht="18.75" x14ac:dyDescent="0.3">
      <c r="A29" s="670" t="s">
        <v>418</v>
      </c>
      <c r="B29" s="538">
        <v>0</v>
      </c>
      <c r="C29" s="322">
        <v>35.246519450000001</v>
      </c>
      <c r="D29" s="322" t="str">
        <f t="shared" si="17"/>
        <v xml:space="preserve">    ---- </v>
      </c>
      <c r="E29" s="538"/>
      <c r="F29" s="322"/>
      <c r="G29" s="322"/>
      <c r="H29" s="538"/>
      <c r="I29" s="322"/>
      <c r="J29" s="322"/>
      <c r="K29" s="538"/>
      <c r="L29" s="322"/>
      <c r="M29" s="322"/>
      <c r="N29" s="538"/>
      <c r="O29" s="322"/>
      <c r="P29" s="322"/>
      <c r="Q29" s="538">
        <v>0</v>
      </c>
      <c r="R29" s="322">
        <v>0</v>
      </c>
      <c r="S29" s="322" t="str">
        <f t="shared" si="20"/>
        <v xml:space="preserve">    ---- </v>
      </c>
      <c r="T29" s="538"/>
      <c r="U29" s="322"/>
      <c r="V29" s="322"/>
      <c r="W29" s="538"/>
      <c r="X29" s="322"/>
      <c r="Y29" s="322"/>
      <c r="Z29" s="538">
        <v>192</v>
      </c>
      <c r="AA29" s="322">
        <v>434.12071100000003</v>
      </c>
      <c r="AB29" s="322">
        <f t="shared" si="22"/>
        <v>126.1</v>
      </c>
      <c r="AC29" s="538"/>
      <c r="AD29" s="322"/>
      <c r="AE29" s="322"/>
      <c r="AF29" s="322">
        <f t="shared" si="14"/>
        <v>192</v>
      </c>
      <c r="AG29" s="322">
        <f t="shared" si="14"/>
        <v>469.36723045000002</v>
      </c>
      <c r="AH29" s="322">
        <f t="shared" si="10"/>
        <v>144.5</v>
      </c>
      <c r="AI29" s="322"/>
      <c r="AJ29" s="322"/>
      <c r="AK29" s="322"/>
    </row>
    <row r="30" spans="1:37" s="429" customFormat="1" ht="18.75" customHeight="1" x14ac:dyDescent="0.3">
      <c r="A30" s="530" t="s">
        <v>271</v>
      </c>
      <c r="B30" s="538">
        <f>SUM(B23:B29)</f>
        <v>44.460226369999965</v>
      </c>
      <c r="C30" s="322">
        <f>SUM(C23:C29)</f>
        <v>637.90055784000015</v>
      </c>
      <c r="D30" s="322">
        <f t="shared" si="17"/>
        <v>999</v>
      </c>
      <c r="E30" s="538">
        <f>SUM(E23:E29)</f>
        <v>-312.4032180399995</v>
      </c>
      <c r="F30" s="322">
        <f>SUM(F23:F29)</f>
        <v>-336.32360914000009</v>
      </c>
      <c r="G30" s="322">
        <f>IF(E30=0, "    ---- ", IF(ABS(ROUND(100/E30*F30-100,1))&lt;999,ROUND(100/E30*F30-100,1),IF(ROUND(100/E30*F30-100,1)&gt;999,999,-999)))</f>
        <v>7.7</v>
      </c>
      <c r="H30" s="538">
        <f>SUM(H23:H29)</f>
        <v>-585.82900000000006</v>
      </c>
      <c r="I30" s="322">
        <f>SUM(I23:I29)</f>
        <v>-627.19599999999991</v>
      </c>
      <c r="J30" s="322">
        <f>IF(H30=0, "    ---- ", IF(ABS(ROUND(100/H30*I30-100,1))&lt;999,ROUND(100/H30*I30-100,1),IF(ROUND(100/H30*I30-100,1)&gt;999,999,-999)))</f>
        <v>7.1</v>
      </c>
      <c r="K30" s="538">
        <f>SUM(K23:K29)</f>
        <v>-242</v>
      </c>
      <c r="L30" s="322">
        <f>SUM(L23:L29)</f>
        <v>-240</v>
      </c>
      <c r="M30" s="322">
        <f t="shared" si="18"/>
        <v>-0.8</v>
      </c>
      <c r="N30" s="538">
        <v>-1895.39572215</v>
      </c>
      <c r="O30" s="322">
        <f>SUM(O23:O29)</f>
        <v>-1560.0397869600001</v>
      </c>
      <c r="P30" s="322">
        <f t="shared" si="19"/>
        <v>-17.7</v>
      </c>
      <c r="Q30" s="538">
        <f>SUM(Q23:Q29)</f>
        <v>211.94989454999998</v>
      </c>
      <c r="R30" s="322">
        <f>SUM(R23:R29)</f>
        <v>-415.49559999999997</v>
      </c>
      <c r="S30" s="322">
        <f t="shared" si="20"/>
        <v>-296</v>
      </c>
      <c r="T30" s="538">
        <f>SUM(T23:T29)</f>
        <v>-522</v>
      </c>
      <c r="U30" s="322">
        <f>SUM(U23:U29)</f>
        <v>-263</v>
      </c>
      <c r="V30" s="322">
        <f>IF(T30=0, "    ---- ", IF(ABS(ROUND(100/T30*U30-100,1))&lt;999,ROUND(100/T30*U30-100,1),IF(ROUND(100/T30*U30-100,1)&gt;999,999,-999)))</f>
        <v>-49.6</v>
      </c>
      <c r="W30" s="538">
        <f>SUM(W23:W29)</f>
        <v>-337.96978273000013</v>
      </c>
      <c r="X30" s="322">
        <f>SUM(X23:X29)</f>
        <v>-69.199460510000023</v>
      </c>
      <c r="Y30" s="322">
        <f t="shared" si="21"/>
        <v>-79.5</v>
      </c>
      <c r="Z30" s="538">
        <f>SUM(Z23:Z29)</f>
        <v>-3224</v>
      </c>
      <c r="AA30" s="322">
        <f>SUM(AA23:AA29)</f>
        <v>-3184.6693698499985</v>
      </c>
      <c r="AB30" s="322">
        <f t="shared" si="22"/>
        <v>-1.2</v>
      </c>
      <c r="AC30" s="538">
        <f>SUM(AC23:AC29)</f>
        <v>-1</v>
      </c>
      <c r="AD30" s="322">
        <f>SUM(AD23:AD29)</f>
        <v>-39</v>
      </c>
      <c r="AE30" s="322">
        <f t="shared" si="23"/>
        <v>999</v>
      </c>
      <c r="AF30" s="322">
        <f t="shared" si="14"/>
        <v>-6863.187602</v>
      </c>
      <c r="AG30" s="322">
        <f t="shared" si="14"/>
        <v>-6058.0232686199988</v>
      </c>
      <c r="AH30" s="322">
        <f t="shared" si="10"/>
        <v>-11.7</v>
      </c>
      <c r="AI30" s="322"/>
      <c r="AJ30" s="322"/>
      <c r="AK30" s="322"/>
    </row>
    <row r="31" spans="1:37" s="429" customFormat="1" ht="18.75" customHeight="1" x14ac:dyDescent="0.3">
      <c r="A31" s="530" t="s">
        <v>272</v>
      </c>
      <c r="B31" s="538">
        <v>-8111.3492455299993</v>
      </c>
      <c r="C31" s="322">
        <v>-12604.6122134</v>
      </c>
      <c r="D31" s="322">
        <f>IF(B31=0, "    ---- ", IF(ABS(ROUND(100/B31*C31-100,1))&lt;999,ROUND(100/B31*C31-100,1),IF(ROUND(100/B31*C31-100,1)&gt;999,999,-999)))</f>
        <v>55.4</v>
      </c>
      <c r="E31" s="538"/>
      <c r="F31" s="322"/>
      <c r="G31" s="322"/>
      <c r="H31" s="538"/>
      <c r="I31" s="322"/>
      <c r="J31" s="322"/>
      <c r="K31" s="538">
        <v>-5445</v>
      </c>
      <c r="L31" s="322">
        <v>-5957</v>
      </c>
      <c r="M31" s="322">
        <f t="shared" si="18"/>
        <v>9.4</v>
      </c>
      <c r="N31" s="538">
        <v>-1.463001</v>
      </c>
      <c r="O31" s="322">
        <v>-2.8848790000000002</v>
      </c>
      <c r="P31" s="322">
        <f t="shared" si="19"/>
        <v>97.2</v>
      </c>
      <c r="Q31" s="538">
        <v>-8391.0234684799998</v>
      </c>
      <c r="R31" s="322">
        <v>-12127.6533</v>
      </c>
      <c r="S31" s="322">
        <f>IF(Q31=0, "    ---- ", IF(ABS(ROUND(100/Q31*R31-100,1))&lt;999,ROUND(100/Q31*R31-100,1),IF(ROUND(100/Q31*R31-100,1)&gt;999,999,-999)))</f>
        <v>44.5</v>
      </c>
      <c r="T31" s="538"/>
      <c r="U31" s="322"/>
      <c r="V31" s="322"/>
      <c r="W31" s="538">
        <v>-3937.136321689999</v>
      </c>
      <c r="X31" s="322">
        <v>-5726.409755040002</v>
      </c>
      <c r="Y31" s="322">
        <f>IF(W31=0, "    ---- ", IF(ABS(ROUND(100/W31*X31-100,1))&lt;999,ROUND(100/W31*X31-100,1),IF(ROUND(100/W31*X31-100,1)&gt;999,999,-999)))</f>
        <v>45.4</v>
      </c>
      <c r="Z31" s="538">
        <v>-11822</v>
      </c>
      <c r="AA31" s="322">
        <v>-17158.728359929992</v>
      </c>
      <c r="AB31" s="322">
        <f>IF(Z31=0, "    ---- ", IF(ABS(ROUND(100/Z31*AA31-100,1))&lt;999,ROUND(100/Z31*AA31-100,1),IF(ROUND(100/Z31*AA31-100,1)&gt;999,999,-999)))</f>
        <v>45.1</v>
      </c>
      <c r="AC31" s="538"/>
      <c r="AD31" s="322"/>
      <c r="AE31" s="322"/>
      <c r="AF31" s="322">
        <f t="shared" si="14"/>
        <v>-37707.972036699997</v>
      </c>
      <c r="AG31" s="322">
        <f t="shared" si="14"/>
        <v>-53577.288507369994</v>
      </c>
      <c r="AH31" s="322">
        <f t="shared" si="10"/>
        <v>42.1</v>
      </c>
      <c r="AI31" s="322"/>
      <c r="AJ31" s="322"/>
      <c r="AK31" s="322"/>
    </row>
    <row r="32" spans="1:37" s="429" customFormat="1" ht="18.75" customHeight="1" x14ac:dyDescent="0.3">
      <c r="A32" s="530" t="s">
        <v>273</v>
      </c>
      <c r="B32" s="538">
        <v>-104.74216446</v>
      </c>
      <c r="C32" s="322">
        <v>-754.44655663999993</v>
      </c>
      <c r="D32" s="322">
        <f>IF(B32=0, "    ---- ", IF(ABS(ROUND(100/B32*C32-100,1))&lt;999,ROUND(100/B32*C32-100,1),IF(ROUND(100/B32*C32-100,1)&gt;999,999,-999)))</f>
        <v>620.29999999999995</v>
      </c>
      <c r="E32" s="538"/>
      <c r="F32" s="322">
        <v>-1.8913979999999999</v>
      </c>
      <c r="G32" s="322" t="str">
        <f>IF(E32=0, "    ---- ", IF(ABS(ROUND(100/E32*F32-100,1))&lt;999,ROUND(100/E32*F32-100,1),IF(ROUND(100/E32*F32-100,1)&gt;999,999,-999)))</f>
        <v xml:space="preserve">    ---- </v>
      </c>
      <c r="H32" s="538"/>
      <c r="I32" s="322"/>
      <c r="J32" s="322"/>
      <c r="K32" s="538">
        <v>11</v>
      </c>
      <c r="L32" s="322">
        <v>-19</v>
      </c>
      <c r="M32" s="322">
        <f t="shared" si="18"/>
        <v>-272.7</v>
      </c>
      <c r="N32" s="538">
        <v>-13183.952998999999</v>
      </c>
      <c r="O32" s="322">
        <v>-18676.435654000001</v>
      </c>
      <c r="P32" s="322">
        <f>IF(N32=0, "    ---- ", IF(ABS(ROUND(100/N32*O32-100,1))&lt;999,ROUND(100/N32*O32-100,1),IF(ROUND(100/N32*O32-100,1)&gt;999,999,-999)))</f>
        <v>41.7</v>
      </c>
      <c r="Q32" s="538">
        <v>-547.23206957000002</v>
      </c>
      <c r="R32" s="322">
        <v>-132.30279999999999</v>
      </c>
      <c r="S32" s="322">
        <f>IF(Q32=0, "    ---- ", IF(ABS(ROUND(100/Q32*R32-100,1))&lt;999,ROUND(100/Q32*R32-100,1),IF(ROUND(100/Q32*R32-100,1)&gt;999,999,-999)))</f>
        <v>-75.8</v>
      </c>
      <c r="T32" s="538">
        <v>-2145</v>
      </c>
      <c r="U32" s="322">
        <v>-2551</v>
      </c>
      <c r="V32" s="322">
        <f>IF(T32=0, "    ---- ", IF(ABS(ROUND(100/T32*U32-100,1))&lt;999,ROUND(100/T32*U32-100,1),IF(ROUND(100/T32*U32-100,1)&gt;999,999,-999)))</f>
        <v>18.899999999999999</v>
      </c>
      <c r="W32" s="538">
        <v>-71.114728689999993</v>
      </c>
      <c r="X32" s="322">
        <v>-295.20140500999997</v>
      </c>
      <c r="Y32" s="322">
        <f>IF(W32=0, "    ---- ", IF(ABS(ROUND(100/W32*X32-100,1))&lt;999,ROUND(100/W32*X32-100,1),IF(ROUND(100/W32*X32-100,1)&gt;999,999,-999)))</f>
        <v>315.10000000000002</v>
      </c>
      <c r="Z32" s="538">
        <v>-162</v>
      </c>
      <c r="AA32" s="322">
        <v>-1461.9278340000001</v>
      </c>
      <c r="AB32" s="322">
        <f>IF(Z32=0, "    ---- ", IF(ABS(ROUND(100/Z32*AA32-100,1))&lt;999,ROUND(100/Z32*AA32-100,1),IF(ROUND(100/Z32*AA32-100,1)&gt;999,999,-999)))</f>
        <v>802.4</v>
      </c>
      <c r="AC32" s="538"/>
      <c r="AD32" s="322"/>
      <c r="AE32" s="322"/>
      <c r="AF32" s="322">
        <f t="shared" si="14"/>
        <v>-16203.041961719999</v>
      </c>
      <c r="AG32" s="322">
        <f t="shared" si="14"/>
        <v>-23892.20564765</v>
      </c>
      <c r="AH32" s="322">
        <f t="shared" si="10"/>
        <v>47.5</v>
      </c>
      <c r="AI32" s="322"/>
      <c r="AJ32" s="322"/>
      <c r="AK32" s="322"/>
    </row>
    <row r="33" spans="1:37" s="429" customFormat="1" ht="18.75" customHeight="1" x14ac:dyDescent="0.3">
      <c r="A33" s="530" t="s">
        <v>274</v>
      </c>
      <c r="B33" s="538">
        <v>-303.31000511000002</v>
      </c>
      <c r="C33" s="322">
        <v>-314.00940700000001</v>
      </c>
      <c r="D33" s="322">
        <f>IF(B33=0, "    ---- ", IF(ABS(ROUND(100/B33*C33-100,1))&lt;999,ROUND(100/B33*C33-100,1),IF(ROUND(100/B33*C33-100,1)&gt;999,999,-999)))</f>
        <v>3.5</v>
      </c>
      <c r="E33" s="538">
        <v>-240.09052310000001</v>
      </c>
      <c r="F33" s="322">
        <v>-242.85249782</v>
      </c>
      <c r="G33" s="322">
        <f>IF(E33=0, "    ---- ", IF(ABS(ROUND(100/E33*F33-100,1))&lt;999,ROUND(100/E33*F33-100,1),IF(ROUND(100/E33*F33-100,1)&gt;999,999,-999)))</f>
        <v>1.2</v>
      </c>
      <c r="H33" s="538">
        <v>-67.795000000000002</v>
      </c>
      <c r="I33" s="322">
        <v>-73.786000000000001</v>
      </c>
      <c r="J33" s="322">
        <f>IF(H33=0, "    ---- ", IF(ABS(ROUND(100/H33*I33-100,1))&lt;999,ROUND(100/H33*I33-100,1),IF(ROUND(100/H33*I33-100,1)&gt;999,999,-999)))</f>
        <v>8.8000000000000007</v>
      </c>
      <c r="K33" s="538">
        <v>-95</v>
      </c>
      <c r="L33" s="322">
        <v>-111</v>
      </c>
      <c r="M33" s="322">
        <f>IF(K33=0, "    ---- ", IF(ABS(ROUND(100/K33*L33-100,1))&lt;999,ROUND(100/K33*L33-100,1),IF(ROUND(100/K33*L33-100,1)&gt;999,999,-999)))</f>
        <v>16.8</v>
      </c>
      <c r="N33" s="538">
        <v>-376.78732768000003</v>
      </c>
      <c r="O33" s="322">
        <v>-431.84198207999998</v>
      </c>
      <c r="P33" s="322">
        <f>IF(N33=0, "    ---- ", IF(ABS(ROUND(100/N33*O33-100,1))&lt;999,ROUND(100/N33*O33-100,1),IF(ROUND(100/N33*O33-100,1)&gt;999,999,-999)))</f>
        <v>14.6</v>
      </c>
      <c r="Q33" s="538">
        <v>-201.94425436</v>
      </c>
      <c r="R33" s="322">
        <v>-214.58930000000001</v>
      </c>
      <c r="S33" s="322">
        <f>IF(Q33=0, "    ---- ", IF(ABS(ROUND(100/Q33*R33-100,1))&lt;999,ROUND(100/Q33*R33-100,1),IF(ROUND(100/Q33*R33-100,1)&gt;999,999,-999)))</f>
        <v>6.3</v>
      </c>
      <c r="T33" s="538"/>
      <c r="U33" s="322"/>
      <c r="V33" s="322"/>
      <c r="W33" s="538">
        <v>-208.16305885149995</v>
      </c>
      <c r="X33" s="322">
        <v>-218.37308411610002</v>
      </c>
      <c r="Y33" s="322">
        <f>IF(W33=0, "    ---- ", IF(ABS(ROUND(100/W33*X33-100,1))&lt;999,ROUND(100/W33*X33-100,1),IF(ROUND(100/W33*X33-100,1)&gt;999,999,-999)))</f>
        <v>4.9000000000000004</v>
      </c>
      <c r="Z33" s="538">
        <v>-423</v>
      </c>
      <c r="AA33" s="322">
        <v>-426.99523696</v>
      </c>
      <c r="AB33" s="322">
        <f>IF(Z33=0, "    ---- ", IF(ABS(ROUND(100/Z33*AA33-100,1))&lt;999,ROUND(100/Z33*AA33-100,1),IF(ROUND(100/Z33*AA33-100,1)&gt;999,999,-999)))</f>
        <v>0.9</v>
      </c>
      <c r="AC33" s="538">
        <v>-11</v>
      </c>
      <c r="AD33" s="322">
        <v>-22</v>
      </c>
      <c r="AE33" s="322">
        <f>IF(AC33=0, "    ---- ", IF(ABS(ROUND(100/AC33*AD33-100,1))&lt;999,ROUND(100/AC33*AD33-100,1),IF(ROUND(100/AC33*AD33-100,1)&gt;999,999,-999)))</f>
        <v>100</v>
      </c>
      <c r="AF33" s="322">
        <f t="shared" si="14"/>
        <v>-1916.0901691015001</v>
      </c>
      <c r="AG33" s="322">
        <f t="shared" si="14"/>
        <v>-2033.4475079761003</v>
      </c>
      <c r="AH33" s="322">
        <f t="shared" si="10"/>
        <v>6.1</v>
      </c>
      <c r="AI33" s="322"/>
      <c r="AJ33" s="322"/>
      <c r="AK33" s="322"/>
    </row>
    <row r="34" spans="1:37" s="429" customFormat="1" ht="18.75" customHeight="1" x14ac:dyDescent="0.3">
      <c r="A34" s="530" t="s">
        <v>275</v>
      </c>
      <c r="B34" s="180">
        <v>13.11709132</v>
      </c>
      <c r="C34" s="417">
        <v>-0.7157779700000001</v>
      </c>
      <c r="D34" s="417">
        <f>IF(B34=0, "    ---- ", IF(ABS(ROUND(100/B34*C34-100,1))&lt;999,ROUND(100/B34*C34-100,1),IF(ROUND(100/B34*C34-100,1)&gt;999,999,-999)))</f>
        <v>-105.5</v>
      </c>
      <c r="E34" s="180">
        <v>-3.8461802500000002</v>
      </c>
      <c r="F34" s="417">
        <v>-4.2534963299999999</v>
      </c>
      <c r="G34" s="322">
        <f>IF(E34=0, "    ---- ", IF(ABS(ROUND(100/E34*F34-100,1))&lt;999,ROUND(100/E34*F34-100,1),IF(ROUND(100/E34*F34-100,1)&gt;999,999,-999)))</f>
        <v>10.6</v>
      </c>
      <c r="H34" s="180"/>
      <c r="I34" s="417"/>
      <c r="J34" s="417"/>
      <c r="K34" s="180"/>
      <c r="L34" s="417"/>
      <c r="M34" s="417"/>
      <c r="N34" s="180">
        <v>-342.19284699999997</v>
      </c>
      <c r="O34" s="417">
        <v>-353.59179799999998</v>
      </c>
      <c r="P34" s="417">
        <f>IF(N34=0, "    ---- ", IF(ABS(ROUND(100/N34*O34-100,1))&lt;999,ROUND(100/N34*O34-100,1),IF(ROUND(100/N34*O34-100,1)&gt;999,999,-999)))</f>
        <v>3.3</v>
      </c>
      <c r="Q34" s="180">
        <v>-6.2429931500000002</v>
      </c>
      <c r="R34" s="417">
        <v>-5.6560694199999997</v>
      </c>
      <c r="S34" s="417">
        <f>IF(Q34=0, "    ---- ", IF(ABS(ROUND(100/Q34*R34-100,1))&lt;999,ROUND(100/Q34*R34-100,1),IF(ROUND(100/Q34*R34-100,1)&gt;999,999,-999)))</f>
        <v>-9.4</v>
      </c>
      <c r="T34" s="180">
        <v>-91</v>
      </c>
      <c r="U34" s="417">
        <v>-70</v>
      </c>
      <c r="V34" s="322">
        <f>IF(T34=0, "    ---- ", IF(ABS(ROUND(100/T34*U34-100,1))&lt;999,ROUND(100/T34*U34-100,1),IF(ROUND(100/T34*U34-100,1)&gt;999,999,-999)))</f>
        <v>-23.1</v>
      </c>
      <c r="W34" s="180">
        <v>-1.31230786</v>
      </c>
      <c r="X34" s="417">
        <v>-0.24926010999999998</v>
      </c>
      <c r="Y34" s="417">
        <f>IF(W34=0, "    ---- ", IF(ABS(ROUND(100/W34*X34-100,1))&lt;999,ROUND(100/W34*X34-100,1),IF(ROUND(100/W34*X34-100,1)&gt;999,999,-999)))</f>
        <v>-81</v>
      </c>
      <c r="Z34" s="180">
        <v>-11</v>
      </c>
      <c r="AA34" s="417">
        <v>-11.951217390000728</v>
      </c>
      <c r="AB34" s="417">
        <f>IF(Z34=0, "    ---- ", IF(ABS(ROUND(100/Z34*AA34-100,1))&lt;999,ROUND(100/Z34*AA34-100,1),IF(ROUND(100/Z34*AA34-100,1)&gt;999,999,-999)))</f>
        <v>8.6</v>
      </c>
      <c r="AC34" s="180"/>
      <c r="AD34" s="417"/>
      <c r="AE34" s="417"/>
      <c r="AF34" s="322">
        <f t="shared" si="14"/>
        <v>-442.47723693999995</v>
      </c>
      <c r="AG34" s="322">
        <f t="shared" si="14"/>
        <v>-446.41761922000074</v>
      </c>
      <c r="AH34" s="417">
        <f t="shared" si="10"/>
        <v>0.9</v>
      </c>
      <c r="AI34" s="417"/>
      <c r="AJ34" s="417"/>
      <c r="AK34" s="417"/>
    </row>
    <row r="35" spans="1:37" s="437" customFormat="1" ht="18.75" customHeight="1" x14ac:dyDescent="0.3">
      <c r="A35" s="541" t="s">
        <v>276</v>
      </c>
      <c r="B35" s="183">
        <f>SUM(B14+B15+B16+B17+B21+B30+B31+B32+B33+B34)</f>
        <v>-20.353019119999303</v>
      </c>
      <c r="C35" s="421">
        <f>SUM(C14+C15+C16+C17+C21+C30+C31+C32+C33+C34)</f>
        <v>203.01622076000066</v>
      </c>
      <c r="D35" s="422">
        <f>IF(B35=0, "    ---- ", IF(ABS(ROUND(100/B35*C35-100,1))&lt;999,ROUND(100/B35*C35-100,1),IF(ROUND(100/B35*C35-100,1)&gt;999,999,-999)))</f>
        <v>-999</v>
      </c>
      <c r="E35" s="183">
        <f>SUM(E14+E15+E16+E17+E21+E30+E31+E32+E33+E34)</f>
        <v>222.6015658000008</v>
      </c>
      <c r="F35" s="421">
        <f>SUM(F14+F15+F16+F17+F21+F30+F31+F32+F33+F34)</f>
        <v>250.53342615000005</v>
      </c>
      <c r="G35" s="422">
        <f>IF(E35=0, "    ---- ", IF(ABS(ROUND(100/E35*F35-100,1))&lt;999,ROUND(100/E35*F35-100,1),IF(ROUND(100/E35*F35-100,1)&gt;999,999,-999)))</f>
        <v>12.5</v>
      </c>
      <c r="H35" s="183">
        <f>SUM(H14+H15+H16+H17+H21+H30+H31+H32+H33+H34)</f>
        <v>2.1149999999998528</v>
      </c>
      <c r="I35" s="421">
        <f>SUM(I14+I15+I16+I17+I21+I30+I31+I32+I33+I34)</f>
        <v>40.828000000000145</v>
      </c>
      <c r="J35" s="422">
        <f>IF(H35=0, "    ---- ", IF(ABS(ROUND(100/H35*I35-100,1))&lt;999,ROUND(100/H35*I35-100,1),IF(ROUND(100/H35*I35-100,1)&gt;999,999,-999)))</f>
        <v>999</v>
      </c>
      <c r="K35" s="183">
        <f>SUM(K14+K15+K16+K17+K21+K30+K31+K32+K33+K34)</f>
        <v>49</v>
      </c>
      <c r="L35" s="421">
        <f>SUM(L14+L15+L16+L17+L21+L30+L31+L32+L33+L34)</f>
        <v>53</v>
      </c>
      <c r="M35" s="422">
        <f>IF(K35=0, "    ---- ", IF(ABS(ROUND(100/K35*L35-100,1))&lt;999,ROUND(100/K35*L35-100,1),IF(ROUND(100/K35*L35-100,1)&gt;999,999,-999)))</f>
        <v>8.1999999999999993</v>
      </c>
      <c r="N35" s="183">
        <f>SUM(N14+N15+N16+N17+N21+N30+N31+N32+N33+N34)</f>
        <v>237.35909151999869</v>
      </c>
      <c r="O35" s="421">
        <f>SUM(O14+O15+O16+O17+O21+O30+O31+O32+O33+O34)</f>
        <v>106.67419662000106</v>
      </c>
      <c r="P35" s="422">
        <f>IF(N35=0, "    ---- ", IF(ABS(ROUND(100/N35*O35-100,1))&lt;999,ROUND(100/N35*O35-100,1),IF(ROUND(100/N35*O35-100,1)&gt;999,999,-999)))</f>
        <v>-55.1</v>
      </c>
      <c r="Q35" s="183">
        <f>SUM(Q14+Q15+Q16+Q17+Q21+Q30+Q31+Q32+Q33+Q34)</f>
        <v>290.85597899999891</v>
      </c>
      <c r="R35" s="421">
        <f>SUM(R14+R15+R16+R17+R21+R30+R31+R32+R33+R34)</f>
        <v>334.05483058000107</v>
      </c>
      <c r="S35" s="422">
        <f>IF(Q35=0, "    ---- ", IF(ABS(ROUND(100/Q35*R35-100,1))&lt;999,ROUND(100/Q35*R35-100,1),IF(ROUND(100/Q35*R35-100,1)&gt;999,999,-999)))</f>
        <v>14.9</v>
      </c>
      <c r="T35" s="183">
        <f>SUM(T14+T15+T16+T17+T21+T30+T31+T32+T33+T34)</f>
        <v>128</v>
      </c>
      <c r="U35" s="421">
        <f>SUM(U14+U15+U16+U17+U21+U30+U31+U32+U33+U34)</f>
        <v>125</v>
      </c>
      <c r="V35" s="422">
        <f>IF(T35=0, "    ---- ", IF(ABS(ROUND(100/T35*U35-100,1))&lt;999,ROUND(100/T35*U35-100,1),IF(ROUND(100/T35*U35-100,1)&gt;999,999,-999)))</f>
        <v>-2.2999999999999998</v>
      </c>
      <c r="W35" s="183">
        <f>SUM(W14+W15+W16+W17+W21+W30+W31+W32+W33+W34)</f>
        <v>20.343311068499734</v>
      </c>
      <c r="X35" s="421">
        <f>SUM(X14+X15+X16+X17+X21+X30+X31+X32+X33+X34)</f>
        <v>41.797078043899511</v>
      </c>
      <c r="Y35" s="422">
        <f>IF(W35=0, "    ---- ", IF(ABS(ROUND(100/W35*X35-100,1))&lt;999,ROUND(100/W35*X35-100,1),IF(ROUND(100/W35*X35-100,1)&gt;999,999,-999)))</f>
        <v>105.5</v>
      </c>
      <c r="Z35" s="183">
        <f>SUM(Z14+Z15+Z16+Z17+Z21+Z30+Z31+Z32+Z33+Z34)</f>
        <v>-396</v>
      </c>
      <c r="AA35" s="421">
        <f>SUM(AA14+AA15+AA16+AA17+AA21+AA30+AA31+AA32+AA33+AA34)</f>
        <v>445.5694899400014</v>
      </c>
      <c r="AB35" s="422">
        <f>IF(Z35=0, "    ---- ", IF(ABS(ROUND(100/Z35*AA35-100,1))&lt;999,ROUND(100/Z35*AA35-100,1),IF(ROUND(100/Z35*AA35-100,1)&gt;999,999,-999)))</f>
        <v>-212.5</v>
      </c>
      <c r="AC35" s="183">
        <f>SUM(AC14+AC15+AC16+AC17+AC21+AC30+AC31+AC32+AC33+AC34)</f>
        <v>-11</v>
      </c>
      <c r="AD35" s="421">
        <f>SUM(AD14+AD15+AD16+AD17+AD21+AD30+AD31+AD32+AD33+AD34)</f>
        <v>-13</v>
      </c>
      <c r="AE35" s="422">
        <f>IF(AC35=0, "    ---- ", IF(ABS(ROUND(100/AC35*AD35-100,1))&lt;999,ROUND(100/AC35*AD35-100,1),IF(ROUND(100/AC35*AD35-100,1)&gt;999,999,-999)))</f>
        <v>18.2</v>
      </c>
      <c r="AF35" s="422">
        <f t="shared" si="14"/>
        <v>533.92192826849862</v>
      </c>
      <c r="AG35" s="422">
        <f t="shared" si="14"/>
        <v>1600.473242093904</v>
      </c>
      <c r="AH35" s="422">
        <f t="shared" si="10"/>
        <v>199.8</v>
      </c>
      <c r="AI35" s="422"/>
      <c r="AJ35" s="422"/>
      <c r="AK35" s="422"/>
    </row>
    <row r="36" spans="1:37" s="437" customFormat="1" ht="18.75" customHeight="1" x14ac:dyDescent="0.3">
      <c r="A36" s="542"/>
      <c r="B36" s="631"/>
      <c r="C36" s="444"/>
      <c r="D36" s="415"/>
      <c r="E36" s="631"/>
      <c r="F36" s="444"/>
      <c r="G36" s="415"/>
      <c r="H36" s="631"/>
      <c r="I36" s="444"/>
      <c r="J36" s="415"/>
      <c r="K36" s="631"/>
      <c r="L36" s="444"/>
      <c r="M36" s="415"/>
      <c r="N36" s="631"/>
      <c r="O36" s="444"/>
      <c r="P36" s="415"/>
      <c r="Q36" s="631"/>
      <c r="R36" s="444"/>
      <c r="S36" s="415"/>
      <c r="T36" s="631"/>
      <c r="U36" s="444"/>
      <c r="V36" s="415"/>
      <c r="W36" s="631"/>
      <c r="X36" s="444"/>
      <c r="Y36" s="543"/>
      <c r="Z36" s="631"/>
      <c r="AA36" s="444"/>
      <c r="AB36" s="543"/>
      <c r="AC36" s="631"/>
      <c r="AD36" s="444"/>
      <c r="AE36" s="543"/>
      <c r="AF36" s="543"/>
      <c r="AG36" s="543"/>
      <c r="AH36" s="543"/>
      <c r="AI36" s="544"/>
      <c r="AJ36" s="545"/>
      <c r="AK36" s="546"/>
    </row>
    <row r="37" spans="1:37" s="437" customFormat="1" ht="18.75" customHeight="1" x14ac:dyDescent="0.3">
      <c r="A37" s="532" t="s">
        <v>277</v>
      </c>
      <c r="B37" s="631"/>
      <c r="C37" s="444"/>
      <c r="D37" s="415"/>
      <c r="E37" s="631"/>
      <c r="F37" s="444"/>
      <c r="G37" s="415"/>
      <c r="H37" s="631"/>
      <c r="I37" s="444"/>
      <c r="J37" s="415"/>
      <c r="K37" s="631"/>
      <c r="L37" s="444"/>
      <c r="M37" s="415"/>
      <c r="N37" s="631"/>
      <c r="O37" s="444"/>
      <c r="P37" s="415"/>
      <c r="Q37" s="631"/>
      <c r="R37" s="444"/>
      <c r="S37" s="415"/>
      <c r="T37" s="631"/>
      <c r="U37" s="444"/>
      <c r="V37" s="415"/>
      <c r="W37" s="631"/>
      <c r="X37" s="444"/>
      <c r="Y37" s="415"/>
      <c r="Z37" s="631"/>
      <c r="AA37" s="444"/>
      <c r="AB37" s="415"/>
      <c r="AC37" s="631"/>
      <c r="AD37" s="444"/>
      <c r="AE37" s="415"/>
      <c r="AF37" s="415"/>
      <c r="AG37" s="415"/>
      <c r="AH37" s="415"/>
      <c r="AI37" s="547"/>
      <c r="AJ37" s="548"/>
      <c r="AK37" s="549"/>
    </row>
    <row r="38" spans="1:37" s="427" customFormat="1" ht="18.75" customHeight="1" x14ac:dyDescent="0.3">
      <c r="A38" s="530" t="s">
        <v>278</v>
      </c>
      <c r="B38" s="632">
        <v>310.34256166</v>
      </c>
      <c r="C38" s="439">
        <v>385.91728004999999</v>
      </c>
      <c r="D38" s="322">
        <f t="shared" ref="D38:D44" si="24">IF(B38=0, "    ---- ", IF(ABS(ROUND(100/B38*C38-100,1))&lt;999,ROUND(100/B38*C38-100,1),IF(ROUND(100/B38*C38-100,1)&gt;999,999,-999)))</f>
        <v>24.4</v>
      </c>
      <c r="E38" s="632">
        <v>21.896278609999996</v>
      </c>
      <c r="F38" s="439">
        <v>30.874597970000003</v>
      </c>
      <c r="G38" s="322">
        <f t="shared" ref="G38:G44" si="25">IF(E38=0, "    ---- ", IF(ABS(ROUND(100/E38*F38-100,1))&lt;999,ROUND(100/E38*F38-100,1),IF(ROUND(100/E38*F38-100,1)&gt;999,999,-999)))</f>
        <v>41</v>
      </c>
      <c r="H38" s="632">
        <v>6.1599000000000004</v>
      </c>
      <c r="I38" s="439">
        <v>7.27</v>
      </c>
      <c r="J38" s="322">
        <f t="shared" ref="J38:J44" si="26">IF(H38=0, "    ---- ", IF(ABS(ROUND(100/H38*I38-100,1))&lt;999,ROUND(100/H38*I38-100,1),IF(ROUND(100/H38*I38-100,1)&gt;999,999,-999)))</f>
        <v>18</v>
      </c>
      <c r="K38" s="632">
        <v>14</v>
      </c>
      <c r="L38" s="439">
        <v>13</v>
      </c>
      <c r="M38" s="322">
        <f t="shared" ref="M38:M44" si="27">IF(K38=0, "    ---- ", IF(ABS(ROUND(100/K38*L38-100,1))&lt;999,ROUND(100/K38*L38-100,1),IF(ROUND(100/K38*L38-100,1)&gt;999,999,-999)))</f>
        <v>-7.1</v>
      </c>
      <c r="N38" s="632">
        <v>372.27883307999997</v>
      </c>
      <c r="O38" s="439">
        <v>146.34920609</v>
      </c>
      <c r="P38" s="322">
        <f t="shared" ref="P38:P45" si="28">IF(N38=0, "    ---- ", IF(ABS(ROUND(100/N38*O38-100,1))&lt;999,ROUND(100/N38*O38-100,1),IF(ROUND(100/N38*O38-100,1)&gt;999,999,-999)))</f>
        <v>-60.7</v>
      </c>
      <c r="Q38" s="632">
        <v>81.610570769999981</v>
      </c>
      <c r="R38" s="439">
        <v>148.52000000000001</v>
      </c>
      <c r="S38" s="322">
        <f t="shared" ref="S38:S45" si="29">IF(Q38=0, "    ---- ", IF(ABS(ROUND(100/Q38*R38-100,1))&lt;999,ROUND(100/Q38*R38-100,1),IF(ROUND(100/Q38*R38-100,1)&gt;999,999,-999)))</f>
        <v>82</v>
      </c>
      <c r="T38" s="632">
        <v>189</v>
      </c>
      <c r="U38" s="439">
        <v>212</v>
      </c>
      <c r="V38" s="322">
        <f t="shared" ref="V38:V44" si="30">IF(T38=0, "    ---- ", IF(ABS(ROUND(100/T38*U38-100,1))&lt;999,ROUND(100/T38*U38-100,1),IF(ROUND(100/T38*U38-100,1)&gt;999,999,-999)))</f>
        <v>12.2</v>
      </c>
      <c r="W38" s="632">
        <v>63.841289290004937</v>
      </c>
      <c r="X38" s="439">
        <v>55.015957809999314</v>
      </c>
      <c r="Y38" s="322">
        <f t="shared" ref="Y38:Y44" si="31">IF(W38=0, "    ---- ", IF(ABS(ROUND(100/W38*X38-100,1))&lt;999,ROUND(100/W38*X38-100,1),IF(ROUND(100/W38*X38-100,1)&gt;999,999,-999)))</f>
        <v>-13.8</v>
      </c>
      <c r="Z38" s="632">
        <v>1226</v>
      </c>
      <c r="AA38" s="439">
        <v>1301.0966150400002</v>
      </c>
      <c r="AB38" s="322">
        <f t="shared" ref="AB38:AB45" si="32">IF(Z38=0, "    ---- ", IF(ABS(ROUND(100/Z38*AA38-100,1))&lt;999,ROUND(100/Z38*AA38-100,1),IF(ROUND(100/Z38*AA38-100,1)&gt;999,999,-999)))</f>
        <v>6.1</v>
      </c>
      <c r="AC38" s="632"/>
      <c r="AD38" s="439"/>
      <c r="AE38" s="322"/>
      <c r="AF38" s="322">
        <f>B38+E38+H38+K38+N38+Q38+T38+W38+Z38</f>
        <v>2285.1294334100048</v>
      </c>
      <c r="AG38" s="322">
        <f>C38+F38+I38+L38+O38+R38+U38+X38+AA38</f>
        <v>2300.0436569599997</v>
      </c>
      <c r="AH38" s="322">
        <f t="shared" si="10"/>
        <v>0.7</v>
      </c>
      <c r="AI38" s="539"/>
      <c r="AJ38" s="550"/>
      <c r="AK38" s="462"/>
    </row>
    <row r="39" spans="1:37" s="427" customFormat="1" ht="18.75" customHeight="1" x14ac:dyDescent="0.3">
      <c r="A39" s="530" t="s">
        <v>279</v>
      </c>
      <c r="B39" s="632">
        <v>2.871413</v>
      </c>
      <c r="C39" s="439">
        <v>2.4251109999999998</v>
      </c>
      <c r="D39" s="322">
        <f t="shared" si="24"/>
        <v>-15.5</v>
      </c>
      <c r="E39" s="632"/>
      <c r="F39" s="439"/>
      <c r="G39" s="322"/>
      <c r="H39" s="632"/>
      <c r="I39" s="439"/>
      <c r="J39" s="322"/>
      <c r="K39" s="632"/>
      <c r="L39" s="439"/>
      <c r="M39" s="322"/>
      <c r="N39" s="632">
        <v>7.7720612300000003</v>
      </c>
      <c r="O39" s="439">
        <v>13.335651840000001</v>
      </c>
      <c r="P39" s="322">
        <f t="shared" si="28"/>
        <v>71.599999999999994</v>
      </c>
      <c r="Q39" s="632">
        <v>-1.692188E-2</v>
      </c>
      <c r="R39" s="439">
        <v>0.15</v>
      </c>
      <c r="S39" s="322">
        <f t="shared" si="29"/>
        <v>-986.4</v>
      </c>
      <c r="T39" s="632">
        <v>5</v>
      </c>
      <c r="U39" s="439">
        <v>11</v>
      </c>
      <c r="V39" s="322">
        <f t="shared" si="30"/>
        <v>120</v>
      </c>
      <c r="W39" s="632">
        <v>4.9848598499999994</v>
      </c>
      <c r="X39" s="439">
        <v>6.6608285199999999</v>
      </c>
      <c r="Y39" s="322">
        <f t="shared" si="31"/>
        <v>33.6</v>
      </c>
      <c r="Z39" s="632">
        <v>16</v>
      </c>
      <c r="AA39" s="439">
        <v>24.466638220000004</v>
      </c>
      <c r="AB39" s="322">
        <f t="shared" si="32"/>
        <v>52.9</v>
      </c>
      <c r="AC39" s="632"/>
      <c r="AD39" s="439"/>
      <c r="AE39" s="322"/>
      <c r="AF39" s="322">
        <f t="shared" ref="AF39:AG46" si="33">B39+E39+H39+K39+N39+Q39+T39+W39+Z39</f>
        <v>36.611412200000004</v>
      </c>
      <c r="AG39" s="322">
        <f t="shared" si="33"/>
        <v>58.038229580000007</v>
      </c>
      <c r="AH39" s="322">
        <f t="shared" si="10"/>
        <v>58.5</v>
      </c>
      <c r="AI39" s="322"/>
      <c r="AJ39" s="551"/>
      <c r="AK39" s="322"/>
    </row>
    <row r="40" spans="1:37" s="427" customFormat="1" ht="18.75" customHeight="1" x14ac:dyDescent="0.3">
      <c r="A40" s="530" t="s">
        <v>280</v>
      </c>
      <c r="B40" s="632">
        <v>-104.86931712999998</v>
      </c>
      <c r="C40" s="439">
        <v>-133.13993366999998</v>
      </c>
      <c r="D40" s="322">
        <f t="shared" si="24"/>
        <v>27</v>
      </c>
      <c r="E40" s="632">
        <v>-8.2513763299999994</v>
      </c>
      <c r="F40" s="439">
        <v>-9.9952983999999994</v>
      </c>
      <c r="G40" s="322">
        <f t="shared" si="25"/>
        <v>21.1</v>
      </c>
      <c r="H40" s="632"/>
      <c r="I40" s="439"/>
      <c r="J40" s="322"/>
      <c r="K40" s="632">
        <v>-4</v>
      </c>
      <c r="L40" s="439">
        <v>-5</v>
      </c>
      <c r="M40" s="322">
        <f t="shared" si="27"/>
        <v>25</v>
      </c>
      <c r="N40" s="632">
        <v>-78.177887330000004</v>
      </c>
      <c r="O40" s="439">
        <v>-83.789467510000009</v>
      </c>
      <c r="P40" s="322">
        <f t="shared" si="28"/>
        <v>7.2</v>
      </c>
      <c r="Q40" s="632">
        <v>-41.593575889999997</v>
      </c>
      <c r="R40" s="439">
        <v>-51.27</v>
      </c>
      <c r="S40" s="322">
        <f t="shared" si="29"/>
        <v>23.3</v>
      </c>
      <c r="T40" s="632">
        <v>-29</v>
      </c>
      <c r="U40" s="439">
        <v>-7</v>
      </c>
      <c r="V40" s="322">
        <f t="shared" si="30"/>
        <v>-75.900000000000006</v>
      </c>
      <c r="W40" s="632">
        <v>-0.59114153849999984</v>
      </c>
      <c r="X40" s="439">
        <v>-3.1362876139000013</v>
      </c>
      <c r="Y40" s="322">
        <f t="shared" si="31"/>
        <v>430.5</v>
      </c>
      <c r="Z40" s="632">
        <v>-360</v>
      </c>
      <c r="AA40" s="439">
        <v>-246.16708273000003</v>
      </c>
      <c r="AB40" s="322">
        <f t="shared" si="32"/>
        <v>-31.6</v>
      </c>
      <c r="AC40" s="632"/>
      <c r="AD40" s="439"/>
      <c r="AE40" s="322"/>
      <c r="AF40" s="322">
        <f t="shared" si="33"/>
        <v>-626.48329821849995</v>
      </c>
      <c r="AG40" s="322">
        <f t="shared" si="33"/>
        <v>-539.49806992389995</v>
      </c>
      <c r="AH40" s="322">
        <f t="shared" si="10"/>
        <v>-13.9</v>
      </c>
      <c r="AI40" s="322"/>
      <c r="AJ40" s="551"/>
      <c r="AK40" s="322"/>
    </row>
    <row r="41" spans="1:37" s="553" customFormat="1" ht="18.75" customHeight="1" x14ac:dyDescent="0.3">
      <c r="A41" s="542" t="s">
        <v>281</v>
      </c>
      <c r="B41" s="631">
        <f>SUM(B38:B40)</f>
        <v>208.34465753000003</v>
      </c>
      <c r="C41" s="444">
        <f>SUM(C38:C40)</f>
        <v>255.20245738000003</v>
      </c>
      <c r="D41" s="415">
        <f t="shared" si="24"/>
        <v>22.5</v>
      </c>
      <c r="E41" s="631">
        <f>SUM(E38:E40)</f>
        <v>13.644902279999997</v>
      </c>
      <c r="F41" s="444">
        <f>SUM(F38:F40)</f>
        <v>20.879299570000004</v>
      </c>
      <c r="G41" s="415">
        <f t="shared" si="25"/>
        <v>53</v>
      </c>
      <c r="H41" s="631">
        <f>SUM(H38:H40)</f>
        <v>6.1599000000000004</v>
      </c>
      <c r="I41" s="444">
        <f>SUM(I38:I40)</f>
        <v>7.27</v>
      </c>
      <c r="J41" s="415">
        <f t="shared" si="26"/>
        <v>18</v>
      </c>
      <c r="K41" s="631">
        <f>SUM(K38:K40)</f>
        <v>10</v>
      </c>
      <c r="L41" s="444">
        <f>SUM(L38:L40)</f>
        <v>8</v>
      </c>
      <c r="M41" s="415">
        <f t="shared" si="27"/>
        <v>-20</v>
      </c>
      <c r="N41" s="631">
        <v>301.87300698000001</v>
      </c>
      <c r="O41" s="444">
        <f>SUM(O38:O40)</f>
        <v>75.895390419999984</v>
      </c>
      <c r="P41" s="415">
        <f t="shared" si="28"/>
        <v>-74.900000000000006</v>
      </c>
      <c r="Q41" s="631">
        <f>SUM(Q38:Q40)</f>
        <v>40.000072999999986</v>
      </c>
      <c r="R41" s="444">
        <f>SUM(R38:R40)</f>
        <v>97.4</v>
      </c>
      <c r="S41" s="415">
        <f t="shared" si="29"/>
        <v>143.5</v>
      </c>
      <c r="T41" s="631">
        <f>SUM(T38:T40)</f>
        <v>165</v>
      </c>
      <c r="U41" s="444">
        <f>SUM(U38:U40)</f>
        <v>216</v>
      </c>
      <c r="V41" s="415">
        <f t="shared" si="30"/>
        <v>30.9</v>
      </c>
      <c r="W41" s="631">
        <f>SUM(W38:W40)</f>
        <v>68.235007601504932</v>
      </c>
      <c r="X41" s="444">
        <f>SUM(X38:X40)</f>
        <v>58.540498716099314</v>
      </c>
      <c r="Y41" s="415">
        <f t="shared" si="31"/>
        <v>-14.2</v>
      </c>
      <c r="Z41" s="631">
        <f>SUM(Z38:Z40)</f>
        <v>882</v>
      </c>
      <c r="AA41" s="444">
        <f>SUM(AA38:AA40)</f>
        <v>1079.3961705300003</v>
      </c>
      <c r="AB41" s="415">
        <f t="shared" si="32"/>
        <v>22.4</v>
      </c>
      <c r="AC41" s="631"/>
      <c r="AD41" s="444"/>
      <c r="AE41" s="415"/>
      <c r="AF41" s="415">
        <f t="shared" si="33"/>
        <v>1695.2575473915049</v>
      </c>
      <c r="AG41" s="415">
        <f t="shared" si="33"/>
        <v>1818.5838166160997</v>
      </c>
      <c r="AH41" s="415">
        <f t="shared" si="10"/>
        <v>7.3</v>
      </c>
      <c r="AI41" s="415"/>
      <c r="AJ41" s="552"/>
      <c r="AK41" s="415"/>
    </row>
    <row r="42" spans="1:37" s="553" customFormat="1" ht="18.75" customHeight="1" x14ac:dyDescent="0.3">
      <c r="A42" s="542" t="s">
        <v>282</v>
      </c>
      <c r="B42" s="631">
        <f>B35+B41</f>
        <v>187.99163841000075</v>
      </c>
      <c r="C42" s="444">
        <f>C35+C41</f>
        <v>458.21867814000069</v>
      </c>
      <c r="D42" s="415">
        <f t="shared" si="24"/>
        <v>143.69999999999999</v>
      </c>
      <c r="E42" s="631">
        <f>E35+E41</f>
        <v>236.2464680800008</v>
      </c>
      <c r="F42" s="444">
        <f>F35+F41</f>
        <v>271.41272572000008</v>
      </c>
      <c r="G42" s="415">
        <f t="shared" si="25"/>
        <v>14.9</v>
      </c>
      <c r="H42" s="631">
        <f>H35+H41</f>
        <v>8.2748999999998532</v>
      </c>
      <c r="I42" s="444">
        <f>I35+I41</f>
        <v>48.098000000000141</v>
      </c>
      <c r="J42" s="415">
        <f t="shared" si="26"/>
        <v>481.3</v>
      </c>
      <c r="K42" s="631">
        <f>K35+K41</f>
        <v>59</v>
      </c>
      <c r="L42" s="444">
        <f>L35+L41</f>
        <v>61</v>
      </c>
      <c r="M42" s="415">
        <f t="shared" si="27"/>
        <v>3.4</v>
      </c>
      <c r="N42" s="631">
        <v>539.23209849999876</v>
      </c>
      <c r="O42" s="444">
        <f>O35+O41</f>
        <v>182.56958704000104</v>
      </c>
      <c r="P42" s="415">
        <f t="shared" si="28"/>
        <v>-66.099999999999994</v>
      </c>
      <c r="Q42" s="631">
        <f>Q35+Q41</f>
        <v>330.8560519999989</v>
      </c>
      <c r="R42" s="444">
        <f>R35+R41</f>
        <v>431.45483058000104</v>
      </c>
      <c r="S42" s="415">
        <f t="shared" si="29"/>
        <v>30.4</v>
      </c>
      <c r="T42" s="631">
        <f>T35+T41</f>
        <v>293</v>
      </c>
      <c r="U42" s="444">
        <f>U35+U41</f>
        <v>341</v>
      </c>
      <c r="V42" s="415">
        <f t="shared" si="30"/>
        <v>16.399999999999999</v>
      </c>
      <c r="W42" s="631">
        <f>W35+W41</f>
        <v>88.578318670004663</v>
      </c>
      <c r="X42" s="444">
        <f>X35+X41</f>
        <v>100.33757675999883</v>
      </c>
      <c r="Y42" s="415">
        <f t="shared" si="31"/>
        <v>13.3</v>
      </c>
      <c r="Z42" s="631">
        <f>Z35+Z41</f>
        <v>486</v>
      </c>
      <c r="AA42" s="444">
        <f>AA35+AA41</f>
        <v>1524.9656604700017</v>
      </c>
      <c r="AB42" s="415">
        <f t="shared" si="32"/>
        <v>213.8</v>
      </c>
      <c r="AC42" s="631">
        <f>AC35+AC41</f>
        <v>-11</v>
      </c>
      <c r="AD42" s="444">
        <f>AD35+AD41</f>
        <v>-13</v>
      </c>
      <c r="AE42" s="415">
        <f t="shared" ref="AE42:AE44" si="34">IF(AC42=0, "    ---- ", IF(ABS(ROUND(100/AC42*AD42-100,1))&lt;999,ROUND(100/AC42*AD42-100,1),IF(ROUND(100/AC42*AD42-100,1)&gt;999,999,-999)))</f>
        <v>18.2</v>
      </c>
      <c r="AF42" s="415">
        <f t="shared" si="33"/>
        <v>2229.1794756600038</v>
      </c>
      <c r="AG42" s="415">
        <f t="shared" si="33"/>
        <v>3419.0570587100037</v>
      </c>
      <c r="AH42" s="415">
        <f t="shared" si="10"/>
        <v>53.4</v>
      </c>
      <c r="AI42" s="415"/>
      <c r="AJ42" s="552"/>
      <c r="AK42" s="415"/>
    </row>
    <row r="43" spans="1:37" s="427" customFormat="1" ht="18.75" customHeight="1" x14ac:dyDescent="0.3">
      <c r="A43" s="530" t="s">
        <v>283</v>
      </c>
      <c r="B43" s="632">
        <v>-43.500520999999999</v>
      </c>
      <c r="C43" s="439">
        <v>-91.715577999999994</v>
      </c>
      <c r="D43" s="322">
        <f t="shared" si="24"/>
        <v>110.8</v>
      </c>
      <c r="E43" s="632">
        <v>-65.376398870000003</v>
      </c>
      <c r="F43" s="439">
        <v>-71.802947549999999</v>
      </c>
      <c r="G43" s="322">
        <f t="shared" si="25"/>
        <v>9.8000000000000007</v>
      </c>
      <c r="H43" s="632">
        <v>-1.5168999999999999</v>
      </c>
      <c r="I43" s="439">
        <v>-11.887</v>
      </c>
      <c r="J43" s="322">
        <f t="shared" si="26"/>
        <v>683.6</v>
      </c>
      <c r="K43" s="632">
        <v>-15</v>
      </c>
      <c r="L43" s="439">
        <v>-15</v>
      </c>
      <c r="M43" s="322">
        <f t="shared" si="27"/>
        <v>0</v>
      </c>
      <c r="N43" s="632">
        <v>-117.817463475</v>
      </c>
      <c r="O43" s="439">
        <v>-93.139680474999992</v>
      </c>
      <c r="P43" s="322">
        <f t="shared" si="28"/>
        <v>-20.9</v>
      </c>
      <c r="Q43" s="632">
        <v>-78.781106940000001</v>
      </c>
      <c r="R43" s="439">
        <v>-107.41</v>
      </c>
      <c r="S43" s="322">
        <f t="shared" si="29"/>
        <v>36.299999999999997</v>
      </c>
      <c r="T43" s="632"/>
      <c r="U43" s="439">
        <v>-92</v>
      </c>
      <c r="V43" s="322" t="str">
        <f t="shared" si="30"/>
        <v xml:space="preserve">    ---- </v>
      </c>
      <c r="W43" s="632">
        <v>-20.753216999999999</v>
      </c>
      <c r="X43" s="439">
        <v>-21.03317706</v>
      </c>
      <c r="Y43" s="322">
        <f t="shared" si="31"/>
        <v>1.3</v>
      </c>
      <c r="Z43" s="632">
        <v>303</v>
      </c>
      <c r="AA43" s="439">
        <v>-104</v>
      </c>
      <c r="AB43" s="322">
        <f t="shared" si="32"/>
        <v>-134.30000000000001</v>
      </c>
      <c r="AC43" s="632"/>
      <c r="AD43" s="439"/>
      <c r="AE43" s="322"/>
      <c r="AF43" s="322">
        <f t="shared" si="33"/>
        <v>-39.745607285000006</v>
      </c>
      <c r="AG43" s="322">
        <f t="shared" si="33"/>
        <v>-607.9883830849999</v>
      </c>
      <c r="AH43" s="322">
        <f t="shared" si="10"/>
        <v>999</v>
      </c>
      <c r="AI43" s="322"/>
      <c r="AJ43" s="551"/>
      <c r="AK43" s="322"/>
    </row>
    <row r="44" spans="1:37" s="553" customFormat="1" ht="18.75" customHeight="1" x14ac:dyDescent="0.3">
      <c r="A44" s="542" t="s">
        <v>376</v>
      </c>
      <c r="B44" s="631">
        <f>B42+B43</f>
        <v>144.49111741000075</v>
      </c>
      <c r="C44" s="444">
        <f>C42+C43</f>
        <v>366.5031001400007</v>
      </c>
      <c r="D44" s="415">
        <f t="shared" si="24"/>
        <v>153.69999999999999</v>
      </c>
      <c r="E44" s="631">
        <f>E42+E43</f>
        <v>170.87006921000079</v>
      </c>
      <c r="F44" s="444">
        <f>F42+F43</f>
        <v>199.60977817000008</v>
      </c>
      <c r="G44" s="415">
        <f t="shared" si="25"/>
        <v>16.8</v>
      </c>
      <c r="H44" s="631">
        <f>H42+H43</f>
        <v>6.7579999999998535</v>
      </c>
      <c r="I44" s="444">
        <f>I42+I43</f>
        <v>36.211000000000141</v>
      </c>
      <c r="J44" s="415">
        <f t="shared" si="26"/>
        <v>435.8</v>
      </c>
      <c r="K44" s="631">
        <f>K42+K43</f>
        <v>44</v>
      </c>
      <c r="L44" s="444">
        <f>L42+L43</f>
        <v>46</v>
      </c>
      <c r="M44" s="415">
        <f t="shared" si="27"/>
        <v>4.5</v>
      </c>
      <c r="N44" s="631">
        <v>421.41463502499874</v>
      </c>
      <c r="O44" s="444">
        <f>O42+O43</f>
        <v>89.429906565001048</v>
      </c>
      <c r="P44" s="415">
        <f t="shared" si="28"/>
        <v>-78.8</v>
      </c>
      <c r="Q44" s="631">
        <f>Q42+Q43</f>
        <v>252.0749450599989</v>
      </c>
      <c r="R44" s="444">
        <f>R42+R43</f>
        <v>324.04483058000108</v>
      </c>
      <c r="S44" s="415">
        <f t="shared" si="29"/>
        <v>28.6</v>
      </c>
      <c r="T44" s="631">
        <f>T42+T43</f>
        <v>293</v>
      </c>
      <c r="U44" s="444">
        <f>U42+U43</f>
        <v>249</v>
      </c>
      <c r="V44" s="415">
        <f t="shared" si="30"/>
        <v>-15</v>
      </c>
      <c r="W44" s="631">
        <f>W42+W43</f>
        <v>67.82510167000467</v>
      </c>
      <c r="X44" s="444">
        <f>X42+X43</f>
        <v>79.304399699998825</v>
      </c>
      <c r="Y44" s="415">
        <f t="shared" si="31"/>
        <v>16.899999999999999</v>
      </c>
      <c r="Z44" s="631">
        <f>Z42+Z43</f>
        <v>789</v>
      </c>
      <c r="AA44" s="444">
        <f>AA42+AA43</f>
        <v>1420.9656604700017</v>
      </c>
      <c r="AB44" s="415">
        <f t="shared" si="32"/>
        <v>80.099999999999994</v>
      </c>
      <c r="AC44" s="631">
        <f>AC42+AC43</f>
        <v>-11</v>
      </c>
      <c r="AD44" s="444">
        <f>AD42+AD43</f>
        <v>-13</v>
      </c>
      <c r="AE44" s="415">
        <f t="shared" si="34"/>
        <v>18.2</v>
      </c>
      <c r="AF44" s="415">
        <f t="shared" si="33"/>
        <v>2189.4338683750038</v>
      </c>
      <c r="AG44" s="415">
        <f t="shared" si="33"/>
        <v>2811.0686756250034</v>
      </c>
      <c r="AH44" s="415">
        <f t="shared" si="10"/>
        <v>28.4</v>
      </c>
      <c r="AI44" s="415"/>
      <c r="AJ44" s="552"/>
      <c r="AK44" s="415"/>
    </row>
    <row r="45" spans="1:37" s="427" customFormat="1" ht="18.75" customHeight="1" x14ac:dyDescent="0.3">
      <c r="A45" s="530" t="s">
        <v>377</v>
      </c>
      <c r="B45" s="632"/>
      <c r="C45" s="439"/>
      <c r="D45" s="322"/>
      <c r="E45" s="632"/>
      <c r="F45" s="439"/>
      <c r="G45" s="322"/>
      <c r="H45" s="632"/>
      <c r="I45" s="439"/>
      <c r="J45" s="322"/>
      <c r="K45" s="632"/>
      <c r="L45" s="439"/>
      <c r="M45" s="322"/>
      <c r="N45" s="632">
        <v>32.733161074999998</v>
      </c>
      <c r="O45" s="439">
        <v>159.08984438500002</v>
      </c>
      <c r="P45" s="322">
        <f t="shared" si="28"/>
        <v>386</v>
      </c>
      <c r="Q45" s="632">
        <v>4.4026600399999998</v>
      </c>
      <c r="R45" s="439">
        <v>11.63</v>
      </c>
      <c r="S45" s="322">
        <f t="shared" si="29"/>
        <v>164.2</v>
      </c>
      <c r="T45" s="632"/>
      <c r="U45" s="439"/>
      <c r="V45" s="322"/>
      <c r="W45" s="632"/>
      <c r="X45" s="439"/>
      <c r="Y45" s="322"/>
      <c r="Z45" s="632">
        <v>-11</v>
      </c>
      <c r="AA45" s="439">
        <v>-5.5107688531279566E-9</v>
      </c>
      <c r="AB45" s="322">
        <f t="shared" si="32"/>
        <v>-100</v>
      </c>
      <c r="AC45" s="632"/>
      <c r="AD45" s="439"/>
      <c r="AE45" s="322"/>
      <c r="AF45" s="322">
        <f t="shared" si="33"/>
        <v>26.135821114999999</v>
      </c>
      <c r="AG45" s="322">
        <f t="shared" si="33"/>
        <v>170.71984437948925</v>
      </c>
      <c r="AH45" s="322">
        <f t="shared" si="10"/>
        <v>553.20000000000005</v>
      </c>
      <c r="AI45" s="322"/>
      <c r="AJ45" s="551"/>
      <c r="AK45" s="322"/>
    </row>
    <row r="46" spans="1:37" s="553" customFormat="1" ht="18.75" customHeight="1" x14ac:dyDescent="0.3">
      <c r="A46" s="541" t="s">
        <v>284</v>
      </c>
      <c r="B46" s="633">
        <f>B44+B45</f>
        <v>144.49111741000075</v>
      </c>
      <c r="C46" s="445">
        <f>C44+C45</f>
        <v>366.5031001400007</v>
      </c>
      <c r="D46" s="422">
        <f>IF(B46=0, "    ---- ", IF(ABS(ROUND(100/B46*C46-100,1))&lt;999,ROUND(100/B46*C46-100,1),IF(ROUND(100/B46*C46-100,1)&gt;999,999,-999)))</f>
        <v>153.69999999999999</v>
      </c>
      <c r="E46" s="633">
        <f>E44+E45</f>
        <v>170.87006921000079</v>
      </c>
      <c r="F46" s="445">
        <f>F44+F45</f>
        <v>199.60977817000008</v>
      </c>
      <c r="G46" s="422">
        <f>IF(E46=0, "    ---- ", IF(ABS(ROUND(100/E46*F46-100,1))&lt;999,ROUND(100/E46*F46-100,1),IF(ROUND(100/E46*F46-100,1)&gt;999,999,-999)))</f>
        <v>16.8</v>
      </c>
      <c r="H46" s="633">
        <f>H44+H45</f>
        <v>6.7579999999998535</v>
      </c>
      <c r="I46" s="445">
        <f>I44+I45</f>
        <v>36.211000000000141</v>
      </c>
      <c r="J46" s="422">
        <f>IF(H46=0, "    ---- ", IF(ABS(ROUND(100/H46*I46-100,1))&lt;999,ROUND(100/H46*I46-100,1),IF(ROUND(100/H46*I46-100,1)&gt;999,999,-999)))</f>
        <v>435.8</v>
      </c>
      <c r="K46" s="633">
        <f>K44+K45</f>
        <v>44</v>
      </c>
      <c r="L46" s="445">
        <f>L44+L45</f>
        <v>46</v>
      </c>
      <c r="M46" s="422">
        <f>IF(K46=0, "    ---- ", IF(ABS(ROUND(100/K46*L46-100,1))&lt;999,ROUND(100/K46*L46-100,1),IF(ROUND(100/K46*L46-100,1)&gt;999,999,-999)))</f>
        <v>4.5</v>
      </c>
      <c r="N46" s="633">
        <f>N44+N45</f>
        <v>454.14779609999874</v>
      </c>
      <c r="O46" s="445">
        <f>O44+O45</f>
        <v>248.51975095000108</v>
      </c>
      <c r="P46" s="422">
        <f>IF(N46=0, "    ---- ", IF(ABS(ROUND(100/N46*O46-100,1))&lt;999,ROUND(100/N46*O46-100,1),IF(ROUND(100/N46*O46-100,1)&gt;999,999,-999)))</f>
        <v>-45.3</v>
      </c>
      <c r="Q46" s="633">
        <f>Q44+Q45</f>
        <v>256.47760509999887</v>
      </c>
      <c r="R46" s="445">
        <f>R44+R45</f>
        <v>335.67483058000107</v>
      </c>
      <c r="S46" s="422">
        <f>IF(Q46=0, "    ---- ", IF(ABS(ROUND(100/Q46*R46-100,1))&lt;999,ROUND(100/Q46*R46-100,1),IF(ROUND(100/Q46*R46-100,1)&gt;999,999,-999)))</f>
        <v>30.9</v>
      </c>
      <c r="T46" s="633">
        <f>T44+T45</f>
        <v>293</v>
      </c>
      <c r="U46" s="445">
        <f>U44+U45</f>
        <v>249</v>
      </c>
      <c r="V46" s="422">
        <f>IF(T46=0, "    ---- ", IF(ABS(ROUND(100/T46*U46-100,1))&lt;999,ROUND(100/T46*U46-100,1),IF(ROUND(100/T46*U46-100,1)&gt;999,999,-999)))</f>
        <v>-15</v>
      </c>
      <c r="W46" s="633">
        <f>W44+W45</f>
        <v>67.82510167000467</v>
      </c>
      <c r="X46" s="445">
        <f>X44+X45</f>
        <v>79.304399699998825</v>
      </c>
      <c r="Y46" s="422">
        <f>IF(W46=0, "    ---- ", IF(ABS(ROUND(100/W46*X46-100,1))&lt;999,ROUND(100/W46*X46-100,1),IF(ROUND(100/W46*X46-100,1)&gt;999,999,-999)))</f>
        <v>16.899999999999999</v>
      </c>
      <c r="Z46" s="633">
        <f>Z44+Z45</f>
        <v>778</v>
      </c>
      <c r="AA46" s="445">
        <f>AA44+AA45</f>
        <v>1420.9656604644908</v>
      </c>
      <c r="AB46" s="422">
        <f>IF(Z46=0, "    ---- ", IF(ABS(ROUND(100/Z46*AA46-100,1))&lt;999,ROUND(100/Z46*AA46-100,1),IF(ROUND(100/Z46*AA46-100,1)&gt;999,999,-999)))</f>
        <v>82.6</v>
      </c>
      <c r="AC46" s="633">
        <f>AC44+AC45</f>
        <v>-11</v>
      </c>
      <c r="AD46" s="445">
        <f>AD44+AD45</f>
        <v>-13</v>
      </c>
      <c r="AE46" s="422">
        <f>IF(AC46=0, "    ---- ", IF(ABS(ROUND(100/AC46*AD46-100,1))&lt;999,ROUND(100/AC46*AD46-100,1),IF(ROUND(100/AC46*AD46-100,1)&gt;999,999,-999)))</f>
        <v>18.2</v>
      </c>
      <c r="AF46" s="415">
        <f t="shared" si="33"/>
        <v>2215.5696894900038</v>
      </c>
      <c r="AG46" s="415">
        <f t="shared" si="33"/>
        <v>2981.788520004493</v>
      </c>
      <c r="AH46" s="422">
        <f t="shared" si="10"/>
        <v>34.6</v>
      </c>
      <c r="AI46" s="554"/>
      <c r="AJ46" s="555"/>
      <c r="AK46" s="556"/>
    </row>
    <row r="47" spans="1:37" s="553" customFormat="1" ht="18.75" customHeight="1" x14ac:dyDescent="0.3">
      <c r="A47" s="557"/>
      <c r="B47" s="558"/>
      <c r="C47" s="558"/>
      <c r="D47" s="543"/>
      <c r="E47" s="558"/>
      <c r="F47" s="558"/>
      <c r="G47" s="543"/>
      <c r="H47" s="558"/>
      <c r="I47" s="558"/>
      <c r="J47" s="543"/>
      <c r="K47" s="558"/>
      <c r="L47" s="558"/>
      <c r="M47" s="559"/>
      <c r="N47" s="558"/>
      <c r="O47" s="558"/>
      <c r="P47" s="543"/>
      <c r="Q47" s="558"/>
      <c r="R47" s="558"/>
      <c r="S47" s="543"/>
      <c r="T47" s="558"/>
      <c r="U47" s="558"/>
      <c r="V47" s="543"/>
      <c r="W47" s="558"/>
      <c r="X47" s="558"/>
      <c r="Y47" s="543"/>
      <c r="Z47" s="558"/>
      <c r="AA47" s="558"/>
      <c r="AB47" s="543"/>
      <c r="AC47" s="558"/>
      <c r="AD47" s="558"/>
      <c r="AE47" s="543"/>
      <c r="AF47" s="559"/>
      <c r="AG47" s="559"/>
      <c r="AH47" s="543"/>
      <c r="AI47" s="560"/>
      <c r="AJ47" s="560"/>
      <c r="AK47" s="561"/>
    </row>
    <row r="48" spans="1:37" s="553" customFormat="1" ht="18.75" customHeight="1" x14ac:dyDescent="0.3">
      <c r="A48" s="459" t="s">
        <v>285</v>
      </c>
      <c r="B48" s="562"/>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row>
    <row r="49" spans="1:37" s="427" customFormat="1" ht="18.75" customHeight="1" x14ac:dyDescent="0.3">
      <c r="A49" s="562" t="s">
        <v>286</v>
      </c>
      <c r="B49" s="562"/>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row>
    <row r="50" spans="1:37" s="427" customFormat="1" ht="18.75" customHeight="1" x14ac:dyDescent="0.3">
      <c r="A50" s="562" t="s">
        <v>287</v>
      </c>
      <c r="B50" s="562"/>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row>
    <row r="51" spans="1:37" s="427" customFormat="1" ht="18.75" customHeight="1" x14ac:dyDescent="0.3">
      <c r="A51" s="562" t="s">
        <v>288</v>
      </c>
      <c r="B51" s="562"/>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row>
    <row r="52" spans="1:37" s="427" customFormat="1" ht="18.75" customHeight="1" x14ac:dyDescent="0.3">
      <c r="A52" s="562" t="s">
        <v>289</v>
      </c>
      <c r="B52" s="562"/>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row>
    <row r="53" spans="1:37" s="427" customFormat="1" ht="18.75" customHeight="1" x14ac:dyDescent="0.3">
      <c r="A53" s="562" t="s">
        <v>290</v>
      </c>
      <c r="B53" s="56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2"/>
    </row>
    <row r="54" spans="1:37" s="427" customFormat="1" ht="18.75" customHeight="1" x14ac:dyDescent="0.3">
      <c r="A54" s="562" t="s">
        <v>291</v>
      </c>
      <c r="B54" s="562"/>
      <c r="C54" s="562"/>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2"/>
    </row>
    <row r="55" spans="1:37" s="427" customFormat="1" ht="18.75" customHeight="1" x14ac:dyDescent="0.3">
      <c r="A55" s="562" t="s">
        <v>292</v>
      </c>
      <c r="B55" s="562"/>
      <c r="C55" s="562"/>
      <c r="D55" s="562"/>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2"/>
      <c r="AJ55" s="562"/>
      <c r="AK55" s="562"/>
    </row>
    <row r="56" spans="1:37" s="427" customFormat="1" ht="18.75" customHeight="1" x14ac:dyDescent="0.3">
      <c r="A56" s="562" t="s">
        <v>293</v>
      </c>
      <c r="B56" s="562"/>
      <c r="C56" s="562"/>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2"/>
    </row>
    <row r="57" spans="1:37" s="427" customFormat="1" ht="18.75" customHeight="1" x14ac:dyDescent="0.3">
      <c r="A57" s="562" t="s">
        <v>294</v>
      </c>
      <c r="B57" s="562"/>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2"/>
    </row>
    <row r="58" spans="1:37" s="553" customFormat="1" ht="18.75" customHeight="1" x14ac:dyDescent="0.3">
      <c r="A58" s="460" t="s">
        <v>295</v>
      </c>
      <c r="B58" s="563"/>
      <c r="C58" s="563"/>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3"/>
    </row>
    <row r="59" spans="1:37" s="430" customFormat="1" ht="18.75" customHeight="1" x14ac:dyDescent="0.3">
      <c r="A59" s="427" t="s">
        <v>222</v>
      </c>
    </row>
    <row r="60" spans="1:37" s="430" customFormat="1" ht="18.75" customHeight="1" x14ac:dyDescent="0.3">
      <c r="A60" s="427" t="s">
        <v>223</v>
      </c>
    </row>
    <row r="61" spans="1:37" s="430" customFormat="1" ht="18.75" customHeight="1" x14ac:dyDescent="0.3">
      <c r="A61" s="427" t="s">
        <v>224</v>
      </c>
    </row>
    <row r="62" spans="1:37" s="430" customFormat="1" ht="18.75" x14ac:dyDescent="0.3"/>
  </sheetData>
  <mergeCells count="23">
    <mergeCell ref="K5:M5"/>
    <mergeCell ref="AF5:AH5"/>
    <mergeCell ref="N5:P5"/>
    <mergeCell ref="Z5:AB5"/>
    <mergeCell ref="T5:V5"/>
    <mergeCell ref="W5:Y5"/>
    <mergeCell ref="AC5:AE5"/>
    <mergeCell ref="AF6:AH6"/>
    <mergeCell ref="AI6:AK6"/>
    <mergeCell ref="AI5:AK5"/>
    <mergeCell ref="AC6:AE6"/>
    <mergeCell ref="B6:D6"/>
    <mergeCell ref="E6:G6"/>
    <mergeCell ref="H6:J6"/>
    <mergeCell ref="K6:M6"/>
    <mergeCell ref="N6:P6"/>
    <mergeCell ref="Q6:S6"/>
    <mergeCell ref="T6:V6"/>
    <mergeCell ref="W6:Y6"/>
    <mergeCell ref="Z6:AB6"/>
    <mergeCell ref="B5:D5"/>
    <mergeCell ref="E5:G5"/>
    <mergeCell ref="H5:J5"/>
  </mergeCells>
  <conditionalFormatting sqref="AG27 AG25">
    <cfRule type="expression" dxfId="150" priority="119">
      <formula>kvartal &lt; 4</formula>
    </cfRule>
  </conditionalFormatting>
  <conditionalFormatting sqref="Q35">
    <cfRule type="expression" dxfId="149" priority="112">
      <formula>#REF! ="35≠14+15+16+17+22+30+31+32+33+34"</formula>
    </cfRule>
  </conditionalFormatting>
  <conditionalFormatting sqref="Q46">
    <cfRule type="expression" dxfId="148" priority="113">
      <formula>#REF! ="46≠35+38+39+40+43+45"</formula>
    </cfRule>
  </conditionalFormatting>
  <conditionalFormatting sqref="Q14">
    <cfRule type="expression" dxfId="147" priority="110">
      <formula>#REF! ="14≠11+12+13"</formula>
    </cfRule>
  </conditionalFormatting>
  <conditionalFormatting sqref="Q21">
    <cfRule type="expression" dxfId="146" priority="111">
      <formula>#REF! ="22≠19+20+21"</formula>
    </cfRule>
  </conditionalFormatting>
  <conditionalFormatting sqref="Q30">
    <cfRule type="expression" dxfId="145" priority="109">
      <formula>#REF! ="30≠24+25+26+27+28+29"</formula>
    </cfRule>
  </conditionalFormatting>
  <conditionalFormatting sqref="R25">
    <cfRule type="expression" dxfId="144" priority="108">
      <formula>kvartal &lt; 4</formula>
    </cfRule>
  </conditionalFormatting>
  <conditionalFormatting sqref="R27">
    <cfRule type="expression" dxfId="143" priority="107">
      <formula>kvartal &lt; 4</formula>
    </cfRule>
  </conditionalFormatting>
  <conditionalFormatting sqref="Z14">
    <cfRule type="expression" dxfId="142" priority="98">
      <formula>#REF! ="14≠11+12+13"</formula>
    </cfRule>
  </conditionalFormatting>
  <conditionalFormatting sqref="Z21">
    <cfRule type="expression" dxfId="141" priority="99">
      <formula>#REF! ="22≠19+20+21"</formula>
    </cfRule>
  </conditionalFormatting>
  <conditionalFormatting sqref="Z30">
    <cfRule type="expression" dxfId="140" priority="97">
      <formula>#REF! ="30≠24+25+26+27+28+29"</formula>
    </cfRule>
  </conditionalFormatting>
  <conditionalFormatting sqref="Z35">
    <cfRule type="expression" dxfId="139" priority="100">
      <formula>#REF! ="35≠14+15+16+17+22+30+31+32+33+34"</formula>
    </cfRule>
  </conditionalFormatting>
  <conditionalFormatting sqref="Z46">
    <cfRule type="expression" dxfId="138" priority="101">
      <formula>#REF! ="46≠35+38+39+40+43+45"</formula>
    </cfRule>
  </conditionalFormatting>
  <conditionalFormatting sqref="AA25">
    <cfRule type="expression" dxfId="137" priority="96">
      <formula>kvartal &lt; 4</formula>
    </cfRule>
  </conditionalFormatting>
  <conditionalFormatting sqref="AA27">
    <cfRule type="expression" dxfId="136" priority="95">
      <formula>kvartal &lt; 4</formula>
    </cfRule>
  </conditionalFormatting>
  <conditionalFormatting sqref="W14">
    <cfRule type="expression" dxfId="135" priority="86">
      <formula>#REF! ="14≠11+12+13"</formula>
    </cfRule>
  </conditionalFormatting>
  <conditionalFormatting sqref="W21">
    <cfRule type="expression" dxfId="134" priority="87">
      <formula>#REF! ="22≠19+20+21"</formula>
    </cfRule>
  </conditionalFormatting>
  <conditionalFormatting sqref="W30">
    <cfRule type="expression" dxfId="133" priority="85">
      <formula>#REF! ="30≠24+25+26+27+28+29"</formula>
    </cfRule>
  </conditionalFormatting>
  <conditionalFormatting sqref="W35">
    <cfRule type="expression" dxfId="132" priority="88">
      <formula>#REF! ="35≠14+15+16+17+22+30+31+32+33+34"</formula>
    </cfRule>
  </conditionalFormatting>
  <conditionalFormatting sqref="W46">
    <cfRule type="expression" dxfId="131" priority="89">
      <formula>#REF! ="46≠35+38+39+40+43+45"</formula>
    </cfRule>
  </conditionalFormatting>
  <conditionalFormatting sqref="X25">
    <cfRule type="expression" dxfId="130" priority="84">
      <formula>kvartal &lt; 4</formula>
    </cfRule>
  </conditionalFormatting>
  <conditionalFormatting sqref="X27">
    <cfRule type="expression" dxfId="129" priority="83">
      <formula>kvartal &lt; 4</formula>
    </cfRule>
  </conditionalFormatting>
  <conditionalFormatting sqref="K35">
    <cfRule type="expression" dxfId="128" priority="76">
      <formula>#REF! ="35≠14+15+16+17+22+30+31+32+33+34"</formula>
    </cfRule>
  </conditionalFormatting>
  <conditionalFormatting sqref="K46">
    <cfRule type="expression" dxfId="127" priority="77">
      <formula>#REF! ="46≠35+38+39+40+43+45"</formula>
    </cfRule>
  </conditionalFormatting>
  <conditionalFormatting sqref="K14">
    <cfRule type="expression" dxfId="126" priority="74">
      <formula>#REF! ="14≠11+12+13"</formula>
    </cfRule>
  </conditionalFormatting>
  <conditionalFormatting sqref="K21">
    <cfRule type="expression" dxfId="125" priority="75">
      <formula>#REF! ="22≠19+20+21"</formula>
    </cfRule>
  </conditionalFormatting>
  <conditionalFormatting sqref="K30">
    <cfRule type="expression" dxfId="124" priority="73">
      <formula>#REF! ="30≠24+25+26+27+28+29"</formula>
    </cfRule>
  </conditionalFormatting>
  <conditionalFormatting sqref="L25">
    <cfRule type="expression" dxfId="123" priority="72">
      <formula>kvartal &lt; 4</formula>
    </cfRule>
  </conditionalFormatting>
  <conditionalFormatting sqref="L27">
    <cfRule type="expression" dxfId="122" priority="71">
      <formula>kvartal &lt; 4</formula>
    </cfRule>
  </conditionalFormatting>
  <conditionalFormatting sqref="H14">
    <cfRule type="expression" dxfId="121" priority="62">
      <formula>#REF! ="14≠11+12+13"</formula>
    </cfRule>
  </conditionalFormatting>
  <conditionalFormatting sqref="H21">
    <cfRule type="expression" dxfId="120" priority="63">
      <formula>#REF! ="22≠19+20+21"</formula>
    </cfRule>
  </conditionalFormatting>
  <conditionalFormatting sqref="H30">
    <cfRule type="expression" dxfId="119" priority="61">
      <formula>#REF! ="30≠24+25+26+27+28+29"</formula>
    </cfRule>
  </conditionalFormatting>
  <conditionalFormatting sqref="H35">
    <cfRule type="expression" dxfId="118" priority="64">
      <formula>#REF! ="35≠14+15+16+17+22+30+31+32+33+34"</formula>
    </cfRule>
  </conditionalFormatting>
  <conditionalFormatting sqref="H46">
    <cfRule type="expression" dxfId="117" priority="65">
      <formula>#REF! ="46≠35+38+39+40+43+45"</formula>
    </cfRule>
  </conditionalFormatting>
  <conditionalFormatting sqref="I25">
    <cfRule type="expression" dxfId="116" priority="60">
      <formula>kvartal &lt; 4</formula>
    </cfRule>
  </conditionalFormatting>
  <conditionalFormatting sqref="I27">
    <cfRule type="expression" dxfId="115" priority="59">
      <formula>kvartal &lt; 4</formula>
    </cfRule>
  </conditionalFormatting>
  <conditionalFormatting sqref="B14">
    <cfRule type="expression" dxfId="114" priority="51">
      <formula>#REF! ="14≠11+12+13"</formula>
    </cfRule>
  </conditionalFormatting>
  <conditionalFormatting sqref="B21">
    <cfRule type="expression" dxfId="113" priority="52">
      <formula>#REF! ="22≠19+20+21"</formula>
    </cfRule>
  </conditionalFormatting>
  <conditionalFormatting sqref="B30">
    <cfRule type="expression" dxfId="112" priority="50">
      <formula>#REF! ="30≠24+25+26+27+28+29"</formula>
    </cfRule>
  </conditionalFormatting>
  <conditionalFormatting sqref="B35">
    <cfRule type="expression" dxfId="111" priority="53">
      <formula>#REF! ="35≠14+15+16+17+22+30+31+32+33+34"</formula>
    </cfRule>
  </conditionalFormatting>
  <conditionalFormatting sqref="B46">
    <cfRule type="expression" dxfId="110" priority="49">
      <formula>#REF! ="46≠35+38+39+40+43+45"</formula>
    </cfRule>
  </conditionalFormatting>
  <conditionalFormatting sqref="C25">
    <cfRule type="expression" dxfId="109" priority="48">
      <formula>kvartal &lt; 4</formula>
    </cfRule>
  </conditionalFormatting>
  <conditionalFormatting sqref="C27">
    <cfRule type="expression" dxfId="108" priority="47">
      <formula>kvartal &lt; 4</formula>
    </cfRule>
  </conditionalFormatting>
  <conditionalFormatting sqref="E14">
    <cfRule type="expression" dxfId="107" priority="37">
      <formula>#REF! ="14≠11+12+13"</formula>
    </cfRule>
  </conditionalFormatting>
  <conditionalFormatting sqref="E21">
    <cfRule type="expression" dxfId="106" priority="38">
      <formula>#REF! ="22≠19+20+21"</formula>
    </cfRule>
  </conditionalFormatting>
  <conditionalFormatting sqref="E30">
    <cfRule type="expression" dxfId="105" priority="39">
      <formula>#REF! ="30≠24+25+26+27+28+29"</formula>
    </cfRule>
  </conditionalFormatting>
  <conditionalFormatting sqref="E35">
    <cfRule type="expression" dxfId="104" priority="41">
      <formula>#REF! ="35≠14+15+16+17+22+30+31+32+33+34"</formula>
    </cfRule>
  </conditionalFormatting>
  <conditionalFormatting sqref="E46">
    <cfRule type="expression" dxfId="103" priority="40">
      <formula>#REF! ="46≠35+38+39+40+43+45"</formula>
    </cfRule>
  </conditionalFormatting>
  <conditionalFormatting sqref="F25">
    <cfRule type="expression" dxfId="102" priority="36">
      <formula>kvartal &lt; 4</formula>
    </cfRule>
  </conditionalFormatting>
  <conditionalFormatting sqref="F27">
    <cfRule type="expression" dxfId="101" priority="35">
      <formula>kvartal &lt; 4</formula>
    </cfRule>
  </conditionalFormatting>
  <conditionalFormatting sqref="N14">
    <cfRule type="expression" dxfId="100" priority="28">
      <formula>#REF! ="14≠11+12+13"</formula>
    </cfRule>
  </conditionalFormatting>
  <conditionalFormatting sqref="N21">
    <cfRule type="expression" dxfId="99" priority="29">
      <formula>#REF! ="22≠19+20+21"</formula>
    </cfRule>
  </conditionalFormatting>
  <conditionalFormatting sqref="N30">
    <cfRule type="expression" dxfId="98" priority="27">
      <formula>#REF! ="30≠24+25+26+27+28+29"</formula>
    </cfRule>
  </conditionalFormatting>
  <conditionalFormatting sqref="O25">
    <cfRule type="expression" dxfId="97" priority="26">
      <formula>kvartal &lt; 4</formula>
    </cfRule>
  </conditionalFormatting>
  <conditionalFormatting sqref="O27">
    <cfRule type="expression" dxfId="96" priority="25">
      <formula>kvartal &lt; 4</formula>
    </cfRule>
  </conditionalFormatting>
  <conditionalFormatting sqref="T14">
    <cfRule type="expression" dxfId="95" priority="16">
      <formula>#REF! ="14≠11+12+13"</formula>
    </cfRule>
  </conditionalFormatting>
  <conditionalFormatting sqref="T21">
    <cfRule type="expression" dxfId="94" priority="17">
      <formula>#REF! ="22≠19+20+21"</formula>
    </cfRule>
  </conditionalFormatting>
  <conditionalFormatting sqref="T30">
    <cfRule type="expression" dxfId="93" priority="15">
      <formula>#REF! ="30≠24+25+26+27+28+29"</formula>
    </cfRule>
  </conditionalFormatting>
  <conditionalFormatting sqref="T35">
    <cfRule type="expression" dxfId="92" priority="18">
      <formula>#REF! ="35≠14+15+16+17+22+30+31+32+33+34"</formula>
    </cfRule>
  </conditionalFormatting>
  <conditionalFormatting sqref="T46">
    <cfRule type="expression" dxfId="91" priority="19">
      <formula>#REF! ="46≠35+38+39+40+43+45"</formula>
    </cfRule>
  </conditionalFormatting>
  <conditionalFormatting sqref="U25">
    <cfRule type="expression" dxfId="90" priority="14">
      <formula>kvartal &lt; 4</formula>
    </cfRule>
  </conditionalFormatting>
  <conditionalFormatting sqref="U27">
    <cfRule type="expression" dxfId="89" priority="13">
      <formula>kvartal &lt; 4</formula>
    </cfRule>
  </conditionalFormatting>
  <conditionalFormatting sqref="AC14">
    <cfRule type="expression" dxfId="88" priority="4">
      <formula>#REF! ="14≠11+12+13"</formula>
    </cfRule>
  </conditionalFormatting>
  <conditionalFormatting sqref="AC21">
    <cfRule type="expression" dxfId="87" priority="5">
      <formula>#REF! ="22≠19+20+21"</formula>
    </cfRule>
  </conditionalFormatting>
  <conditionalFormatting sqref="AC30">
    <cfRule type="expression" dxfId="86" priority="3">
      <formula>#REF! ="30≠24+25+26+27+28+29"</formula>
    </cfRule>
  </conditionalFormatting>
  <conditionalFormatting sqref="AC35">
    <cfRule type="expression" dxfId="85" priority="6">
      <formula>#REF! ="35≠14+15+16+17+22+30+31+32+33+34"</formula>
    </cfRule>
  </conditionalFormatting>
  <conditionalFormatting sqref="AC46">
    <cfRule type="expression" dxfId="84" priority="7">
      <formula>#REF! ="46≠35+38+39+40+43+45"</formula>
    </cfRule>
  </conditionalFormatting>
  <conditionalFormatting sqref="AD25">
    <cfRule type="expression" dxfId="83" priority="2">
      <formula>kvartal &lt; 4</formula>
    </cfRule>
  </conditionalFormatting>
  <conditionalFormatting sqref="AD27">
    <cfRule type="expression" dxfId="82" priority="1">
      <formula>kvartal &lt; 4</formula>
    </cfRule>
  </conditionalFormatting>
  <conditionalFormatting sqref="AI30:AJ30 R30 AA30 X30 L30 I30 C30 F30 O30 U30 AD30">
    <cfRule type="expression" dxfId="81" priority="548">
      <formula>#REF! ="30≠24+25+26+27+28+29"</formula>
    </cfRule>
  </conditionalFormatting>
  <conditionalFormatting sqref="AI35:AJ35 AF35:AG35 R35 AA35 X35 L35 I35 C35 F35 N35:O35 U35 AD35">
    <cfRule type="expression" dxfId="80" priority="549">
      <formula>#REF! ="35≠14+15+16+17+22+30+31+32+33+34"</formula>
    </cfRule>
  </conditionalFormatting>
  <conditionalFormatting sqref="AI46:AJ46 R46 AA46 X46 L46 I46 C46 F46 N46:O46 U46 AD46">
    <cfRule type="expression" dxfId="79" priority="551">
      <formula>#REF! ="46≠35+38+39+40+43+45"</formula>
    </cfRule>
  </conditionalFormatting>
  <conditionalFormatting sqref="R14 AA14 X14 L14 I14 C14 F14 O14 U14 AD14">
    <cfRule type="expression" dxfId="78" priority="552">
      <formula>#REF! ="14≠11+12+13"</formula>
    </cfRule>
  </conditionalFormatting>
  <conditionalFormatting sqref="R21 AA21 X21 L21 I21 C21 F21 O21 U21 AD21">
    <cfRule type="expression" dxfId="77" priority="553">
      <formula>#REF! ="22≠19+20+21"</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AY113"/>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13.85546875" style="428" customWidth="1"/>
    <col min="2" max="31" width="11.7109375" style="428" customWidth="1"/>
    <col min="32" max="32" width="15.140625" style="428" customWidth="1"/>
    <col min="33" max="33" width="13" style="428" customWidth="1"/>
    <col min="34" max="34" width="11.7109375" style="428" customWidth="1"/>
    <col min="35" max="36" width="13" style="428" customWidth="1"/>
    <col min="37" max="37" width="11.7109375" style="428" customWidth="1"/>
    <col min="38" max="16384" width="11.42578125" style="428"/>
  </cols>
  <sheetData>
    <row r="1" spans="1:51" ht="20.25" customHeight="1" x14ac:dyDescent="0.3">
      <c r="A1" s="431" t="s">
        <v>152</v>
      </c>
      <c r="B1" s="432"/>
      <c r="C1" s="432"/>
      <c r="D1" s="432"/>
      <c r="E1" s="432"/>
      <c r="F1" s="432"/>
      <c r="G1" s="432"/>
      <c r="H1" s="432"/>
      <c r="I1" s="432"/>
      <c r="J1" s="432"/>
    </row>
    <row r="2" spans="1:51" ht="20.100000000000001" customHeight="1" x14ac:dyDescent="0.3">
      <c r="A2" s="431" t="s">
        <v>153</v>
      </c>
      <c r="C2" s="590"/>
      <c r="D2" s="591"/>
      <c r="E2" s="591"/>
    </row>
    <row r="3" spans="1:51" ht="20.100000000000001" customHeight="1" x14ac:dyDescent="0.3">
      <c r="A3" s="433" t="s">
        <v>154</v>
      </c>
      <c r="B3" s="603"/>
      <c r="C3" s="603"/>
      <c r="D3" s="603"/>
      <c r="E3" s="603"/>
      <c r="F3" s="603"/>
      <c r="G3" s="603"/>
      <c r="H3" s="603"/>
      <c r="I3" s="603"/>
      <c r="J3" s="603"/>
    </row>
    <row r="4" spans="1:51" ht="18.75" customHeight="1" x14ac:dyDescent="0.25">
      <c r="A4" s="595" t="s">
        <v>398</v>
      </c>
      <c r="B4" s="604"/>
      <c r="C4" s="604"/>
      <c r="D4" s="605"/>
      <c r="E4" s="606"/>
      <c r="F4" s="604"/>
      <c r="G4" s="605"/>
      <c r="H4" s="606"/>
      <c r="I4" s="604"/>
      <c r="J4" s="605"/>
      <c r="K4" s="434"/>
      <c r="L4" s="434"/>
      <c r="M4" s="434"/>
      <c r="N4" s="435"/>
      <c r="O4" s="434"/>
      <c r="P4" s="436"/>
      <c r="Q4" s="435"/>
      <c r="R4" s="434"/>
      <c r="S4" s="436"/>
      <c r="T4" s="435"/>
      <c r="U4" s="434"/>
      <c r="V4" s="436"/>
      <c r="W4" s="435"/>
      <c r="X4" s="434"/>
      <c r="Y4" s="436"/>
      <c r="Z4" s="435"/>
      <c r="AA4" s="434"/>
      <c r="AB4" s="436"/>
      <c r="AC4" s="435"/>
      <c r="AD4" s="434"/>
      <c r="AE4" s="436"/>
      <c r="AF4" s="435"/>
      <c r="AG4" s="434"/>
      <c r="AH4" s="436"/>
      <c r="AI4" s="435"/>
      <c r="AJ4" s="434"/>
      <c r="AK4" s="436"/>
      <c r="AL4" s="607"/>
      <c r="AM4" s="607"/>
      <c r="AN4" s="607"/>
      <c r="AO4" s="607"/>
      <c r="AP4" s="607"/>
      <c r="AQ4" s="607"/>
      <c r="AR4" s="607"/>
      <c r="AS4" s="607"/>
      <c r="AT4" s="607"/>
      <c r="AU4" s="607"/>
      <c r="AV4" s="607"/>
      <c r="AW4" s="607"/>
      <c r="AX4" s="607"/>
      <c r="AY4" s="607"/>
    </row>
    <row r="5" spans="1:51" ht="18.75" customHeight="1" x14ac:dyDescent="0.3">
      <c r="A5" s="531" t="s">
        <v>94</v>
      </c>
      <c r="B5" s="721" t="s">
        <v>155</v>
      </c>
      <c r="C5" s="722"/>
      <c r="D5" s="723"/>
      <c r="E5" s="721"/>
      <c r="F5" s="722"/>
      <c r="G5" s="723"/>
      <c r="H5" s="721" t="s">
        <v>156</v>
      </c>
      <c r="I5" s="722"/>
      <c r="J5" s="723"/>
      <c r="K5" s="721" t="s">
        <v>157</v>
      </c>
      <c r="L5" s="722"/>
      <c r="M5" s="723"/>
      <c r="N5" s="648" t="s">
        <v>158</v>
      </c>
      <c r="O5" s="649"/>
      <c r="P5" s="650"/>
      <c r="Q5" s="634"/>
      <c r="R5" s="635"/>
      <c r="S5" s="636"/>
      <c r="T5" s="721" t="s">
        <v>159</v>
      </c>
      <c r="U5" s="722"/>
      <c r="V5" s="723"/>
      <c r="W5" s="721" t="s">
        <v>65</v>
      </c>
      <c r="X5" s="722"/>
      <c r="Y5" s="723"/>
      <c r="Z5" s="721" t="s">
        <v>68</v>
      </c>
      <c r="AA5" s="722"/>
      <c r="AB5" s="723"/>
      <c r="AC5" s="721" t="s">
        <v>371</v>
      </c>
      <c r="AD5" s="722"/>
      <c r="AE5" s="723"/>
      <c r="AF5" s="715" t="s">
        <v>2</v>
      </c>
      <c r="AG5" s="716"/>
      <c r="AH5" s="717"/>
      <c r="AI5" s="715" t="s">
        <v>2</v>
      </c>
      <c r="AJ5" s="716"/>
      <c r="AK5" s="717"/>
      <c r="AL5" s="608"/>
      <c r="AM5" s="608"/>
      <c r="AN5" s="724"/>
      <c r="AO5" s="724"/>
      <c r="AP5" s="724"/>
      <c r="AQ5" s="724"/>
      <c r="AR5" s="724"/>
      <c r="AS5" s="724"/>
      <c r="AT5" s="724"/>
      <c r="AU5" s="724"/>
      <c r="AV5" s="724"/>
      <c r="AW5" s="724"/>
      <c r="AX5" s="724"/>
      <c r="AY5" s="724"/>
    </row>
    <row r="6" spans="1:51" ht="21" customHeight="1" x14ac:dyDescent="0.3">
      <c r="A6" s="532"/>
      <c r="B6" s="718" t="s">
        <v>161</v>
      </c>
      <c r="C6" s="719"/>
      <c r="D6" s="720"/>
      <c r="E6" s="718" t="s">
        <v>356</v>
      </c>
      <c r="F6" s="719"/>
      <c r="G6" s="720"/>
      <c r="H6" s="718" t="s">
        <v>161</v>
      </c>
      <c r="I6" s="719"/>
      <c r="J6" s="720"/>
      <c r="K6" s="718" t="s">
        <v>162</v>
      </c>
      <c r="L6" s="719"/>
      <c r="M6" s="720"/>
      <c r="N6" s="718" t="s">
        <v>61</v>
      </c>
      <c r="O6" s="719"/>
      <c r="P6" s="720"/>
      <c r="Q6" s="718" t="s">
        <v>63</v>
      </c>
      <c r="R6" s="719"/>
      <c r="S6" s="720"/>
      <c r="T6" s="718" t="s">
        <v>160</v>
      </c>
      <c r="U6" s="719"/>
      <c r="V6" s="720"/>
      <c r="W6" s="718" t="s">
        <v>367</v>
      </c>
      <c r="X6" s="719"/>
      <c r="Y6" s="720"/>
      <c r="Z6" s="718" t="s">
        <v>161</v>
      </c>
      <c r="AA6" s="719"/>
      <c r="AB6" s="720"/>
      <c r="AC6" s="718" t="s">
        <v>161</v>
      </c>
      <c r="AD6" s="719"/>
      <c r="AE6" s="720"/>
      <c r="AF6" s="712" t="s">
        <v>387</v>
      </c>
      <c r="AG6" s="713"/>
      <c r="AH6" s="714"/>
      <c r="AI6" s="712" t="s">
        <v>163</v>
      </c>
      <c r="AJ6" s="713"/>
      <c r="AK6" s="714"/>
      <c r="AL6" s="608"/>
      <c r="AM6" s="608"/>
      <c r="AN6" s="724"/>
      <c r="AO6" s="724"/>
      <c r="AP6" s="724"/>
      <c r="AQ6" s="724"/>
      <c r="AR6" s="724"/>
      <c r="AS6" s="724"/>
      <c r="AT6" s="724"/>
      <c r="AU6" s="724"/>
      <c r="AV6" s="724"/>
      <c r="AW6" s="724"/>
      <c r="AX6" s="724"/>
      <c r="AY6" s="724"/>
    </row>
    <row r="7" spans="1:51" ht="18.75" customHeight="1" x14ac:dyDescent="0.3">
      <c r="A7" s="532"/>
      <c r="B7" s="609"/>
      <c r="C7" s="609"/>
      <c r="D7" s="533" t="s">
        <v>76</v>
      </c>
      <c r="E7" s="609"/>
      <c r="F7" s="609"/>
      <c r="G7" s="533" t="s">
        <v>76</v>
      </c>
      <c r="H7" s="609"/>
      <c r="I7" s="609"/>
      <c r="J7" s="533" t="s">
        <v>76</v>
      </c>
      <c r="K7" s="609"/>
      <c r="L7" s="609"/>
      <c r="M7" s="533" t="s">
        <v>76</v>
      </c>
      <c r="N7" s="609"/>
      <c r="O7" s="609"/>
      <c r="P7" s="533" t="s">
        <v>76</v>
      </c>
      <c r="Q7" s="609"/>
      <c r="R7" s="609"/>
      <c r="S7" s="533" t="s">
        <v>76</v>
      </c>
      <c r="T7" s="609"/>
      <c r="U7" s="609"/>
      <c r="V7" s="533" t="s">
        <v>76</v>
      </c>
      <c r="W7" s="609"/>
      <c r="X7" s="609"/>
      <c r="Y7" s="533" t="s">
        <v>76</v>
      </c>
      <c r="Z7" s="609"/>
      <c r="AA7" s="609"/>
      <c r="AB7" s="533" t="s">
        <v>76</v>
      </c>
      <c r="AC7" s="609"/>
      <c r="AD7" s="609"/>
      <c r="AE7" s="533" t="s">
        <v>76</v>
      </c>
      <c r="AF7" s="609"/>
      <c r="AG7" s="609"/>
      <c r="AH7" s="533" t="s">
        <v>76</v>
      </c>
      <c r="AI7" s="609"/>
      <c r="AJ7" s="609"/>
      <c r="AK7" s="533" t="s">
        <v>76</v>
      </c>
      <c r="AL7" s="608"/>
      <c r="AM7" s="608"/>
      <c r="AN7" s="608"/>
      <c r="AO7" s="608"/>
      <c r="AP7" s="608"/>
      <c r="AQ7" s="608"/>
      <c r="AR7" s="608"/>
      <c r="AS7" s="608"/>
      <c r="AT7" s="608"/>
      <c r="AU7" s="608"/>
      <c r="AV7" s="608"/>
      <c r="AW7" s="608"/>
      <c r="AX7" s="608"/>
      <c r="AY7" s="608"/>
    </row>
    <row r="8" spans="1:51" ht="18.75" customHeight="1" x14ac:dyDescent="0.25">
      <c r="A8" s="424" t="s">
        <v>164</v>
      </c>
      <c r="B8" s="502">
        <v>2023</v>
      </c>
      <c r="C8" s="502">
        <v>2024</v>
      </c>
      <c r="D8" s="535" t="s">
        <v>78</v>
      </c>
      <c r="E8" s="502">
        <f>B8</f>
        <v>2023</v>
      </c>
      <c r="F8" s="502">
        <f>C8</f>
        <v>2024</v>
      </c>
      <c r="G8" s="535" t="s">
        <v>78</v>
      </c>
      <c r="H8" s="502">
        <f>E8</f>
        <v>2023</v>
      </c>
      <c r="I8" s="502">
        <f>F8</f>
        <v>2024</v>
      </c>
      <c r="J8" s="535" t="s">
        <v>78</v>
      </c>
      <c r="K8" s="502">
        <f>H8</f>
        <v>2023</v>
      </c>
      <c r="L8" s="502">
        <f>I8</f>
        <v>2024</v>
      </c>
      <c r="M8" s="535" t="s">
        <v>78</v>
      </c>
      <c r="N8" s="502">
        <f>K8</f>
        <v>2023</v>
      </c>
      <c r="O8" s="502">
        <f>L8</f>
        <v>2024</v>
      </c>
      <c r="P8" s="535" t="s">
        <v>78</v>
      </c>
      <c r="Q8" s="502">
        <f>N8</f>
        <v>2023</v>
      </c>
      <c r="R8" s="502">
        <f>O8</f>
        <v>2024</v>
      </c>
      <c r="S8" s="535" t="s">
        <v>78</v>
      </c>
      <c r="T8" s="502">
        <f>Q8</f>
        <v>2023</v>
      </c>
      <c r="U8" s="502">
        <f>R8</f>
        <v>2024</v>
      </c>
      <c r="V8" s="535" t="s">
        <v>78</v>
      </c>
      <c r="W8" s="502">
        <f>T8</f>
        <v>2023</v>
      </c>
      <c r="X8" s="502">
        <f>U8</f>
        <v>2024</v>
      </c>
      <c r="Y8" s="535" t="s">
        <v>78</v>
      </c>
      <c r="Z8" s="502">
        <f>W8</f>
        <v>2023</v>
      </c>
      <c r="AA8" s="502">
        <f>X8</f>
        <v>2024</v>
      </c>
      <c r="AB8" s="535" t="s">
        <v>78</v>
      </c>
      <c r="AC8" s="502">
        <f>Z8</f>
        <v>2023</v>
      </c>
      <c r="AD8" s="502">
        <f>AA8</f>
        <v>2024</v>
      </c>
      <c r="AE8" s="535" t="s">
        <v>78</v>
      </c>
      <c r="AF8" s="502">
        <f>AC8</f>
        <v>2023</v>
      </c>
      <c r="AG8" s="502">
        <f>AD8</f>
        <v>2024</v>
      </c>
      <c r="AH8" s="535" t="s">
        <v>78</v>
      </c>
      <c r="AI8" s="502">
        <f>AF8</f>
        <v>2023</v>
      </c>
      <c r="AJ8" s="502">
        <f>AG8</f>
        <v>2024</v>
      </c>
      <c r="AK8" s="535" t="s">
        <v>78</v>
      </c>
      <c r="AL8" s="610"/>
      <c r="AM8" s="611"/>
      <c r="AN8" s="610"/>
      <c r="AO8" s="610"/>
      <c r="AP8" s="611"/>
      <c r="AQ8" s="610"/>
      <c r="AR8" s="610"/>
      <c r="AS8" s="611"/>
      <c r="AT8" s="610"/>
      <c r="AU8" s="610"/>
      <c r="AV8" s="611"/>
      <c r="AW8" s="610"/>
      <c r="AX8" s="610"/>
      <c r="AY8" s="611"/>
    </row>
    <row r="9" spans="1:51" ht="18.75" customHeight="1" x14ac:dyDescent="0.3">
      <c r="A9" s="425"/>
      <c r="B9" s="564"/>
      <c r="C9" s="413"/>
      <c r="D9" s="413"/>
      <c r="E9" s="564"/>
      <c r="F9" s="413"/>
      <c r="G9" s="413"/>
      <c r="H9" s="564"/>
      <c r="I9" s="413"/>
      <c r="J9" s="413"/>
      <c r="K9" s="537"/>
      <c r="L9" s="414"/>
      <c r="M9" s="414"/>
      <c r="N9" s="537"/>
      <c r="O9" s="414"/>
      <c r="P9" s="322"/>
      <c r="Q9" s="537"/>
      <c r="R9" s="414"/>
      <c r="S9" s="322"/>
      <c r="T9" s="537"/>
      <c r="U9" s="414"/>
      <c r="V9" s="322"/>
      <c r="W9" s="537"/>
      <c r="X9" s="414"/>
      <c r="Y9" s="322"/>
      <c r="Z9" s="537"/>
      <c r="AA9" s="414"/>
      <c r="AB9" s="322"/>
      <c r="AC9" s="537"/>
      <c r="AD9" s="414"/>
      <c r="AE9" s="322"/>
      <c r="AF9" s="414"/>
      <c r="AG9" s="414"/>
      <c r="AH9" s="322"/>
      <c r="AI9" s="414"/>
      <c r="AJ9" s="414"/>
      <c r="AK9" s="322"/>
    </row>
    <row r="10" spans="1:51" s="429" customFormat="1" ht="18.75" customHeight="1" x14ac:dyDescent="0.3">
      <c r="A10" s="542" t="s">
        <v>165</v>
      </c>
      <c r="B10" s="565"/>
      <c r="C10" s="415"/>
      <c r="D10" s="415"/>
      <c r="E10" s="565"/>
      <c r="F10" s="415"/>
      <c r="G10" s="415"/>
      <c r="H10" s="565"/>
      <c r="I10" s="415"/>
      <c r="J10" s="415"/>
      <c r="K10" s="537"/>
      <c r="L10" s="414"/>
      <c r="M10" s="414"/>
      <c r="N10" s="537"/>
      <c r="O10" s="414"/>
      <c r="P10" s="322"/>
      <c r="Q10" s="537"/>
      <c r="R10" s="414"/>
      <c r="S10" s="322"/>
      <c r="T10" s="537"/>
      <c r="U10" s="414"/>
      <c r="V10" s="322"/>
      <c r="W10" s="537"/>
      <c r="X10" s="414"/>
      <c r="Y10" s="322"/>
      <c r="Z10" s="537"/>
      <c r="AA10" s="414"/>
      <c r="AB10" s="322"/>
      <c r="AC10" s="537"/>
      <c r="AD10" s="414"/>
      <c r="AE10" s="322"/>
      <c r="AF10" s="414"/>
      <c r="AG10" s="414"/>
      <c r="AH10" s="322"/>
      <c r="AI10" s="414"/>
      <c r="AJ10" s="414"/>
      <c r="AK10" s="322"/>
    </row>
    <row r="11" spans="1:51" s="429" customFormat="1" ht="18.75" customHeight="1" x14ac:dyDescent="0.3">
      <c r="A11" s="426"/>
      <c r="B11" s="565"/>
      <c r="C11" s="415"/>
      <c r="D11" s="415"/>
      <c r="E11" s="565"/>
      <c r="F11" s="415"/>
      <c r="G11" s="415"/>
      <c r="H11" s="565"/>
      <c r="I11" s="415"/>
      <c r="J11" s="415"/>
      <c r="K11" s="537"/>
      <c r="L11" s="414"/>
      <c r="M11" s="414"/>
      <c r="N11" s="537"/>
      <c r="O11" s="414"/>
      <c r="P11" s="322"/>
      <c r="Q11" s="537"/>
      <c r="R11" s="414"/>
      <c r="S11" s="322"/>
      <c r="T11" s="537"/>
      <c r="U11" s="414"/>
      <c r="V11" s="322"/>
      <c r="W11" s="537"/>
      <c r="X11" s="414"/>
      <c r="Y11" s="322"/>
      <c r="Z11" s="537"/>
      <c r="AA11" s="414"/>
      <c r="AB11" s="322"/>
      <c r="AC11" s="537"/>
      <c r="AD11" s="414"/>
      <c r="AE11" s="322"/>
      <c r="AF11" s="414"/>
      <c r="AG11" s="414"/>
      <c r="AH11" s="322"/>
      <c r="AI11" s="414"/>
      <c r="AJ11" s="414"/>
      <c r="AK11" s="322"/>
    </row>
    <row r="12" spans="1:51" s="429" customFormat="1" ht="20.100000000000001" customHeight="1" x14ac:dyDescent="0.3">
      <c r="A12" s="542" t="s">
        <v>166</v>
      </c>
      <c r="B12" s="182"/>
      <c r="C12" s="416"/>
      <c r="D12" s="416"/>
      <c r="E12" s="182"/>
      <c r="F12" s="416"/>
      <c r="G12" s="416"/>
      <c r="H12" s="182"/>
      <c r="I12" s="416"/>
      <c r="J12" s="416"/>
      <c r="K12" s="537"/>
      <c r="L12" s="414"/>
      <c r="M12" s="414"/>
      <c r="N12" s="537"/>
      <c r="O12" s="414"/>
      <c r="P12" s="322"/>
      <c r="Q12" s="537"/>
      <c r="R12" s="414"/>
      <c r="S12" s="322"/>
      <c r="T12" s="537"/>
      <c r="U12" s="414"/>
      <c r="V12" s="322"/>
      <c r="W12" s="537"/>
      <c r="X12" s="414"/>
      <c r="Y12" s="322"/>
      <c r="Z12" s="537"/>
      <c r="AA12" s="414"/>
      <c r="AB12" s="322"/>
      <c r="AC12" s="537"/>
      <c r="AD12" s="414"/>
      <c r="AE12" s="322"/>
      <c r="AF12" s="414"/>
      <c r="AG12" s="414"/>
      <c r="AH12" s="322"/>
      <c r="AI12" s="414"/>
      <c r="AJ12" s="414"/>
      <c r="AK12" s="322"/>
    </row>
    <row r="13" spans="1:51" s="429" customFormat="1" ht="20.100000000000001" customHeight="1" x14ac:dyDescent="0.3">
      <c r="A13" s="542" t="s">
        <v>167</v>
      </c>
      <c r="B13" s="182"/>
      <c r="C13" s="416"/>
      <c r="D13" s="416"/>
      <c r="E13" s="182"/>
      <c r="F13" s="416"/>
      <c r="G13" s="416"/>
      <c r="H13" s="182"/>
      <c r="I13" s="416"/>
      <c r="J13" s="416"/>
      <c r="K13" s="88"/>
      <c r="L13" s="476"/>
      <c r="M13" s="476"/>
      <c r="N13" s="88"/>
      <c r="O13" s="476"/>
      <c r="P13" s="417"/>
      <c r="Q13" s="88"/>
      <c r="R13" s="476"/>
      <c r="S13" s="417"/>
      <c r="T13" s="88"/>
      <c r="U13" s="476"/>
      <c r="V13" s="417"/>
      <c r="W13" s="88"/>
      <c r="X13" s="476"/>
      <c r="Y13" s="417"/>
      <c r="Z13" s="88"/>
      <c r="AA13" s="476"/>
      <c r="AB13" s="417"/>
      <c r="AC13" s="88"/>
      <c r="AD13" s="476"/>
      <c r="AE13" s="417"/>
      <c r="AF13" s="476"/>
      <c r="AG13" s="476"/>
      <c r="AH13" s="417"/>
      <c r="AI13" s="476"/>
      <c r="AJ13" s="476"/>
      <c r="AK13" s="417"/>
    </row>
    <row r="14" spans="1:51" s="429" customFormat="1" ht="20.100000000000001" customHeight="1" x14ac:dyDescent="0.3">
      <c r="A14" s="530" t="s">
        <v>168</v>
      </c>
      <c r="B14" s="180"/>
      <c r="C14" s="417"/>
      <c r="D14" s="417"/>
      <c r="E14" s="180"/>
      <c r="F14" s="417"/>
      <c r="G14" s="417"/>
      <c r="H14" s="180"/>
      <c r="I14" s="417"/>
      <c r="J14" s="417"/>
      <c r="K14" s="88">
        <v>1</v>
      </c>
      <c r="L14" s="476">
        <v>18</v>
      </c>
      <c r="M14" s="674">
        <f t="shared" ref="M14" si="0">IF(K14=0, "    ---- ", IF(ABS(ROUND(100/K14*L14-100,1))&lt;999,ROUND(100/K14*L14-100,1),IF(ROUND(100/K14*L14-100,1)&gt;999,999,-999)))</f>
        <v>999</v>
      </c>
      <c r="N14" s="88">
        <v>1389.1472147500001</v>
      </c>
      <c r="O14" s="476">
        <v>1301.08072975</v>
      </c>
      <c r="P14" s="417">
        <f t="shared" ref="P14:P28" si="1">IF(N14=0, "    ---- ", IF(ABS(ROUND(100/N14*O14-100,1))&lt;999,ROUND(100/N14*O14-100,1),IF(ROUND(100/N14*O14-100,1)&gt;999,999,-999)))</f>
        <v>-6.3</v>
      </c>
      <c r="Q14" s="88"/>
      <c r="R14" s="476"/>
      <c r="S14" s="322"/>
      <c r="T14" s="88"/>
      <c r="U14" s="476"/>
      <c r="V14" s="417"/>
      <c r="W14" s="88"/>
      <c r="X14" s="476"/>
      <c r="Y14" s="417"/>
      <c r="Z14" s="88"/>
      <c r="AA14" s="476"/>
      <c r="AB14" s="417"/>
      <c r="AC14" s="88"/>
      <c r="AD14" s="476"/>
      <c r="AE14" s="417"/>
      <c r="AF14" s="476">
        <f t="shared" ref="AF14:AG19" si="2">B14+E14+H14+K14+N14+Q14+T14+W14+Z14</f>
        <v>1390.1472147500001</v>
      </c>
      <c r="AG14" s="476">
        <f t="shared" si="2"/>
        <v>1319.08072975</v>
      </c>
      <c r="AH14" s="417">
        <f t="shared" ref="AH14:AH28" si="3">IF(AF14=0, "    ---- ", IF(ABS(ROUND(100/AF14*AG14-100,1))&lt;999,ROUND(100/AF14*AG14-100,1),IF(ROUND(100/AF14*AG14-100,1)&gt;999,999,-999)))</f>
        <v>-5.0999999999999996</v>
      </c>
      <c r="AI14" s="476">
        <f t="shared" ref="AI14:AJ19" si="4">B14+E14+H14+K14+N14+Q14+T14+W14+Z14+AC14</f>
        <v>1390.1472147500001</v>
      </c>
      <c r="AJ14" s="476">
        <f t="shared" si="4"/>
        <v>1319.08072975</v>
      </c>
      <c r="AK14" s="417">
        <f t="shared" ref="AK14:AK29" si="5">IF(AI14=0, "    ---- ", IF(ABS(ROUND(100/AI14*AJ14-100,1))&lt;999,ROUND(100/AI14*AJ14-100,1),IF(ROUND(100/AI14*AJ14-100,1)&gt;999,999,-999)))</f>
        <v>-5.0999999999999996</v>
      </c>
    </row>
    <row r="15" spans="1:51" s="429" customFormat="1" ht="20.100000000000001" customHeight="1" x14ac:dyDescent="0.3">
      <c r="A15" s="530" t="s">
        <v>169</v>
      </c>
      <c r="B15" s="180">
        <v>1511.22</v>
      </c>
      <c r="C15" s="417">
        <v>1329.338</v>
      </c>
      <c r="D15" s="417">
        <f t="shared" ref="D15:D28" si="6">IF(B15=0, "    ---- ", IF(ABS(ROUND(100/B15*C15-100,1))&lt;999,ROUND(100/B15*C15-100,1),IF(ROUND(100/B15*C15-100,1)&gt;999,999,-999)))</f>
        <v>-12</v>
      </c>
      <c r="E15" s="180"/>
      <c r="F15" s="417"/>
      <c r="G15" s="417"/>
      <c r="H15" s="180"/>
      <c r="I15" s="417"/>
      <c r="J15" s="417"/>
      <c r="K15" s="88"/>
      <c r="L15" s="476"/>
      <c r="M15" s="476"/>
      <c r="N15" s="88">
        <v>9199.8728551100012</v>
      </c>
      <c r="O15" s="476">
        <v>9158.205079110001</v>
      </c>
      <c r="P15" s="417">
        <f t="shared" si="1"/>
        <v>-0.5</v>
      </c>
      <c r="Q15" s="88">
        <v>4</v>
      </c>
      <c r="R15" s="476">
        <v>4</v>
      </c>
      <c r="S15" s="322">
        <f t="shared" ref="S15:S19" si="7">IF(Q15=0, "    ---- ", IF(ABS(ROUND(100/Q15*R15-100,1))&lt;999,ROUND(100/Q15*R15-100,1),IF(ROUND(100/Q15*R15-100,1)&gt;999,999,-999)))</f>
        <v>0</v>
      </c>
      <c r="T15" s="88">
        <f>997+309</f>
        <v>1306</v>
      </c>
      <c r="U15" s="476">
        <v>1324</v>
      </c>
      <c r="V15" s="417">
        <f t="shared" ref="V15:V28" si="8">IF(T15=0, "    ---- ", IF(ABS(ROUND(100/T15*U15-100,1))&lt;999,ROUND(100/T15*U15-100,1),IF(ROUND(100/T15*U15-100,1)&gt;999,999,-999)))</f>
        <v>1.4</v>
      </c>
      <c r="W15" s="88">
        <v>1357.2639999999999</v>
      </c>
      <c r="X15" s="476">
        <v>1387.779</v>
      </c>
      <c r="Y15" s="417">
        <f t="shared" ref="Y15:Y28" si="9">IF(W15=0, "    ---- ", IF(ABS(ROUND(100/W15*X15-100,1))&lt;999,ROUND(100/W15*X15-100,1),IF(ROUND(100/W15*X15-100,1)&gt;999,999,-999)))</f>
        <v>2.2000000000000002</v>
      </c>
      <c r="Z15" s="88">
        <v>13074</v>
      </c>
      <c r="AA15" s="476">
        <v>13133.237119469995</v>
      </c>
      <c r="AB15" s="417">
        <f t="shared" ref="AB15:AB28" si="10">IF(Z15=0, "    ---- ", IF(ABS(ROUND(100/Z15*AA15-100,1))&lt;999,ROUND(100/Z15*AA15-100,1),IF(ROUND(100/Z15*AA15-100,1)&gt;999,999,-999)))</f>
        <v>0.5</v>
      </c>
      <c r="AC15" s="88"/>
      <c r="AD15" s="476"/>
      <c r="AE15" s="417"/>
      <c r="AF15" s="476">
        <f t="shared" si="2"/>
        <v>26452.35685511</v>
      </c>
      <c r="AG15" s="476">
        <f t="shared" si="2"/>
        <v>26336.559198579998</v>
      </c>
      <c r="AH15" s="417">
        <f t="shared" si="3"/>
        <v>-0.4</v>
      </c>
      <c r="AI15" s="476">
        <f t="shared" si="4"/>
        <v>26452.35685511</v>
      </c>
      <c r="AJ15" s="476">
        <f t="shared" si="4"/>
        <v>26336.559198579998</v>
      </c>
      <c r="AK15" s="417">
        <f t="shared" si="5"/>
        <v>-0.4</v>
      </c>
    </row>
    <row r="16" spans="1:51" s="429" customFormat="1" ht="20.100000000000001" customHeight="1" x14ac:dyDescent="0.3">
      <c r="A16" s="530" t="s">
        <v>170</v>
      </c>
      <c r="B16" s="180">
        <f>SUM(B17+B19)</f>
        <v>18445.72347809</v>
      </c>
      <c r="C16" s="417">
        <f>SUM(C17+C19)</f>
        <v>18162.73708617</v>
      </c>
      <c r="D16" s="417">
        <f t="shared" si="6"/>
        <v>-1.5</v>
      </c>
      <c r="E16" s="180">
        <f>SUM(E17+E19)</f>
        <v>519.38901019000002</v>
      </c>
      <c r="F16" s="417">
        <f>SUM(F17+F19)</f>
        <v>724.26977105000003</v>
      </c>
      <c r="G16" s="673">
        <f t="shared" ref="G16:G19" si="11">IF(E16=0, "    ---- ", IF(ABS(ROUND(100/E16*F16-100,1))&lt;999,ROUND(100/E16*F16-100,1),IF(ROUND(100/E16*F16-100,1)&gt;999,999,-999)))</f>
        <v>39.4</v>
      </c>
      <c r="H16" s="180">
        <f>SUM(H17+H19)</f>
        <v>118.19</v>
      </c>
      <c r="I16" s="417">
        <f>SUM(I17+I19)</f>
        <v>135.76499999999999</v>
      </c>
      <c r="J16" s="673">
        <f t="shared" ref="J16:J17" si="12">IF(H16=0, "    ---- ", IF(ABS(ROUND(100/H16*I16-100,1))&lt;999,ROUND(100/H16*I16-100,1),IF(ROUND(100/H16*I16-100,1)&gt;999,999,-999)))</f>
        <v>14.9</v>
      </c>
      <c r="K16" s="88">
        <f>SUM(K17+K19)</f>
        <v>229</v>
      </c>
      <c r="L16" s="476">
        <f>SUM(L17+L19)</f>
        <v>171</v>
      </c>
      <c r="M16" s="674">
        <f t="shared" ref="M16" si="13">IF(K16=0, "    ---- ", IF(ABS(ROUND(100/K16*L16-100,1))&lt;999,ROUND(100/K16*L16-100,1),IF(ROUND(100/K16*L16-100,1)&gt;999,999,-999)))</f>
        <v>-25.3</v>
      </c>
      <c r="N16" s="88">
        <f>SUM(N17+N19)</f>
        <v>20796.337948209999</v>
      </c>
      <c r="O16" s="476">
        <f>SUM(O17+O19)</f>
        <v>21598.921184260002</v>
      </c>
      <c r="P16" s="417">
        <f t="shared" si="1"/>
        <v>3.9</v>
      </c>
      <c r="Q16" s="88">
        <f>SUM(Q17+Q19)</f>
        <v>0</v>
      </c>
      <c r="R16" s="476">
        <f>SUM(R17+R19)</f>
        <v>8723.31</v>
      </c>
      <c r="S16" s="322" t="str">
        <f t="shared" si="7"/>
        <v xml:space="preserve">    ---- </v>
      </c>
      <c r="T16" s="88">
        <f>SUM(T17+T19)</f>
        <v>5363</v>
      </c>
      <c r="U16" s="476">
        <f>SUM(U17+U19)</f>
        <v>4661</v>
      </c>
      <c r="V16" s="417">
        <f t="shared" si="8"/>
        <v>-13.1</v>
      </c>
      <c r="W16" s="88">
        <f>SUM(W17+W19)</f>
        <v>1255.2529999999999</v>
      </c>
      <c r="X16" s="476">
        <f>SUM(X17+X19)</f>
        <v>1361.1659999999999</v>
      </c>
      <c r="Y16" s="417">
        <f t="shared" si="9"/>
        <v>8.4</v>
      </c>
      <c r="Z16" s="88">
        <f>SUM(Z17+Z19)</f>
        <v>18052</v>
      </c>
      <c r="AA16" s="476">
        <f>SUM(AA17+AA19)</f>
        <v>15769.08007014</v>
      </c>
      <c r="AB16" s="417">
        <f t="shared" si="10"/>
        <v>-12.6</v>
      </c>
      <c r="AC16" s="88"/>
      <c r="AD16" s="476"/>
      <c r="AE16" s="417"/>
      <c r="AF16" s="476">
        <f t="shared" si="2"/>
        <v>64778.893436489991</v>
      </c>
      <c r="AG16" s="476">
        <f t="shared" si="2"/>
        <v>71307.249111619996</v>
      </c>
      <c r="AH16" s="417">
        <f t="shared" si="3"/>
        <v>10.1</v>
      </c>
      <c r="AI16" s="476">
        <f t="shared" si="4"/>
        <v>64778.893436489991</v>
      </c>
      <c r="AJ16" s="476">
        <f t="shared" si="4"/>
        <v>71307.249111619996</v>
      </c>
      <c r="AK16" s="417">
        <f t="shared" si="5"/>
        <v>10.1</v>
      </c>
    </row>
    <row r="17" spans="1:40" s="677" customFormat="1" ht="20.100000000000001" customHeight="1" x14ac:dyDescent="0.3">
      <c r="A17" s="671" t="s">
        <v>414</v>
      </c>
      <c r="B17" s="672">
        <v>15861.344079959999</v>
      </c>
      <c r="C17" s="673">
        <v>15597.434215679999</v>
      </c>
      <c r="D17" s="417">
        <f t="shared" si="6"/>
        <v>-1.7</v>
      </c>
      <c r="E17" s="672"/>
      <c r="F17" s="673">
        <v>724.26977105000003</v>
      </c>
      <c r="G17" s="673" t="str">
        <f t="shared" si="11"/>
        <v xml:space="preserve">    ---- </v>
      </c>
      <c r="H17" s="672">
        <v>118.19</v>
      </c>
      <c r="I17" s="673">
        <v>135.76499999999999</v>
      </c>
      <c r="J17" s="673">
        <f t="shared" si="12"/>
        <v>14.9</v>
      </c>
      <c r="K17" s="90"/>
      <c r="L17" s="674"/>
      <c r="M17" s="674"/>
      <c r="N17" s="90">
        <v>7542.0583201099998</v>
      </c>
      <c r="O17" s="674">
        <v>7748.9469829799991</v>
      </c>
      <c r="P17" s="673">
        <f t="shared" si="1"/>
        <v>2.7</v>
      </c>
      <c r="Q17" s="90">
        <v>0</v>
      </c>
      <c r="R17" s="674">
        <v>8723.31</v>
      </c>
      <c r="S17" s="322" t="str">
        <f t="shared" si="7"/>
        <v xml:space="preserve">    ---- </v>
      </c>
      <c r="T17" s="90"/>
      <c r="U17" s="674"/>
      <c r="V17" s="673"/>
      <c r="W17" s="90">
        <v>38.241</v>
      </c>
      <c r="X17" s="674">
        <v>1361.1659999999999</v>
      </c>
      <c r="Y17" s="673">
        <f t="shared" si="9"/>
        <v>999</v>
      </c>
      <c r="Z17" s="90"/>
      <c r="AA17" s="674"/>
      <c r="AB17" s="673"/>
      <c r="AC17" s="90"/>
      <c r="AD17" s="674"/>
      <c r="AE17" s="673"/>
      <c r="AF17" s="674">
        <f t="shared" si="2"/>
        <v>23559.833400070002</v>
      </c>
      <c r="AG17" s="674">
        <f t="shared" si="2"/>
        <v>34290.891969709999</v>
      </c>
      <c r="AH17" s="673">
        <f t="shared" si="3"/>
        <v>45.5</v>
      </c>
      <c r="AI17" s="674">
        <f t="shared" si="4"/>
        <v>23559.833400070002</v>
      </c>
      <c r="AJ17" s="674">
        <f t="shared" si="4"/>
        <v>34290.891969709999</v>
      </c>
      <c r="AK17" s="673">
        <f t="shared" si="5"/>
        <v>45.5</v>
      </c>
    </row>
    <row r="18" spans="1:40" s="677" customFormat="1" ht="20.100000000000001" customHeight="1" x14ac:dyDescent="0.3">
      <c r="A18" s="671" t="s">
        <v>171</v>
      </c>
      <c r="B18" s="672">
        <v>15861.344079959999</v>
      </c>
      <c r="C18" s="673">
        <v>15597.434215679999</v>
      </c>
      <c r="D18" s="417">
        <f t="shared" si="6"/>
        <v>-1.7</v>
      </c>
      <c r="E18" s="672"/>
      <c r="F18" s="673">
        <v>724.26977105000003</v>
      </c>
      <c r="G18" s="673" t="str">
        <f t="shared" si="11"/>
        <v xml:space="preserve">    ---- </v>
      </c>
      <c r="H18" s="672"/>
      <c r="I18" s="673"/>
      <c r="J18" s="673"/>
      <c r="K18" s="90"/>
      <c r="L18" s="674"/>
      <c r="M18" s="674"/>
      <c r="N18" s="90">
        <v>7542.0583201099998</v>
      </c>
      <c r="O18" s="674">
        <v>7748.9469829799991</v>
      </c>
      <c r="P18" s="673">
        <f t="shared" si="1"/>
        <v>2.7</v>
      </c>
      <c r="Q18" s="90">
        <v>0</v>
      </c>
      <c r="R18" s="674">
        <v>8723.31</v>
      </c>
      <c r="S18" s="322" t="str">
        <f t="shared" si="7"/>
        <v xml:space="preserve">    ---- </v>
      </c>
      <c r="T18" s="90"/>
      <c r="U18" s="674"/>
      <c r="V18" s="673"/>
      <c r="W18" s="90">
        <v>9.862029599999671</v>
      </c>
      <c r="X18" s="674">
        <v>9.8756207499996709</v>
      </c>
      <c r="Y18" s="673">
        <f t="shared" si="9"/>
        <v>0.1</v>
      </c>
      <c r="Z18" s="90"/>
      <c r="AA18" s="674"/>
      <c r="AB18" s="673"/>
      <c r="AC18" s="90"/>
      <c r="AD18" s="674"/>
      <c r="AE18" s="673"/>
      <c r="AF18" s="674">
        <f t="shared" si="2"/>
        <v>23413.264429670002</v>
      </c>
      <c r="AG18" s="674">
        <f t="shared" si="2"/>
        <v>32803.836590459992</v>
      </c>
      <c r="AH18" s="673">
        <f t="shared" si="3"/>
        <v>40.1</v>
      </c>
      <c r="AI18" s="674">
        <f t="shared" si="4"/>
        <v>23413.264429670002</v>
      </c>
      <c r="AJ18" s="674">
        <f t="shared" si="4"/>
        <v>32803.836590459992</v>
      </c>
      <c r="AK18" s="673">
        <f t="shared" si="5"/>
        <v>40.1</v>
      </c>
    </row>
    <row r="19" spans="1:40" s="677" customFormat="1" ht="20.100000000000001" customHeight="1" x14ac:dyDescent="0.3">
      <c r="A19" s="671" t="s">
        <v>172</v>
      </c>
      <c r="B19" s="672">
        <v>2584.37939813</v>
      </c>
      <c r="C19" s="673">
        <v>2565.3028704899998</v>
      </c>
      <c r="D19" s="417">
        <f t="shared" si="6"/>
        <v>-0.7</v>
      </c>
      <c r="E19" s="672">
        <v>519.38901019000002</v>
      </c>
      <c r="F19" s="673">
        <v>0</v>
      </c>
      <c r="G19" s="673">
        <f t="shared" si="11"/>
        <v>-100</v>
      </c>
      <c r="H19" s="672"/>
      <c r="I19" s="673"/>
      <c r="J19" s="673"/>
      <c r="K19" s="90">
        <v>229</v>
      </c>
      <c r="L19" s="674">
        <v>171</v>
      </c>
      <c r="M19" s="674">
        <f t="shared" ref="M19:M28" si="14">IF(K19=0, "    ---- ", IF(ABS(ROUND(100/K19*L19-100,1))&lt;999,ROUND(100/K19*L19-100,1),IF(ROUND(100/K19*L19-100,1)&gt;999,999,-999)))</f>
        <v>-25.3</v>
      </c>
      <c r="N19" s="90">
        <v>13254.279628100001</v>
      </c>
      <c r="O19" s="674">
        <v>13849.974201280002</v>
      </c>
      <c r="P19" s="673">
        <f t="shared" si="1"/>
        <v>4.5</v>
      </c>
      <c r="Q19" s="90">
        <v>0</v>
      </c>
      <c r="R19" s="674">
        <v>0</v>
      </c>
      <c r="S19" s="322" t="str">
        <f t="shared" si="7"/>
        <v xml:space="preserve">    ---- </v>
      </c>
      <c r="T19" s="90">
        <v>5363</v>
      </c>
      <c r="U19" s="674">
        <v>4661</v>
      </c>
      <c r="V19" s="673">
        <f t="shared" si="8"/>
        <v>-13.1</v>
      </c>
      <c r="W19" s="90">
        <v>1217.0119999999999</v>
      </c>
      <c r="X19" s="674"/>
      <c r="Y19" s="673">
        <f t="shared" si="9"/>
        <v>-100</v>
      </c>
      <c r="Z19" s="90">
        <f>3126+13880+1046</f>
        <v>18052</v>
      </c>
      <c r="AA19" s="674">
        <f>2959.41714282+12325.96023439+483.70269293</f>
        <v>15769.08007014</v>
      </c>
      <c r="AB19" s="673">
        <f t="shared" si="10"/>
        <v>-12.6</v>
      </c>
      <c r="AC19" s="90"/>
      <c r="AD19" s="674"/>
      <c r="AE19" s="673"/>
      <c r="AF19" s="674">
        <f t="shared" si="2"/>
        <v>41219.06003642</v>
      </c>
      <c r="AG19" s="674">
        <f t="shared" si="2"/>
        <v>37016.357141910004</v>
      </c>
      <c r="AH19" s="673">
        <f t="shared" si="3"/>
        <v>-10.199999999999999</v>
      </c>
      <c r="AI19" s="674">
        <f t="shared" si="4"/>
        <v>41219.06003642</v>
      </c>
      <c r="AJ19" s="674">
        <f t="shared" si="4"/>
        <v>37016.357141910004</v>
      </c>
      <c r="AK19" s="673">
        <f t="shared" si="5"/>
        <v>-10.199999999999999</v>
      </c>
    </row>
    <row r="20" spans="1:40" s="677" customFormat="1" ht="20.100000000000001" customHeight="1" x14ac:dyDescent="0.3">
      <c r="A20" s="671" t="s">
        <v>173</v>
      </c>
      <c r="B20" s="672">
        <f>B21+B22+B23+B24+B25</f>
        <v>12430.225284130001</v>
      </c>
      <c r="C20" s="673">
        <f>C21+C22+C23+C24+C25</f>
        <v>12085.707525284874</v>
      </c>
      <c r="D20" s="673">
        <f t="shared" si="6"/>
        <v>-2.8</v>
      </c>
      <c r="E20" s="672">
        <f>E21+E22+E23+E24+E25</f>
        <v>2389.2399318700004</v>
      </c>
      <c r="F20" s="673">
        <v>2767.77134105</v>
      </c>
      <c r="G20" s="673">
        <f>IF(E20=0, "    ---- ", IF(ABS(ROUND(100/E20*F20-100,1))&lt;999,ROUND(100/E20*F20-100,1),IF(ROUND(100/E20*F20-100,1)&gt;999,999,-999)))</f>
        <v>15.8</v>
      </c>
      <c r="H20" s="672">
        <f>H21+H22+H23+H24+H25</f>
        <v>278.50887999999998</v>
      </c>
      <c r="I20" s="673">
        <f>I21+I22+I23+I24+I25</f>
        <v>313.21499999999997</v>
      </c>
      <c r="J20" s="673">
        <f t="shared" ref="J20:J28" si="15">IF(H20=0, "    ---- ", IF(ABS(ROUND(100/H20*I20-100,1))&lt;999,ROUND(100/H20*I20-100,1),IF(ROUND(100/H20*I20-100,1)&gt;999,999,-999)))</f>
        <v>12.5</v>
      </c>
      <c r="K20" s="672">
        <f>K21+K22+K23+K24+K25</f>
        <v>1257</v>
      </c>
      <c r="L20" s="673">
        <f>L21+L22+L23+L24+L25</f>
        <v>819</v>
      </c>
      <c r="M20" s="674">
        <f t="shared" si="14"/>
        <v>-34.799999999999997</v>
      </c>
      <c r="N20" s="672">
        <f>N21+N22+N23+N24+N25</f>
        <v>12720.82066483</v>
      </c>
      <c r="O20" s="673">
        <f>O21+O22+O23+O24+O25</f>
        <v>13450.847817580001</v>
      </c>
      <c r="P20" s="673">
        <f t="shared" si="1"/>
        <v>5.7</v>
      </c>
      <c r="Q20" s="672">
        <f>Q21+Q22+Q23+Q24+Q25</f>
        <v>10322.320000000011</v>
      </c>
      <c r="R20" s="673">
        <f>R21+R22+R23+R24+R25</f>
        <v>2314.29</v>
      </c>
      <c r="S20" s="673">
        <f t="shared" ref="S20:S28" si="16">IF(Q20=0, "    ---- ", IF(ABS(ROUND(100/Q20*R20-100,1))&lt;999,ROUND(100/Q20*R20-100,1),IF(ROUND(100/Q20*R20-100,1)&gt;999,999,-999)))</f>
        <v>-77.599999999999994</v>
      </c>
      <c r="T20" s="672">
        <f>T21+T22+T23+T24+T25</f>
        <v>4831</v>
      </c>
      <c r="U20" s="673">
        <f>U21+U22+U23+U24+U25</f>
        <v>4324</v>
      </c>
      <c r="V20" s="673">
        <f t="shared" si="8"/>
        <v>-10.5</v>
      </c>
      <c r="W20" s="672">
        <f>W21+W22+W23+W24+W25</f>
        <v>3452.2570000000005</v>
      </c>
      <c r="X20" s="673">
        <f>X21+X22+X23+X24+X25</f>
        <v>3242.5280000000002</v>
      </c>
      <c r="Y20" s="673">
        <f t="shared" si="9"/>
        <v>-6.1</v>
      </c>
      <c r="Z20" s="672">
        <f>Z21+Z22+Z23+Z24+Z25</f>
        <v>3236</v>
      </c>
      <c r="AA20" s="673">
        <f>AA21+AA22+AA23+AA24+AA25</f>
        <v>4137.4951461399996</v>
      </c>
      <c r="AB20" s="673">
        <f t="shared" si="10"/>
        <v>27.9</v>
      </c>
      <c r="AC20" s="672">
        <f>AC21+AC22+AC23+AC24+AC25</f>
        <v>10</v>
      </c>
      <c r="AD20" s="673">
        <f>AD21+AD22+AD23+AD24+AD25</f>
        <v>44</v>
      </c>
      <c r="AE20" s="673">
        <f t="shared" ref="AE20:AE25" si="17">IF(AC20=0, "    ---- ", IF(ABS(ROUND(100/AC20*AD20-100,1))&lt;999,ROUND(100/AC20*AD20-100,1),IF(ROUND(100/AC20*AD20-100,1)&gt;999,999,-999)))</f>
        <v>340</v>
      </c>
      <c r="AF20" s="674">
        <f t="shared" ref="AF20:AG22" si="18">B20+E20+H20+K20+N20+Q20+T20+W20+Z20</f>
        <v>50917.371760830007</v>
      </c>
      <c r="AG20" s="674">
        <f t="shared" si="18"/>
        <v>43454.854830054872</v>
      </c>
      <c r="AH20" s="673">
        <f t="shared" si="3"/>
        <v>-14.7</v>
      </c>
      <c r="AI20" s="674">
        <f t="shared" ref="AI20:AI22" si="19">B20+E20+H20+K20+N20+Q20+T20+W20+Z20+AC20</f>
        <v>50927.371760830007</v>
      </c>
      <c r="AJ20" s="674">
        <f>C20+F20+I20+L20+O20+R20+U20+X20+AA20+AD20</f>
        <v>43498.854830054872</v>
      </c>
      <c r="AK20" s="673">
        <f t="shared" si="5"/>
        <v>-14.6</v>
      </c>
    </row>
    <row r="21" spans="1:40" s="677" customFormat="1" ht="20.100000000000001" customHeight="1" x14ac:dyDescent="0.3">
      <c r="A21" s="671" t="s">
        <v>174</v>
      </c>
      <c r="B21" s="672">
        <v>952.88812043000007</v>
      </c>
      <c r="C21" s="673">
        <v>1241.4231760474388</v>
      </c>
      <c r="D21" s="673">
        <f t="shared" si="6"/>
        <v>30.3</v>
      </c>
      <c r="E21" s="672"/>
      <c r="F21" s="673"/>
      <c r="G21" s="673"/>
      <c r="H21" s="672">
        <v>40.414879999999997</v>
      </c>
      <c r="I21" s="673">
        <v>46.732999999999997</v>
      </c>
      <c r="J21" s="673">
        <f t="shared" si="15"/>
        <v>15.6</v>
      </c>
      <c r="K21" s="90">
        <v>8</v>
      </c>
      <c r="L21" s="674">
        <v>6</v>
      </c>
      <c r="M21" s="674">
        <f t="shared" si="14"/>
        <v>-25</v>
      </c>
      <c r="N21" s="90">
        <v>6.1438499999999996</v>
      </c>
      <c r="O21" s="674">
        <v>3.8961000000000001</v>
      </c>
      <c r="P21" s="673">
        <f t="shared" si="1"/>
        <v>-36.6</v>
      </c>
      <c r="Q21" s="90">
        <v>57.07</v>
      </c>
      <c r="R21" s="674">
        <v>2279.37</v>
      </c>
      <c r="S21" s="673">
        <f t="shared" si="16"/>
        <v>999</v>
      </c>
      <c r="T21" s="90">
        <v>2290</v>
      </c>
      <c r="U21" s="674">
        <v>2021</v>
      </c>
      <c r="V21" s="673">
        <f t="shared" si="8"/>
        <v>-11.7</v>
      </c>
      <c r="W21" s="90">
        <v>1.702</v>
      </c>
      <c r="X21" s="674">
        <v>1.92</v>
      </c>
      <c r="Y21" s="673">
        <f t="shared" si="9"/>
        <v>12.8</v>
      </c>
      <c r="Z21" s="90">
        <v>343</v>
      </c>
      <c r="AA21" s="674">
        <v>357.20172335000001</v>
      </c>
      <c r="AB21" s="673">
        <f t="shared" si="10"/>
        <v>4.0999999999999996</v>
      </c>
      <c r="AC21" s="90"/>
      <c r="AD21" s="674"/>
      <c r="AE21" s="673"/>
      <c r="AF21" s="674">
        <f t="shared" si="18"/>
        <v>3699.2188504300002</v>
      </c>
      <c r="AG21" s="674">
        <f t="shared" si="18"/>
        <v>5957.5439993974387</v>
      </c>
      <c r="AH21" s="673">
        <f t="shared" si="3"/>
        <v>61</v>
      </c>
      <c r="AI21" s="674">
        <f t="shared" si="19"/>
        <v>3699.2188504300002</v>
      </c>
      <c r="AJ21" s="674">
        <f>C21+F21+I21+L21+O21+R21+U21+X21+AA21+AD21</f>
        <v>5957.5439993974387</v>
      </c>
      <c r="AK21" s="673">
        <f t="shared" si="5"/>
        <v>61</v>
      </c>
    </row>
    <row r="22" spans="1:40" s="677" customFormat="1" ht="20.100000000000001" customHeight="1" x14ac:dyDescent="0.3">
      <c r="A22" s="671" t="s">
        <v>415</v>
      </c>
      <c r="B22" s="672">
        <v>11408.318623320001</v>
      </c>
      <c r="C22" s="673">
        <v>10699.889984897436</v>
      </c>
      <c r="D22" s="673">
        <f t="shared" si="6"/>
        <v>-6.2</v>
      </c>
      <c r="E22" s="672">
        <v>2514.9227675200004</v>
      </c>
      <c r="F22" s="673">
        <v>2663.4545685200005</v>
      </c>
      <c r="G22" s="673">
        <f>IF(E22=0, "    ---- ", IF(ABS(ROUND(100/E22*F22-100,1))&lt;999,ROUND(100/E22*F22-100,1),IF(ROUND(100/E22*F22-100,1)&gt;999,999,-999)))</f>
        <v>5.9</v>
      </c>
      <c r="H22" s="672">
        <v>177.04599999999999</v>
      </c>
      <c r="I22" s="673">
        <v>196.53899999999999</v>
      </c>
      <c r="J22" s="673">
        <f t="shared" si="15"/>
        <v>11</v>
      </c>
      <c r="K22" s="90">
        <v>1249</v>
      </c>
      <c r="L22" s="674">
        <v>813</v>
      </c>
      <c r="M22" s="674">
        <f t="shared" si="14"/>
        <v>-34.9</v>
      </c>
      <c r="N22" s="90">
        <v>10710.113931420001</v>
      </c>
      <c r="O22" s="674">
        <v>11604.02212487</v>
      </c>
      <c r="P22" s="673">
        <f t="shared" si="1"/>
        <v>8.3000000000000007</v>
      </c>
      <c r="Q22" s="90">
        <v>10261.13000000001</v>
      </c>
      <c r="R22" s="674">
        <v>0</v>
      </c>
      <c r="S22" s="673">
        <f t="shared" si="16"/>
        <v>-100</v>
      </c>
      <c r="T22" s="90">
        <v>2524</v>
      </c>
      <c r="U22" s="674">
        <v>2301</v>
      </c>
      <c r="V22" s="673">
        <f t="shared" si="8"/>
        <v>-8.8000000000000007</v>
      </c>
      <c r="W22" s="90">
        <v>2725.165</v>
      </c>
      <c r="X22" s="674">
        <v>2787.44</v>
      </c>
      <c r="Y22" s="673">
        <f t="shared" si="9"/>
        <v>2.2999999999999998</v>
      </c>
      <c r="Z22" s="90">
        <v>2888</v>
      </c>
      <c r="AA22" s="674">
        <v>3860.3439857399999</v>
      </c>
      <c r="AB22" s="673">
        <f t="shared" si="10"/>
        <v>33.700000000000003</v>
      </c>
      <c r="AC22" s="90"/>
      <c r="AD22" s="674"/>
      <c r="AE22" s="673"/>
      <c r="AF22" s="674">
        <f t="shared" si="18"/>
        <v>44457.696322260017</v>
      </c>
      <c r="AG22" s="674">
        <f t="shared" si="18"/>
        <v>34925.689664027435</v>
      </c>
      <c r="AH22" s="673">
        <f t="shared" si="3"/>
        <v>-21.4</v>
      </c>
      <c r="AI22" s="674">
        <f t="shared" si="19"/>
        <v>44457.696322260017</v>
      </c>
      <c r="AJ22" s="674">
        <f>C22+F22+I22+L22+O22+R22+U22+X22+AA22+AD22</f>
        <v>34925.689664027435</v>
      </c>
      <c r="AK22" s="673">
        <f t="shared" si="5"/>
        <v>-21.4</v>
      </c>
    </row>
    <row r="23" spans="1:40" s="429" customFormat="1" ht="20.100000000000001" customHeight="1" x14ac:dyDescent="0.3">
      <c r="A23" s="530" t="s">
        <v>175</v>
      </c>
      <c r="B23" s="180">
        <v>0</v>
      </c>
      <c r="C23" s="417">
        <v>34.914888359999999</v>
      </c>
      <c r="D23" s="417" t="str">
        <f t="shared" si="6"/>
        <v xml:space="preserve">    ---- </v>
      </c>
      <c r="E23" s="180">
        <v>-185.30067593000001</v>
      </c>
      <c r="F23" s="673">
        <v>99.79021173999999</v>
      </c>
      <c r="G23" s="673">
        <f>IF(E23=0, "    ---- ", IF(ABS(ROUND(100/E23*F23-100,1))&lt;999,ROUND(100/E23*F23-100,1),IF(ROUND(100/E23*F23-100,1)&gt;999,999,-999)))</f>
        <v>-153.9</v>
      </c>
      <c r="H23" s="180"/>
      <c r="I23" s="417"/>
      <c r="J23" s="417"/>
      <c r="K23" s="88"/>
      <c r="L23" s="476"/>
      <c r="M23" s="476"/>
      <c r="N23" s="88">
        <v>1295.9545695199999</v>
      </c>
      <c r="O23" s="476">
        <v>1341.1013563499998</v>
      </c>
      <c r="P23" s="417">
        <f t="shared" si="1"/>
        <v>3.5</v>
      </c>
      <c r="Q23" s="88">
        <v>0.11</v>
      </c>
      <c r="R23" s="476">
        <v>0.1</v>
      </c>
      <c r="S23" s="417">
        <f t="shared" si="16"/>
        <v>-9.1</v>
      </c>
      <c r="T23" s="88"/>
      <c r="U23" s="476"/>
      <c r="V23" s="417"/>
      <c r="W23" s="88">
        <v>175.46700000000001</v>
      </c>
      <c r="X23" s="476">
        <v>298.44900000000001</v>
      </c>
      <c r="Y23" s="417">
        <f t="shared" si="9"/>
        <v>70.099999999999994</v>
      </c>
      <c r="Z23" s="88"/>
      <c r="AA23" s="476"/>
      <c r="AB23" s="417"/>
      <c r="AC23" s="88"/>
      <c r="AD23" s="476"/>
      <c r="AE23" s="417"/>
      <c r="AF23" s="476">
        <f>B23+E23+H23+K23+N23+Q23+T23+W23+Z23</f>
        <v>1286.2308935899998</v>
      </c>
      <c r="AG23" s="476">
        <f>C23+F23+I23+L23+O23+R23+U23+X23+AA23</f>
        <v>1774.3554564499998</v>
      </c>
      <c r="AH23" s="417">
        <f t="shared" si="3"/>
        <v>37.9</v>
      </c>
      <c r="AI23" s="476">
        <f>B23+E23+H23+K23+N23+Q23+T23+W23+Z23+AC23</f>
        <v>1286.2308935899998</v>
      </c>
      <c r="AJ23" s="476">
        <f>C23+F23+I23+L23+O23+R23+U23+X23+AA23+AD23</f>
        <v>1774.3554564499998</v>
      </c>
      <c r="AK23" s="417">
        <f t="shared" si="5"/>
        <v>37.9</v>
      </c>
    </row>
    <row r="24" spans="1:40" s="429" customFormat="1" ht="20.100000000000001" customHeight="1" x14ac:dyDescent="0.3">
      <c r="A24" s="530" t="s">
        <v>176</v>
      </c>
      <c r="B24" s="180">
        <v>1.1288800000000001E-3</v>
      </c>
      <c r="C24" s="417">
        <v>1.9726188100000002</v>
      </c>
      <c r="D24" s="417">
        <f t="shared" si="6"/>
        <v>999</v>
      </c>
      <c r="E24" s="180"/>
      <c r="F24" s="673"/>
      <c r="G24" s="417"/>
      <c r="H24" s="180"/>
      <c r="I24" s="417"/>
      <c r="J24" s="417"/>
      <c r="K24" s="88"/>
      <c r="L24" s="476"/>
      <c r="M24" s="476"/>
      <c r="N24" s="88">
        <v>649.73100225999997</v>
      </c>
      <c r="O24" s="476">
        <v>488.96974083999999</v>
      </c>
      <c r="P24" s="417">
        <f t="shared" si="1"/>
        <v>-24.7</v>
      </c>
      <c r="Q24" s="88">
        <v>0</v>
      </c>
      <c r="R24" s="476">
        <v>0</v>
      </c>
      <c r="S24" s="322" t="str">
        <f t="shared" si="16"/>
        <v xml:space="preserve">    ---- </v>
      </c>
      <c r="T24" s="88">
        <v>17</v>
      </c>
      <c r="U24" s="476">
        <v>2</v>
      </c>
      <c r="V24" s="417">
        <f t="shared" si="8"/>
        <v>-88.2</v>
      </c>
      <c r="W24" s="88">
        <v>3.085</v>
      </c>
      <c r="X24" s="476">
        <v>8.0440000000000005</v>
      </c>
      <c r="Y24" s="417">
        <f t="shared" si="9"/>
        <v>160.69999999999999</v>
      </c>
      <c r="Z24" s="88">
        <v>5</v>
      </c>
      <c r="AA24" s="476">
        <v>-80.050562949999986</v>
      </c>
      <c r="AB24" s="417">
        <f t="shared" si="10"/>
        <v>-999</v>
      </c>
      <c r="AC24" s="88"/>
      <c r="AD24" s="476"/>
      <c r="AE24" s="417"/>
      <c r="AF24" s="476">
        <f t="shared" ref="AF24:AG29" si="20">B24+E24+H24+K24+N24+Q24+T24+W24+Z24</f>
        <v>674.81713114000001</v>
      </c>
      <c r="AG24" s="476">
        <f t="shared" si="20"/>
        <v>420.93579669999997</v>
      </c>
      <c r="AH24" s="417">
        <f t="shared" si="3"/>
        <v>-37.6</v>
      </c>
      <c r="AI24" s="476">
        <f t="shared" ref="AI24:AJ29" si="21">B24+E24+H24+K24+N24+Q24+T24+W24+Z24+AC24</f>
        <v>674.81713114000001</v>
      </c>
      <c r="AJ24" s="476">
        <f t="shared" si="21"/>
        <v>420.93579669999997</v>
      </c>
      <c r="AK24" s="417">
        <f t="shared" si="5"/>
        <v>-37.6</v>
      </c>
    </row>
    <row r="25" spans="1:40" s="429" customFormat="1" ht="20.100000000000001" customHeight="1" x14ac:dyDescent="0.3">
      <c r="A25" s="530" t="s">
        <v>177</v>
      </c>
      <c r="B25" s="180">
        <v>69.017411499999994</v>
      </c>
      <c r="C25" s="417">
        <v>107.50685716999999</v>
      </c>
      <c r="D25" s="417">
        <f t="shared" si="6"/>
        <v>55.8</v>
      </c>
      <c r="E25" s="180">
        <v>59.617840280000003</v>
      </c>
      <c r="F25" s="673">
        <v>4.5270000000000001</v>
      </c>
      <c r="G25" s="417">
        <f>IF(E25=0, "    ---- ", IF(ABS(ROUND(100/E25*F25-100,1))&lt;999,ROUND(100/E25*F25-100,1),IF(ROUND(100/E25*F25-100,1)&gt;999,999,-999)))</f>
        <v>-92.4</v>
      </c>
      <c r="H25" s="180">
        <v>61.048000000000002</v>
      </c>
      <c r="I25" s="417">
        <v>69.942999999999998</v>
      </c>
      <c r="J25" s="417">
        <f t="shared" si="15"/>
        <v>14.6</v>
      </c>
      <c r="K25" s="88"/>
      <c r="L25" s="476"/>
      <c r="M25" s="476"/>
      <c r="N25" s="88">
        <v>58.877311630000001</v>
      </c>
      <c r="O25" s="476">
        <v>12.85849552</v>
      </c>
      <c r="P25" s="417">
        <f t="shared" si="1"/>
        <v>-78.2</v>
      </c>
      <c r="Q25" s="88">
        <v>4.01</v>
      </c>
      <c r="R25" s="476">
        <v>34.82</v>
      </c>
      <c r="S25" s="322">
        <f t="shared" si="16"/>
        <v>768.3</v>
      </c>
      <c r="T25" s="88"/>
      <c r="U25" s="476"/>
      <c r="V25" s="417"/>
      <c r="W25" s="88">
        <v>546.83799999999997</v>
      </c>
      <c r="X25" s="476">
        <v>146.67500000000001</v>
      </c>
      <c r="Y25" s="417">
        <f t="shared" si="9"/>
        <v>-73.2</v>
      </c>
      <c r="Z25" s="88"/>
      <c r="AA25" s="476"/>
      <c r="AB25" s="417"/>
      <c r="AC25" s="88">
        <v>10</v>
      </c>
      <c r="AD25" s="476">
        <v>44</v>
      </c>
      <c r="AE25" s="417">
        <f t="shared" si="17"/>
        <v>340</v>
      </c>
      <c r="AF25" s="476">
        <f t="shared" si="20"/>
        <v>799.40856340999994</v>
      </c>
      <c r="AG25" s="476">
        <f t="shared" si="20"/>
        <v>376.33035268999998</v>
      </c>
      <c r="AH25" s="417">
        <f t="shared" si="3"/>
        <v>-52.9</v>
      </c>
      <c r="AI25" s="476">
        <f t="shared" si="21"/>
        <v>809.40856340999994</v>
      </c>
      <c r="AJ25" s="476">
        <f t="shared" si="21"/>
        <v>420.33035268999998</v>
      </c>
      <c r="AK25" s="417">
        <f t="shared" si="5"/>
        <v>-48.1</v>
      </c>
    </row>
    <row r="26" spans="1:40" s="429" customFormat="1" ht="20.100000000000001" customHeight="1" x14ac:dyDescent="0.3">
      <c r="A26" s="530" t="s">
        <v>178</v>
      </c>
      <c r="B26" s="180"/>
      <c r="C26" s="417"/>
      <c r="D26" s="417"/>
      <c r="E26" s="180"/>
      <c r="F26" s="673"/>
      <c r="G26" s="417"/>
      <c r="H26" s="180"/>
      <c r="I26" s="417"/>
      <c r="J26" s="417"/>
      <c r="K26" s="88"/>
      <c r="L26" s="476"/>
      <c r="M26" s="476"/>
      <c r="N26" s="88"/>
      <c r="O26" s="476"/>
      <c r="P26" s="417"/>
      <c r="Q26" s="88"/>
      <c r="R26" s="476"/>
      <c r="S26" s="322" t="str">
        <f t="shared" si="16"/>
        <v xml:space="preserve">    ---- </v>
      </c>
      <c r="T26" s="88"/>
      <c r="U26" s="476"/>
      <c r="V26" s="417"/>
      <c r="W26" s="88"/>
      <c r="X26" s="476"/>
      <c r="Y26" s="417"/>
      <c r="Z26" s="88"/>
      <c r="AA26" s="476"/>
      <c r="AB26" s="417"/>
      <c r="AC26" s="88"/>
      <c r="AD26" s="476"/>
      <c r="AE26" s="417"/>
      <c r="AF26" s="476">
        <f t="shared" si="20"/>
        <v>0</v>
      </c>
      <c r="AG26" s="476">
        <f t="shared" si="20"/>
        <v>0</v>
      </c>
      <c r="AH26" s="417" t="str">
        <f t="shared" si="3"/>
        <v xml:space="preserve">    ---- </v>
      </c>
      <c r="AI26" s="476">
        <f t="shared" si="21"/>
        <v>0</v>
      </c>
      <c r="AJ26" s="476">
        <f t="shared" si="21"/>
        <v>0</v>
      </c>
      <c r="AK26" s="417" t="str">
        <f t="shared" si="5"/>
        <v xml:space="preserve">    ---- </v>
      </c>
    </row>
    <row r="27" spans="1:40" s="429" customFormat="1" ht="20.100000000000001" customHeight="1" x14ac:dyDescent="0.3">
      <c r="A27" s="566" t="s">
        <v>179</v>
      </c>
      <c r="B27" s="180">
        <f>SUM(B14+B15+B16+B20+B26)</f>
        <v>32387.168762220004</v>
      </c>
      <c r="C27" s="417">
        <f>SUM(C14+C15+C16+C20+C26)</f>
        <v>31577.782611454873</v>
      </c>
      <c r="D27" s="417">
        <f t="shared" si="6"/>
        <v>-2.5</v>
      </c>
      <c r="E27" s="180">
        <f>SUM(E14+E15+E16+E20+E26)</f>
        <v>2908.6289420600006</v>
      </c>
      <c r="F27" s="417">
        <f>SUM(F14+F15+F16+F20+F26)</f>
        <v>3492.0411121000002</v>
      </c>
      <c r="G27" s="417">
        <f>IF(E27=0, "    ---- ", IF(ABS(ROUND(100/E27*F27-100,1))&lt;999,ROUND(100/E27*F27-100,1),IF(ROUND(100/E27*F27-100,1)&gt;999,999,-999)))</f>
        <v>20.100000000000001</v>
      </c>
      <c r="H27" s="180">
        <f>SUM(H14+H15+H16+H20+H26)</f>
        <v>396.69887999999997</v>
      </c>
      <c r="I27" s="417">
        <f>SUM(I14+I15+I16+I20+I26)</f>
        <v>448.97999999999996</v>
      </c>
      <c r="J27" s="417">
        <f t="shared" si="15"/>
        <v>13.2</v>
      </c>
      <c r="K27" s="88">
        <f>SUM(K14+K15+K16+K20+K26)</f>
        <v>1487</v>
      </c>
      <c r="L27" s="476">
        <f>SUM(L14+L15+L16+L20+L26)</f>
        <v>1008</v>
      </c>
      <c r="M27" s="476">
        <f t="shared" si="14"/>
        <v>-32.200000000000003</v>
      </c>
      <c r="N27" s="88">
        <f>SUM(N14+N15+N16+N20+N26)</f>
        <v>44106.178682900005</v>
      </c>
      <c r="O27" s="476">
        <f>SUM(O14+O15+O16+O20+O26)</f>
        <v>45509.054810700007</v>
      </c>
      <c r="P27" s="417">
        <f t="shared" si="1"/>
        <v>3.2</v>
      </c>
      <c r="Q27" s="88">
        <f>SUM(Q14+Q15+Q16+Q20+Q26)</f>
        <v>10326.320000000011</v>
      </c>
      <c r="R27" s="476">
        <f>SUM(R14+R15+R16+R20+R26)</f>
        <v>11041.599999999999</v>
      </c>
      <c r="S27" s="417">
        <f t="shared" si="16"/>
        <v>6.9</v>
      </c>
      <c r="T27" s="88">
        <f>SUM(T14+T15+T16+T20+T26)</f>
        <v>11500</v>
      </c>
      <c r="U27" s="476">
        <f>SUM(U14+U15+U16+U20+U26)</f>
        <v>10309</v>
      </c>
      <c r="V27" s="417">
        <f t="shared" si="8"/>
        <v>-10.4</v>
      </c>
      <c r="W27" s="88">
        <f>SUM(W14+W15+W16+W20+W26)</f>
        <v>6064.7740000000003</v>
      </c>
      <c r="X27" s="476">
        <f>SUM(X14+X15+X16+X20+X26)</f>
        <v>5991.473</v>
      </c>
      <c r="Y27" s="417">
        <f t="shared" si="9"/>
        <v>-1.2</v>
      </c>
      <c r="Z27" s="88">
        <f>SUM(Z14+Z15+Z16+Z20+Z26)</f>
        <v>34362</v>
      </c>
      <c r="AA27" s="476">
        <f>SUM(AA14+AA15+AA16+AA20+AA26)</f>
        <v>33039.812335749994</v>
      </c>
      <c r="AB27" s="417">
        <f t="shared" si="10"/>
        <v>-3.8</v>
      </c>
      <c r="AC27" s="88">
        <f>SUM(AC14+AC15+AC16+AC20+AC26)</f>
        <v>10</v>
      </c>
      <c r="AD27" s="476">
        <f>SUM(AD14+AD15+AD16+AD20+AD26)</f>
        <v>44</v>
      </c>
      <c r="AE27" s="417">
        <f>IF(AC27=0, "    ---- ", IF(ABS(ROUND(100/AC27*AD27-100,1))&lt;999,ROUND(100/AC27*AD27-100,1),IF(ROUND(100/AC27*AD27-100,1)&gt;999,999,-999)))</f>
        <v>340</v>
      </c>
      <c r="AF27" s="476">
        <f t="shared" si="20"/>
        <v>143538.76926718003</v>
      </c>
      <c r="AG27" s="476">
        <f t="shared" si="20"/>
        <v>142417.7438700049</v>
      </c>
      <c r="AH27" s="417">
        <f t="shared" si="3"/>
        <v>-0.8</v>
      </c>
      <c r="AI27" s="476">
        <f t="shared" si="21"/>
        <v>143548.76926718003</v>
      </c>
      <c r="AJ27" s="476">
        <f t="shared" si="21"/>
        <v>142461.7438700049</v>
      </c>
      <c r="AK27" s="417">
        <f t="shared" si="5"/>
        <v>-0.8</v>
      </c>
    </row>
    <row r="28" spans="1:40" s="429" customFormat="1" ht="20.100000000000001" customHeight="1" x14ac:dyDescent="0.3">
      <c r="A28" s="530" t="s">
        <v>180</v>
      </c>
      <c r="B28" s="180">
        <v>750.11800000000005</v>
      </c>
      <c r="C28" s="417">
        <v>1080.93</v>
      </c>
      <c r="D28" s="417">
        <f t="shared" si="6"/>
        <v>44.1</v>
      </c>
      <c r="E28" s="180">
        <v>976.53377700999988</v>
      </c>
      <c r="F28" s="417">
        <v>967.86528658999987</v>
      </c>
      <c r="G28" s="417">
        <f>IF(E28=0, "    ---- ", IF(ABS(ROUND(100/E28*F28-100,1))&lt;999,ROUND(100/E28*F28-100,1),IF(ROUND(100/E28*F28-100,1)&gt;999,999,-999)))</f>
        <v>-0.9</v>
      </c>
      <c r="H28" s="180">
        <v>630.56169999999997</v>
      </c>
      <c r="I28" s="417">
        <v>676.72799999999995</v>
      </c>
      <c r="J28" s="417">
        <f t="shared" si="15"/>
        <v>7.3</v>
      </c>
      <c r="K28" s="88">
        <v>272</v>
      </c>
      <c r="L28" s="476">
        <v>461</v>
      </c>
      <c r="M28" s="476">
        <f t="shared" si="14"/>
        <v>69.5</v>
      </c>
      <c r="N28" s="88">
        <v>4389.6230678800002</v>
      </c>
      <c r="O28" s="476">
        <v>4670.3969475900003</v>
      </c>
      <c r="P28" s="417">
        <f t="shared" si="1"/>
        <v>6.4</v>
      </c>
      <c r="Q28" s="88">
        <v>1421.93</v>
      </c>
      <c r="R28" s="476">
        <v>1234.3499999999999</v>
      </c>
      <c r="S28" s="417">
        <f t="shared" si="16"/>
        <v>-13.2</v>
      </c>
      <c r="T28" s="88">
        <f>72+188+976+37</f>
        <v>1273</v>
      </c>
      <c r="U28" s="476">
        <f>34+1052+82+91</f>
        <v>1259</v>
      </c>
      <c r="V28" s="417">
        <f t="shared" si="8"/>
        <v>-1.1000000000000001</v>
      </c>
      <c r="W28" s="88">
        <v>728.70699999999999</v>
      </c>
      <c r="X28" s="476">
        <v>1029.0039999999999</v>
      </c>
      <c r="Y28" s="417">
        <f t="shared" si="9"/>
        <v>41.2</v>
      </c>
      <c r="Z28" s="88">
        <f>1609+37145+3146+62</f>
        <v>41962</v>
      </c>
      <c r="AA28" s="476">
        <f>1356.80058637+42664.70119923+3510.32585640999+82.9705476044266</f>
        <v>47614.798189614419</v>
      </c>
      <c r="AB28" s="417">
        <f t="shared" si="10"/>
        <v>13.5</v>
      </c>
      <c r="AC28" s="88">
        <v>5</v>
      </c>
      <c r="AD28" s="476">
        <v>45</v>
      </c>
      <c r="AE28" s="417">
        <f>IF(AC28=0, "    ---- ", IF(ABS(ROUND(100/AC28*AD28-100,1))&lt;999,ROUND(100/AC28*AD28-100,1),IF(ROUND(100/AC28*AD28-100,1)&gt;999,999,-999)))</f>
        <v>800</v>
      </c>
      <c r="AF28" s="476">
        <f t="shared" si="20"/>
        <v>52404.473544890003</v>
      </c>
      <c r="AG28" s="476">
        <f t="shared" si="20"/>
        <v>58994.072423794423</v>
      </c>
      <c r="AH28" s="417">
        <f t="shared" si="3"/>
        <v>12.6</v>
      </c>
      <c r="AI28" s="476">
        <f t="shared" si="21"/>
        <v>52409.473544890003</v>
      </c>
      <c r="AJ28" s="476">
        <f t="shared" si="21"/>
        <v>59039.072423794423</v>
      </c>
      <c r="AK28" s="417">
        <f t="shared" si="5"/>
        <v>12.6</v>
      </c>
      <c r="AN28" s="666"/>
    </row>
    <row r="29" spans="1:40" s="429" customFormat="1" ht="20.100000000000001" customHeight="1" x14ac:dyDescent="0.3">
      <c r="A29" s="530" t="s">
        <v>181</v>
      </c>
      <c r="B29" s="180">
        <f>SUM(B27+B28)</f>
        <v>33137.286762220006</v>
      </c>
      <c r="C29" s="417">
        <f>SUM(C27+C28)</f>
        <v>32658.712611454874</v>
      </c>
      <c r="D29" s="417">
        <f>IF(B29=0, "    ---- ", IF(ABS(ROUND(100/B29*C29-100,1))&lt;999,ROUND(100/B29*C29-100,1),IF(ROUND(100/B29*C29-100,1)&gt;999,999,-999)))</f>
        <v>-1.4</v>
      </c>
      <c r="E29" s="180">
        <f>SUM(E27+E28)</f>
        <v>3885.1627190700005</v>
      </c>
      <c r="F29" s="417">
        <f>SUM(F27+F28)</f>
        <v>4459.9063986900001</v>
      </c>
      <c r="G29" s="417">
        <f>IF(E29=0, "    ---- ", IF(ABS(ROUND(100/E29*F29-100,1))&lt;999,ROUND(100/E29*F29-100,1),IF(ROUND(100/E29*F29-100,1)&gt;999,999,-999)))</f>
        <v>14.8</v>
      </c>
      <c r="H29" s="180">
        <f>SUM(H27+H28)</f>
        <v>1027.2605799999999</v>
      </c>
      <c r="I29" s="417">
        <f>SUM(I27+I28)</f>
        <v>1125.7079999999999</v>
      </c>
      <c r="J29" s="417">
        <f>IF(H29=0, "    ---- ", IF(ABS(ROUND(100/H29*I29-100,1))&lt;999,ROUND(100/H29*I29-100,1),IF(ROUND(100/H29*I29-100,1)&gt;999,999,-999)))</f>
        <v>9.6</v>
      </c>
      <c r="K29" s="180">
        <f>SUM(K27+K28)</f>
        <v>1759</v>
      </c>
      <c r="L29" s="417">
        <f>SUM(L27+L28)</f>
        <v>1469</v>
      </c>
      <c r="M29" s="417">
        <f>IF(K29=0, "    ---- ", IF(ABS(ROUND(100/K29*L29-100,1))&lt;999,ROUND(100/K29*L29-100,1),IF(ROUND(100/K29*L29-100,1)&gt;999,999,-999)))</f>
        <v>-16.5</v>
      </c>
      <c r="N29" s="180">
        <f>SUM(N27+N28)</f>
        <v>48495.801750780003</v>
      </c>
      <c r="O29" s="417">
        <f>SUM(O27+O28)</f>
        <v>50179.451758290008</v>
      </c>
      <c r="P29" s="417">
        <f>IF(N29=0, "    ---- ", IF(ABS(ROUND(100/N29*O29-100,1))&lt;999,ROUND(100/N29*O29-100,1),IF(ROUND(100/N29*O29-100,1)&gt;999,999,-999)))</f>
        <v>3.5</v>
      </c>
      <c r="Q29" s="180">
        <f>SUM(Q27+Q28)</f>
        <v>11748.250000000011</v>
      </c>
      <c r="R29" s="417">
        <f>SUM(R27+R28)</f>
        <v>12275.949999999999</v>
      </c>
      <c r="S29" s="417">
        <f>IF(Q29=0, "    ---- ", IF(ABS(ROUND(100/Q29*R29-100,1))&lt;999,ROUND(100/Q29*R29-100,1),IF(ROUND(100/Q29*R29-100,1)&gt;999,999,-999)))</f>
        <v>4.5</v>
      </c>
      <c r="T29" s="180">
        <f>SUM(T27+T28)</f>
        <v>12773</v>
      </c>
      <c r="U29" s="417">
        <f>SUM(U27+U28)</f>
        <v>11568</v>
      </c>
      <c r="V29" s="417">
        <f>IF(T29=0, "    ---- ", IF(ABS(ROUND(100/T29*U29-100,1))&lt;999,ROUND(100/T29*U29-100,1),IF(ROUND(100/T29*U29-100,1)&gt;999,999,-999)))</f>
        <v>-9.4</v>
      </c>
      <c r="W29" s="180">
        <f>SUM(W27+W28)</f>
        <v>6793.4810000000007</v>
      </c>
      <c r="X29" s="417">
        <f>SUM(X27+X28)</f>
        <v>7020.4769999999999</v>
      </c>
      <c r="Y29" s="417">
        <f>IF(W29=0, "    ---- ", IF(ABS(ROUND(100/W29*X29-100,1))&lt;999,ROUND(100/W29*X29-100,1),IF(ROUND(100/W29*X29-100,1)&gt;999,999,-999)))</f>
        <v>3.3</v>
      </c>
      <c r="Z29" s="180">
        <f>SUM(Z27+Z28)</f>
        <v>76324</v>
      </c>
      <c r="AA29" s="417">
        <f>SUM(AA27+AA28)</f>
        <v>80654.610525364405</v>
      </c>
      <c r="AB29" s="417">
        <f>IF(Z29=0, "    ---- ", IF(ABS(ROUND(100/Z29*AA29-100,1))&lt;999,ROUND(100/Z29*AA29-100,1),IF(ROUND(100/Z29*AA29-100,1)&gt;999,999,-999)))</f>
        <v>5.7</v>
      </c>
      <c r="AC29" s="180">
        <f>SUM(AC27+AC28)</f>
        <v>15</v>
      </c>
      <c r="AD29" s="417">
        <f>SUM(AD27+AD28)</f>
        <v>89</v>
      </c>
      <c r="AE29" s="417">
        <f>IF(AC29=0, "    ---- ", IF(ABS(ROUND(100/AC29*AD29-100,1))&lt;999,ROUND(100/AC29*AD29-100,1),IF(ROUND(100/AC29*AD29-100,1)&gt;999,999,-999)))</f>
        <v>493.3</v>
      </c>
      <c r="AF29" s="476">
        <f t="shared" si="20"/>
        <v>195943.24281207001</v>
      </c>
      <c r="AG29" s="476">
        <f>C29+F29+I29+L29+O29+R29+U29+X29+AA29</f>
        <v>201411.81629379929</v>
      </c>
      <c r="AH29" s="417">
        <f>IF(AF29=0, "    ---- ", IF(ABS(ROUND(100/AF29*AG29-100,1))&lt;999,ROUND(100/AF29*AG29-100,1),IF(ROUND(100/AF29*AG29-100,1)&gt;999,999,-999)))</f>
        <v>2.8</v>
      </c>
      <c r="AI29" s="476">
        <f t="shared" si="21"/>
        <v>195958.24281207001</v>
      </c>
      <c r="AJ29" s="476">
        <f>C29+F29+I29+L29+O29+R29+U29+X29+AA29+AD29</f>
        <v>201500.81629379929</v>
      </c>
      <c r="AK29" s="567">
        <f t="shared" si="5"/>
        <v>2.8</v>
      </c>
    </row>
    <row r="30" spans="1:40" s="429" customFormat="1" ht="20.100000000000001" customHeight="1" x14ac:dyDescent="0.3">
      <c r="A30" s="530"/>
      <c r="B30" s="537"/>
      <c r="C30" s="414"/>
      <c r="D30" s="417"/>
      <c r="E30" s="537"/>
      <c r="F30" s="414"/>
      <c r="G30" s="417"/>
      <c r="H30" s="537"/>
      <c r="I30" s="414"/>
      <c r="J30" s="417"/>
      <c r="K30" s="180"/>
      <c r="L30" s="417"/>
      <c r="M30" s="414"/>
      <c r="N30" s="537"/>
      <c r="O30" s="414"/>
      <c r="P30" s="322"/>
      <c r="Q30" s="537"/>
      <c r="R30" s="414"/>
      <c r="S30" s="322"/>
      <c r="T30" s="537"/>
      <c r="U30" s="414"/>
      <c r="V30" s="322"/>
      <c r="W30" s="537"/>
      <c r="X30" s="414"/>
      <c r="Y30" s="322"/>
      <c r="Z30" s="537"/>
      <c r="AA30" s="414"/>
      <c r="AB30" s="322"/>
      <c r="AC30" s="537"/>
      <c r="AD30" s="414"/>
      <c r="AE30" s="322"/>
      <c r="AF30" s="414"/>
      <c r="AG30" s="414"/>
      <c r="AH30" s="322"/>
      <c r="AI30" s="414"/>
      <c r="AJ30" s="414"/>
      <c r="AK30" s="418"/>
    </row>
    <row r="31" spans="1:40" s="429" customFormat="1" ht="20.100000000000001" customHeight="1" x14ac:dyDescent="0.3">
      <c r="A31" s="542" t="s">
        <v>182</v>
      </c>
      <c r="B31" s="180"/>
      <c r="C31" s="417"/>
      <c r="D31" s="417"/>
      <c r="E31" s="180"/>
      <c r="F31" s="417"/>
      <c r="G31" s="417"/>
      <c r="H31" s="180"/>
      <c r="I31" s="417"/>
      <c r="J31" s="417"/>
      <c r="K31" s="180"/>
      <c r="L31" s="417"/>
      <c r="M31" s="414"/>
      <c r="N31" s="180"/>
      <c r="O31" s="417"/>
      <c r="P31" s="322"/>
      <c r="Q31" s="180"/>
      <c r="R31" s="417"/>
      <c r="S31" s="322"/>
      <c r="T31" s="180"/>
      <c r="U31" s="417"/>
      <c r="V31" s="322"/>
      <c r="W31" s="180"/>
      <c r="X31" s="417"/>
      <c r="Y31" s="322"/>
      <c r="Z31" s="180"/>
      <c r="AA31" s="417"/>
      <c r="AB31" s="322"/>
      <c r="AC31" s="180"/>
      <c r="AD31" s="417"/>
      <c r="AE31" s="322"/>
      <c r="AF31" s="414"/>
      <c r="AG31" s="414"/>
      <c r="AH31" s="322"/>
      <c r="AI31" s="414"/>
      <c r="AJ31" s="414"/>
      <c r="AK31" s="418"/>
    </row>
    <row r="32" spans="1:40" s="429" customFormat="1" ht="20.100000000000001" customHeight="1" x14ac:dyDescent="0.3">
      <c r="A32" s="542" t="s">
        <v>183</v>
      </c>
      <c r="B32" s="180"/>
      <c r="C32" s="417"/>
      <c r="D32" s="322"/>
      <c r="E32" s="180"/>
      <c r="F32" s="417"/>
      <c r="G32" s="322"/>
      <c r="H32" s="180"/>
      <c r="I32" s="417"/>
      <c r="J32" s="322"/>
      <c r="K32" s="180"/>
      <c r="L32" s="417"/>
      <c r="M32" s="414"/>
      <c r="N32" s="180"/>
      <c r="O32" s="417"/>
      <c r="P32" s="322"/>
      <c r="Q32" s="180"/>
      <c r="R32" s="417"/>
      <c r="S32" s="322"/>
      <c r="T32" s="180"/>
      <c r="U32" s="417"/>
      <c r="V32" s="322"/>
      <c r="W32" s="180"/>
      <c r="X32" s="417"/>
      <c r="Y32" s="322"/>
      <c r="Z32" s="180"/>
      <c r="AA32" s="417"/>
      <c r="AB32" s="322"/>
      <c r="AC32" s="180"/>
      <c r="AD32" s="417"/>
      <c r="AE32" s="322"/>
      <c r="AF32" s="414"/>
      <c r="AG32" s="414"/>
      <c r="AH32" s="322"/>
      <c r="AI32" s="414"/>
      <c r="AJ32" s="414"/>
      <c r="AK32" s="418"/>
    </row>
    <row r="33" spans="1:40" s="429" customFormat="1" ht="20.100000000000001" customHeight="1" x14ac:dyDescent="0.3">
      <c r="A33" s="530" t="s">
        <v>184</v>
      </c>
      <c r="B33" s="180">
        <v>14.22554581</v>
      </c>
      <c r="C33" s="417">
        <v>14.22554581</v>
      </c>
      <c r="D33" s="417">
        <f t="shared" ref="D33:D93" si="22">IF(B33=0, "    ---- ", IF(ABS(ROUND(100/B33*C33-100,1))&lt;999,ROUND(100/B33*C33-100,1),IF(ROUND(100/B33*C33-100,1)&gt;999,999,-999)))</f>
        <v>0</v>
      </c>
      <c r="E33" s="180"/>
      <c r="F33" s="417"/>
      <c r="G33" s="417"/>
      <c r="H33" s="180"/>
      <c r="I33" s="417"/>
      <c r="J33" s="417"/>
      <c r="K33" s="180"/>
      <c r="L33" s="417"/>
      <c r="M33" s="414"/>
      <c r="N33" s="180"/>
      <c r="O33" s="417"/>
      <c r="P33" s="322"/>
      <c r="Q33" s="180"/>
      <c r="R33" s="417"/>
      <c r="S33" s="322"/>
      <c r="T33" s="180"/>
      <c r="U33" s="417"/>
      <c r="V33" s="322"/>
      <c r="W33" s="180"/>
      <c r="X33" s="417"/>
      <c r="Y33" s="322"/>
      <c r="Z33" s="180"/>
      <c r="AA33" s="417"/>
      <c r="AB33" s="322"/>
      <c r="AC33" s="180"/>
      <c r="AD33" s="417"/>
      <c r="AE33" s="322"/>
      <c r="AF33" s="476">
        <f t="shared" ref="AF33:AG38" si="23">B33+E33+H33+K33+N33+Q33+T33+W33+Z33</f>
        <v>14.22554581</v>
      </c>
      <c r="AG33" s="476">
        <f t="shared" si="23"/>
        <v>14.22554581</v>
      </c>
      <c r="AH33" s="322">
        <f t="shared" ref="AH33:AH93" si="24">IF(AF33=0, "    ---- ", IF(ABS(ROUND(100/AF33*AG33-100,1))&lt;999,ROUND(100/AF33*AG33-100,1),IF(ROUND(100/AF33*AG33-100,1)&gt;999,999,-999)))</f>
        <v>0</v>
      </c>
      <c r="AI33" s="476">
        <f t="shared" ref="AI33:AJ45" si="25">B33+E33+H33+K33+N33+Q33+T33+W33+Z33+AC33</f>
        <v>14.22554581</v>
      </c>
      <c r="AJ33" s="476">
        <f t="shared" si="25"/>
        <v>14.22554581</v>
      </c>
      <c r="AK33" s="418">
        <f t="shared" ref="AK33:AK93" si="26">IF(AI33=0, "    ---- ", IF(ABS(ROUND(100/AI33*AJ33-100,1))&lt;999,ROUND(100/AI33*AJ33-100,1),IF(ROUND(100/AI33*AJ33-100,1)&gt;999,999,-999)))</f>
        <v>0</v>
      </c>
    </row>
    <row r="34" spans="1:40" s="429" customFormat="1" ht="20.100000000000001" customHeight="1" x14ac:dyDescent="0.3">
      <c r="A34" s="530" t="s">
        <v>185</v>
      </c>
      <c r="B34" s="180">
        <v>23451.417000000001</v>
      </c>
      <c r="C34" s="417">
        <v>19222.079490310003</v>
      </c>
      <c r="D34" s="417">
        <f t="shared" si="22"/>
        <v>-18</v>
      </c>
      <c r="E34" s="180">
        <v>446.63463938999996</v>
      </c>
      <c r="F34" s="417">
        <v>441.19200477999999</v>
      </c>
      <c r="G34" s="417">
        <f t="shared" ref="G34:G37" si="27">IF(E34=0, "    ---- ", IF(ABS(ROUND(100/E34*F34-100,1))&lt;999,ROUND(100/E34*F34-100,1),IF(ROUND(100/E34*F34-100,1)&gt;999,999,-999)))</f>
        <v>-1.2</v>
      </c>
      <c r="H34" s="180"/>
      <c r="I34" s="417"/>
      <c r="J34" s="417"/>
      <c r="K34" s="180">
        <v>745</v>
      </c>
      <c r="L34" s="417">
        <v>304</v>
      </c>
      <c r="M34" s="414">
        <f>IF(K34=0, "    ---- ", IF(ABS(ROUND(100/K34*L34-100,1))&lt;999,ROUND(100/K34*L34-100,1),IF(ROUND(100/K34*L34-100,1)&gt;999,999,-999)))</f>
        <v>-59.2</v>
      </c>
      <c r="N34" s="180">
        <v>95004.052344770011</v>
      </c>
      <c r="O34" s="417">
        <v>94067.651215270002</v>
      </c>
      <c r="P34" s="322">
        <f>IF(N34=0, "    ---- ", IF(ABS(ROUND(100/N34*O34-100,1))&lt;999,ROUND(100/N34*O34-100,1),IF(ROUND(100/N34*O34-100,1)&gt;999,999,-999)))</f>
        <v>-1</v>
      </c>
      <c r="Q34" s="180">
        <v>7276.9608049999997</v>
      </c>
      <c r="R34" s="417">
        <v>5998.1245510300005</v>
      </c>
      <c r="S34" s="322">
        <f t="shared" ref="S34:S93" si="28">IF(Q34=0, "    ---- ", IF(ABS(ROUND(100/Q34*R34-100,1))&lt;999,ROUND(100/Q34*R34-100,1),IF(ROUND(100/Q34*R34-100,1)&gt;999,999,-999)))</f>
        <v>-17.600000000000001</v>
      </c>
      <c r="T34" s="180">
        <f>14106+7119</f>
        <v>21225</v>
      </c>
      <c r="U34" s="417">
        <v>20072</v>
      </c>
      <c r="V34" s="322">
        <f t="shared" ref="V34:V42" si="29">IF(T34=0, "    ---- ", IF(ABS(ROUND(100/T34*U34-100,1))&lt;999,ROUND(100/T34*U34-100,1),IF(ROUND(100/T34*U34-100,1)&gt;999,999,-999)))</f>
        <v>-5.4</v>
      </c>
      <c r="W34" s="180">
        <v>5709.28</v>
      </c>
      <c r="X34" s="417">
        <v>4314.2610000000004</v>
      </c>
      <c r="Y34" s="322">
        <f t="shared" ref="Y34:Y93" si="30">IF(W34=0, "    ---- ", IF(ABS(ROUND(100/W34*X34-100,1))&lt;999,ROUND(100/W34*X34-100,1),IF(ROUND(100/W34*X34-100,1)&gt;999,999,-999)))</f>
        <v>-24.4</v>
      </c>
      <c r="Z34" s="180">
        <v>24023</v>
      </c>
      <c r="AA34" s="417">
        <v>21979.342164310001</v>
      </c>
      <c r="AB34" s="322">
        <f t="shared" ref="AB34:AB93" si="31">IF(Z34=0, "    ---- ", IF(ABS(ROUND(100/Z34*AA34-100,1))&lt;999,ROUND(100/Z34*AA34-100,1),IF(ROUND(100/Z34*AA34-100,1)&gt;999,999,-999)))</f>
        <v>-8.5</v>
      </c>
      <c r="AC34" s="180"/>
      <c r="AD34" s="417"/>
      <c r="AE34" s="322"/>
      <c r="AF34" s="476">
        <f t="shared" si="23"/>
        <v>177881.34478916001</v>
      </c>
      <c r="AG34" s="476">
        <f t="shared" si="23"/>
        <v>166398.65042570001</v>
      </c>
      <c r="AH34" s="322">
        <f t="shared" si="24"/>
        <v>-6.5</v>
      </c>
      <c r="AI34" s="476">
        <f t="shared" si="25"/>
        <v>177881.34478916001</v>
      </c>
      <c r="AJ34" s="476">
        <f t="shared" si="25"/>
        <v>166398.65042570001</v>
      </c>
      <c r="AK34" s="418">
        <f t="shared" si="26"/>
        <v>-6.5</v>
      </c>
    </row>
    <row r="35" spans="1:40" s="429" customFormat="1" ht="20.100000000000001" customHeight="1" x14ac:dyDescent="0.3">
      <c r="A35" s="530" t="s">
        <v>186</v>
      </c>
      <c r="B35" s="180">
        <f>SUM(B36+B38)</f>
        <v>125177.07988723999</v>
      </c>
      <c r="C35" s="417">
        <f>SUM(C36+C38)</f>
        <v>134979.58724488999</v>
      </c>
      <c r="D35" s="417">
        <f t="shared" si="22"/>
        <v>7.8</v>
      </c>
      <c r="E35" s="180">
        <f>SUM(E36+E38)</f>
        <v>2394.6690328499999</v>
      </c>
      <c r="F35" s="417">
        <f>SUM(F36+F38)</f>
        <v>5343.0122965499995</v>
      </c>
      <c r="G35" s="417">
        <f t="shared" si="27"/>
        <v>123.1</v>
      </c>
      <c r="H35" s="180">
        <f>SUM(H36+H38)</f>
        <v>461.62700000000001</v>
      </c>
      <c r="I35" s="417">
        <f>SUM(I36+I38)</f>
        <v>556.65700000000004</v>
      </c>
      <c r="J35" s="673">
        <f t="shared" ref="J35:J36" si="32">IF(H35=0, "    ---- ", IF(ABS(ROUND(100/H35*I35-100,1))&lt;999,ROUND(100/H35*I35-100,1),IF(ROUND(100/H35*I35-100,1)&gt;999,999,-999)))</f>
        <v>20.6</v>
      </c>
      <c r="K35" s="180">
        <f>SUM(K36+K38)</f>
        <v>7302</v>
      </c>
      <c r="L35" s="417">
        <f>SUM(L36+L38)</f>
        <v>8136</v>
      </c>
      <c r="M35" s="414">
        <f>IF(K35=0, "    ---- ", IF(ABS(ROUND(100/K35*L35-100,1))&lt;999,ROUND(100/K35*L35-100,1),IF(ROUND(100/K35*L35-100,1)&gt;999,999,-999)))</f>
        <v>11.4</v>
      </c>
      <c r="N35" s="180">
        <f>SUM(N36+N38)</f>
        <v>271503.69608594</v>
      </c>
      <c r="O35" s="417">
        <f>SUM(O36+O38)</f>
        <v>292793.53841884003</v>
      </c>
      <c r="P35" s="322">
        <f>IF(N35=0, "    ---- ", IF(ABS(ROUND(100/N35*O35-100,1))&lt;999,ROUND(100/N35*O35-100,1),IF(ROUND(100/N35*O35-100,1)&gt;999,999,-999)))</f>
        <v>7.8</v>
      </c>
      <c r="Q35" s="180">
        <f>SUM(Q36+Q38)</f>
        <v>39694.305325359899</v>
      </c>
      <c r="R35" s="417">
        <f>SUM(R36+R38)</f>
        <v>40354.574822809896</v>
      </c>
      <c r="S35" s="322">
        <f t="shared" si="28"/>
        <v>1.7</v>
      </c>
      <c r="T35" s="180">
        <f>SUM(T36+T38)</f>
        <v>26330</v>
      </c>
      <c r="U35" s="417">
        <f>SUM(U36+U38)</f>
        <v>28309</v>
      </c>
      <c r="V35" s="322">
        <f t="shared" si="29"/>
        <v>7.5</v>
      </c>
      <c r="W35" s="180">
        <f>SUM(W36+W38)</f>
        <v>10004.217000000001</v>
      </c>
      <c r="X35" s="417">
        <f>SUM(X36+X38)</f>
        <v>10879.406000000001</v>
      </c>
      <c r="Y35" s="322">
        <f t="shared" si="30"/>
        <v>8.6999999999999993</v>
      </c>
      <c r="Z35" s="180">
        <f>SUM(Z36+Z38)</f>
        <v>156772</v>
      </c>
      <c r="AA35" s="417">
        <f>SUM(AA36+AA38)</f>
        <v>162300.24695257001</v>
      </c>
      <c r="AB35" s="322">
        <f t="shared" si="31"/>
        <v>3.5</v>
      </c>
      <c r="AC35" s="180"/>
      <c r="AD35" s="417"/>
      <c r="AE35" s="322"/>
      <c r="AF35" s="476">
        <f t="shared" si="23"/>
        <v>639639.59433138999</v>
      </c>
      <c r="AG35" s="476">
        <f t="shared" si="23"/>
        <v>683652.02273565996</v>
      </c>
      <c r="AH35" s="322">
        <f t="shared" si="24"/>
        <v>6.9</v>
      </c>
      <c r="AI35" s="476">
        <f t="shared" si="25"/>
        <v>639639.59433138999</v>
      </c>
      <c r="AJ35" s="476">
        <f t="shared" si="25"/>
        <v>683652.02273565996</v>
      </c>
      <c r="AK35" s="418">
        <f t="shared" si="26"/>
        <v>6.9</v>
      </c>
    </row>
    <row r="36" spans="1:40" s="429" customFormat="1" ht="20.100000000000001" customHeight="1" x14ac:dyDescent="0.3">
      <c r="A36" s="671" t="s">
        <v>410</v>
      </c>
      <c r="B36" s="672">
        <v>105506.30593012</v>
      </c>
      <c r="C36" s="673">
        <v>120670.69706567</v>
      </c>
      <c r="D36" s="673">
        <f t="shared" si="22"/>
        <v>14.4</v>
      </c>
      <c r="E36" s="672">
        <v>0.61252888000000005</v>
      </c>
      <c r="F36" s="673">
        <v>5343.0122965499995</v>
      </c>
      <c r="G36" s="417">
        <f t="shared" si="27"/>
        <v>999</v>
      </c>
      <c r="H36" s="672">
        <v>461.62700000000001</v>
      </c>
      <c r="I36" s="673">
        <v>556.65700000000004</v>
      </c>
      <c r="J36" s="673">
        <f t="shared" si="32"/>
        <v>20.6</v>
      </c>
      <c r="K36" s="672"/>
      <c r="L36" s="673"/>
      <c r="M36" s="674"/>
      <c r="N36" s="672"/>
      <c r="O36" s="673"/>
      <c r="P36" s="673"/>
      <c r="Q36" s="672">
        <v>3.4000000000000003E-7</v>
      </c>
      <c r="R36" s="673">
        <v>40354.574822809896</v>
      </c>
      <c r="S36" s="673">
        <f t="shared" si="28"/>
        <v>999</v>
      </c>
      <c r="T36" s="672"/>
      <c r="U36" s="673"/>
      <c r="V36" s="673"/>
      <c r="W36" s="672">
        <v>576.673</v>
      </c>
      <c r="X36" s="673">
        <v>10879.406000000001</v>
      </c>
      <c r="Y36" s="673">
        <f t="shared" si="30"/>
        <v>999</v>
      </c>
      <c r="Z36" s="672"/>
      <c r="AA36" s="673"/>
      <c r="AB36" s="673"/>
      <c r="AC36" s="672"/>
      <c r="AD36" s="673"/>
      <c r="AE36" s="322"/>
      <c r="AF36" s="476">
        <f t="shared" si="23"/>
        <v>106545.21845933999</v>
      </c>
      <c r="AG36" s="476">
        <f t="shared" si="23"/>
        <v>177804.34718502991</v>
      </c>
      <c r="AH36" s="322">
        <f t="shared" si="24"/>
        <v>66.900000000000006</v>
      </c>
      <c r="AI36" s="476">
        <f t="shared" si="25"/>
        <v>106545.21845933999</v>
      </c>
      <c r="AJ36" s="476">
        <f t="shared" si="25"/>
        <v>177804.34718502991</v>
      </c>
      <c r="AK36" s="418">
        <f t="shared" si="26"/>
        <v>66.900000000000006</v>
      </c>
    </row>
    <row r="37" spans="1:40" s="429" customFormat="1" ht="20.100000000000001" customHeight="1" x14ac:dyDescent="0.3">
      <c r="A37" s="530" t="s">
        <v>171</v>
      </c>
      <c r="B37" s="672">
        <v>105506.30593012</v>
      </c>
      <c r="C37" s="673">
        <v>120670.69706567</v>
      </c>
      <c r="D37" s="673">
        <f t="shared" si="22"/>
        <v>14.4</v>
      </c>
      <c r="E37" s="672">
        <v>0.61252888000000005</v>
      </c>
      <c r="F37" s="673">
        <v>5343.0122965499995</v>
      </c>
      <c r="G37" s="417">
        <f t="shared" si="27"/>
        <v>999</v>
      </c>
      <c r="H37" s="672"/>
      <c r="I37" s="673"/>
      <c r="J37" s="673"/>
      <c r="K37" s="672"/>
      <c r="L37" s="673"/>
      <c r="M37" s="674"/>
      <c r="N37" s="672"/>
      <c r="O37" s="673"/>
      <c r="P37" s="673"/>
      <c r="Q37" s="672">
        <v>3.4000000000000003E-7</v>
      </c>
      <c r="R37" s="673">
        <v>40354.574822809896</v>
      </c>
      <c r="S37" s="673">
        <f t="shared" si="28"/>
        <v>999</v>
      </c>
      <c r="T37" s="672"/>
      <c r="U37" s="673"/>
      <c r="V37" s="673"/>
      <c r="W37" s="672">
        <v>244.95735291999912</v>
      </c>
      <c r="X37" s="673">
        <v>-0.81057864000000002</v>
      </c>
      <c r="Y37" s="673">
        <f t="shared" si="30"/>
        <v>-100.3</v>
      </c>
      <c r="Z37" s="672"/>
      <c r="AA37" s="673"/>
      <c r="AB37" s="673"/>
      <c r="AC37" s="672"/>
      <c r="AD37" s="673"/>
      <c r="AE37" s="322"/>
      <c r="AF37" s="476">
        <f t="shared" si="23"/>
        <v>105751.87581226</v>
      </c>
      <c r="AG37" s="476">
        <f t="shared" si="23"/>
        <v>166367.47360638992</v>
      </c>
      <c r="AH37" s="322">
        <f t="shared" si="24"/>
        <v>57.3</v>
      </c>
      <c r="AI37" s="476">
        <f t="shared" si="25"/>
        <v>105751.87581226</v>
      </c>
      <c r="AJ37" s="476">
        <f t="shared" si="25"/>
        <v>166367.47360638992</v>
      </c>
      <c r="AK37" s="418">
        <f t="shared" si="26"/>
        <v>57.3</v>
      </c>
    </row>
    <row r="38" spans="1:40" s="429" customFormat="1" ht="20.100000000000001" customHeight="1" x14ac:dyDescent="0.3">
      <c r="A38" s="530" t="s">
        <v>187</v>
      </c>
      <c r="B38" s="180">
        <v>19670.77395712</v>
      </c>
      <c r="C38" s="417">
        <v>14308.890179219999</v>
      </c>
      <c r="D38" s="417">
        <f t="shared" si="22"/>
        <v>-27.3</v>
      </c>
      <c r="E38" s="180">
        <v>2394.05650397</v>
      </c>
      <c r="F38" s="417"/>
      <c r="G38" s="417"/>
      <c r="H38" s="180"/>
      <c r="I38" s="417"/>
      <c r="J38" s="417"/>
      <c r="K38" s="180">
        <v>7302</v>
      </c>
      <c r="L38" s="417">
        <v>8136</v>
      </c>
      <c r="M38" s="414">
        <f>IF(K38=0, "    ---- ", IF(ABS(ROUND(100/K38*L38-100,1))&lt;999,ROUND(100/K38*L38-100,1),IF(ROUND(100/K38*L38-100,1)&gt;999,999,-999)))</f>
        <v>11.4</v>
      </c>
      <c r="N38" s="180">
        <v>271503.69608594</v>
      </c>
      <c r="O38" s="417">
        <v>292793.53841884003</v>
      </c>
      <c r="P38" s="322">
        <f t="shared" ref="P38:P45" si="33">IF(N38=0, "    ---- ", IF(ABS(ROUND(100/N38*O38-100,1))&lt;999,ROUND(100/N38*O38-100,1),IF(ROUND(100/N38*O38-100,1)&gt;999,999,-999)))</f>
        <v>7.8</v>
      </c>
      <c r="Q38" s="180">
        <v>39694.305325019901</v>
      </c>
      <c r="R38" s="417">
        <v>0</v>
      </c>
      <c r="S38" s="322">
        <f t="shared" si="28"/>
        <v>-100</v>
      </c>
      <c r="T38" s="180">
        <v>26330</v>
      </c>
      <c r="U38" s="417">
        <v>28309</v>
      </c>
      <c r="V38" s="322">
        <f t="shared" si="29"/>
        <v>7.5</v>
      </c>
      <c r="W38" s="180">
        <v>9427.5439999999999</v>
      </c>
      <c r="X38" s="417">
        <v>0</v>
      </c>
      <c r="Y38" s="322">
        <f t="shared" si="30"/>
        <v>-100</v>
      </c>
      <c r="Z38" s="180">
        <f>133821+18134+4817</f>
        <v>156772</v>
      </c>
      <c r="AA38" s="417">
        <f>141541.54030886+17486.48477879+3272.22186492</f>
        <v>162300.24695257001</v>
      </c>
      <c r="AB38" s="322">
        <f t="shared" si="31"/>
        <v>3.5</v>
      </c>
      <c r="AC38" s="180"/>
      <c r="AD38" s="417"/>
      <c r="AE38" s="322"/>
      <c r="AF38" s="476">
        <f t="shared" si="23"/>
        <v>533094.37587204995</v>
      </c>
      <c r="AG38" s="476">
        <f t="shared" si="23"/>
        <v>505847.67555063008</v>
      </c>
      <c r="AH38" s="322">
        <f t="shared" si="24"/>
        <v>-5.0999999999999996</v>
      </c>
      <c r="AI38" s="476">
        <f t="shared" si="25"/>
        <v>533094.37587204995</v>
      </c>
      <c r="AJ38" s="476">
        <f t="shared" si="25"/>
        <v>505847.67555063008</v>
      </c>
      <c r="AK38" s="418">
        <f t="shared" si="26"/>
        <v>-5.0999999999999996</v>
      </c>
    </row>
    <row r="39" spans="1:40" s="429" customFormat="1" ht="20.100000000000001" customHeight="1" x14ac:dyDescent="0.3">
      <c r="A39" s="530" t="s">
        <v>188</v>
      </c>
      <c r="B39" s="180">
        <f>SUM(B40+B41+B42+B43+B44)</f>
        <v>45733.81620483</v>
      </c>
      <c r="C39" s="417">
        <f>SUM(C40+C41+C42+C43+C44)</f>
        <v>36152.955449449997</v>
      </c>
      <c r="D39" s="417">
        <f t="shared" si="22"/>
        <v>-20.9</v>
      </c>
      <c r="E39" s="180">
        <f>SUM(E40+E41+E42+E43+E44)</f>
        <v>5544.8057951700002</v>
      </c>
      <c r="F39" s="417">
        <f>SUM(F40+F41+F42+F43+F44)</f>
        <v>3440.1556626500005</v>
      </c>
      <c r="G39" s="417">
        <f>IF(E39=0, "    ---- ", IF(ABS(ROUND(100/E39*F39-100,1))&lt;999,ROUND(100/E39*F39-100,1),IF(ROUND(100/E39*F39-100,1)&gt;999,999,-999)))</f>
        <v>-38</v>
      </c>
      <c r="H39" s="180">
        <f>SUM(H40+H41+H42+H43+H44)</f>
        <v>1087.8</v>
      </c>
      <c r="I39" s="417">
        <f>SUM(I40+I41+I42+I43+I44)</f>
        <v>1284.2250000000001</v>
      </c>
      <c r="J39" s="417">
        <f t="shared" ref="J39:J46" si="34">IF(H39=0, "    ---- ", IF(ABS(ROUND(100/H39*I39-100,1))&lt;999,ROUND(100/H39*I39-100,1),IF(ROUND(100/H39*I39-100,1)&gt;999,999,-999)))</f>
        <v>18.100000000000001</v>
      </c>
      <c r="K39" s="180">
        <f>SUM(K40+K41+K42+K43+K44)</f>
        <v>446</v>
      </c>
      <c r="L39" s="417">
        <f>SUM(L40+L41+L42+L43+L44)</f>
        <v>897</v>
      </c>
      <c r="M39" s="476">
        <f>IF(K39=0, "    ---- ", IF(ABS(ROUND(100/K39*L39-100,1))&lt;999,ROUND(100/K39*L39-100,1),IF(ROUND(100/K39*L39-100,1)&gt;999,999,-999)))</f>
        <v>101.1</v>
      </c>
      <c r="N39" s="180">
        <f>SUM(N40+N41+N42+N43+N44)</f>
        <v>324394.58091124002</v>
      </c>
      <c r="O39" s="417">
        <f>SUM(O40+O41+O42+O43+O44)</f>
        <v>364650.69149440998</v>
      </c>
      <c r="P39" s="417">
        <f t="shared" si="33"/>
        <v>12.4</v>
      </c>
      <c r="Q39" s="180">
        <f>SUM(Q40+Q41+Q42+Q43+Q44)</f>
        <v>8566.0846650700005</v>
      </c>
      <c r="R39" s="417">
        <f>SUM(R40+R41+R42+R43+R44)</f>
        <v>9220.49827362</v>
      </c>
      <c r="S39" s="417">
        <f t="shared" si="28"/>
        <v>7.6</v>
      </c>
      <c r="T39" s="180">
        <f>SUM(T40+T41+T42+T43+T44)</f>
        <v>71710</v>
      </c>
      <c r="U39" s="417">
        <f>SUM(U40+U41+U42+U43+U44)</f>
        <v>78933</v>
      </c>
      <c r="V39" s="417">
        <f t="shared" si="29"/>
        <v>10.1</v>
      </c>
      <c r="W39" s="180">
        <f>SUM(W40+W41+W42+W43+W44)</f>
        <v>7711.3040000000001</v>
      </c>
      <c r="X39" s="417">
        <f>SUM(X40+X41+X42+X43+X44)</f>
        <v>8714.3569999999982</v>
      </c>
      <c r="Y39" s="417">
        <f t="shared" si="30"/>
        <v>13</v>
      </c>
      <c r="Z39" s="180">
        <f>SUM(Z40+Z41+Z42+Z43+Z44)</f>
        <v>27360</v>
      </c>
      <c r="AA39" s="417">
        <f>SUM(AA40+AA41+AA42+AA43+AA44)</f>
        <v>30535.219284319999</v>
      </c>
      <c r="AB39" s="417">
        <f t="shared" si="31"/>
        <v>11.6</v>
      </c>
      <c r="AC39" s="180"/>
      <c r="AD39" s="417">
        <f>SUM(AD40+AD41+AD42+AD43+AD44)</f>
        <v>18</v>
      </c>
      <c r="AE39" s="322" t="str">
        <f t="shared" ref="AE39:AE45" si="35">IF(AC39=0, "    ---- ", IF(ABS(ROUND(100/AC39*AD39-100,1))&lt;999,ROUND(100/AC39*AD39-100,1),IF(ROUND(100/AC39*AD39-100,1)&gt;999,999,-999)))</f>
        <v xml:space="preserve">    ---- </v>
      </c>
      <c r="AF39" s="476">
        <f t="shared" ref="AF39:AG41" si="36">B39+E39+H39+K39+N39+Q39+T39+W39+Z39</f>
        <v>492554.39157631004</v>
      </c>
      <c r="AG39" s="476">
        <f t="shared" si="36"/>
        <v>533828.10216444999</v>
      </c>
      <c r="AH39" s="322">
        <f t="shared" si="24"/>
        <v>8.4</v>
      </c>
      <c r="AI39" s="476">
        <f t="shared" si="25"/>
        <v>492554.39157631004</v>
      </c>
      <c r="AJ39" s="476">
        <f t="shared" si="25"/>
        <v>533846.10216444999</v>
      </c>
      <c r="AK39" s="418">
        <f t="shared" si="26"/>
        <v>8.4</v>
      </c>
    </row>
    <row r="40" spans="1:40" s="429" customFormat="1" ht="20.100000000000001" customHeight="1" x14ac:dyDescent="0.3">
      <c r="A40" s="530" t="s">
        <v>189</v>
      </c>
      <c r="B40" s="180">
        <v>14678.89571237</v>
      </c>
      <c r="C40" s="417">
        <v>13534.59696492</v>
      </c>
      <c r="D40" s="322">
        <f t="shared" si="22"/>
        <v>-7.8</v>
      </c>
      <c r="E40" s="180">
        <v>359.68776298</v>
      </c>
      <c r="F40" s="417">
        <v>668.58877172000007</v>
      </c>
      <c r="G40" s="322">
        <f>IF(E40=0, "    ---- ", IF(ABS(ROUND(100/E40*F40-100,1))&lt;999,ROUND(100/E40*F40-100,1),IF(ROUND(100/E40*F40-100,1)&gt;999,999,-999)))</f>
        <v>85.9</v>
      </c>
      <c r="H40" s="180">
        <v>157.852</v>
      </c>
      <c r="I40" s="417">
        <v>191.613</v>
      </c>
      <c r="J40" s="322">
        <f t="shared" si="34"/>
        <v>21.4</v>
      </c>
      <c r="K40" s="180">
        <v>5</v>
      </c>
      <c r="L40" s="417">
        <v>21</v>
      </c>
      <c r="M40" s="476">
        <f>IF(K40=0, "    ---- ", IF(ABS(ROUND(100/K40*L40-100,1))&lt;999,ROUND(100/K40*L40-100,1),IF(ROUND(100/K40*L40-100,1)&gt;999,999,-999)))</f>
        <v>320</v>
      </c>
      <c r="N40" s="180">
        <v>199064.64314932001</v>
      </c>
      <c r="O40" s="417">
        <v>246722.89726843999</v>
      </c>
      <c r="P40" s="322">
        <f t="shared" si="33"/>
        <v>23.9</v>
      </c>
      <c r="Q40" s="180">
        <v>5819.7471917000003</v>
      </c>
      <c r="R40" s="417">
        <v>6729.8200752000002</v>
      </c>
      <c r="S40" s="322">
        <f t="shared" si="28"/>
        <v>15.6</v>
      </c>
      <c r="T40" s="180">
        <v>43975</v>
      </c>
      <c r="U40" s="417">
        <v>46823</v>
      </c>
      <c r="V40" s="322">
        <f t="shared" si="29"/>
        <v>6.5</v>
      </c>
      <c r="W40" s="180">
        <v>3623.0320000000002</v>
      </c>
      <c r="X40" s="417">
        <v>3503.826</v>
      </c>
      <c r="Y40" s="322">
        <f t="shared" si="30"/>
        <v>-3.3</v>
      </c>
      <c r="Z40" s="180">
        <v>18117</v>
      </c>
      <c r="AA40" s="417">
        <v>19757.61469382</v>
      </c>
      <c r="AB40" s="322">
        <f t="shared" si="31"/>
        <v>9.1</v>
      </c>
      <c r="AC40" s="180"/>
      <c r="AD40" s="417"/>
      <c r="AE40" s="322"/>
      <c r="AF40" s="476">
        <f t="shared" si="36"/>
        <v>285800.85781637003</v>
      </c>
      <c r="AG40" s="476">
        <f t="shared" si="36"/>
        <v>337952.95677410002</v>
      </c>
      <c r="AH40" s="322">
        <f t="shared" si="24"/>
        <v>18.2</v>
      </c>
      <c r="AI40" s="476">
        <f t="shared" si="25"/>
        <v>285800.85781637003</v>
      </c>
      <c r="AJ40" s="476">
        <f t="shared" si="25"/>
        <v>337952.95677410002</v>
      </c>
      <c r="AK40" s="418">
        <f t="shared" si="26"/>
        <v>18.2</v>
      </c>
    </row>
    <row r="41" spans="1:40" s="429" customFormat="1" ht="20.100000000000001" customHeight="1" x14ac:dyDescent="0.3">
      <c r="A41" s="671" t="s">
        <v>411</v>
      </c>
      <c r="B41" s="672">
        <v>29003.964543950002</v>
      </c>
      <c r="C41" s="673">
        <v>20324.732494119999</v>
      </c>
      <c r="D41" s="673">
        <f t="shared" si="22"/>
        <v>-29.9</v>
      </c>
      <c r="E41" s="672">
        <v>4880.7863142700007</v>
      </c>
      <c r="F41" s="673">
        <v>2867.6454067400005</v>
      </c>
      <c r="G41" s="673">
        <f>IF(E41=0, "    ---- ", IF(ABS(ROUND(100/E41*F41-100,1))&lt;999,ROUND(100/E41*F41-100,1),IF(ROUND(100/E41*F41-100,1)&gt;999,999,-999)))</f>
        <v>-41.2</v>
      </c>
      <c r="H41" s="672">
        <v>691.50599999999997</v>
      </c>
      <c r="I41" s="673">
        <v>805.83600000000001</v>
      </c>
      <c r="J41" s="673">
        <f>IF(H41=0, "    ---- ", IF(ABS(ROUND(100/H41*I41-100,1))&lt;999,ROUND(100/H41*I41-100,1),IF(ROUND(100/H41*I41-100,1)&gt;999,999,-999)))</f>
        <v>16.5</v>
      </c>
      <c r="K41" s="672">
        <v>436</v>
      </c>
      <c r="L41" s="673">
        <v>854</v>
      </c>
      <c r="M41" s="674">
        <f>IF(K41=0, "    ---- ", IF(ABS(ROUND(100/K41*L41-100,1))&lt;999,ROUND(100/K41*L41-100,1),IF(ROUND(100/K41*L41-100,1)&gt;999,999,-999)))</f>
        <v>95.9</v>
      </c>
      <c r="N41" s="672">
        <v>98714.805824359995</v>
      </c>
      <c r="O41" s="673">
        <v>103865.34830257001</v>
      </c>
      <c r="P41" s="673">
        <f t="shared" si="33"/>
        <v>5.2</v>
      </c>
      <c r="Q41" s="672">
        <v>2484.98921088</v>
      </c>
      <c r="R41" s="673">
        <v>2205.3040833</v>
      </c>
      <c r="S41" s="673">
        <f t="shared" si="28"/>
        <v>-11.3</v>
      </c>
      <c r="T41" s="672">
        <v>26492</v>
      </c>
      <c r="U41" s="673">
        <v>27929</v>
      </c>
      <c r="V41" s="673">
        <f t="shared" si="29"/>
        <v>5.4</v>
      </c>
      <c r="W41" s="672">
        <v>4034.58</v>
      </c>
      <c r="X41" s="673">
        <v>5040.6629999999996</v>
      </c>
      <c r="Y41" s="673">
        <f t="shared" si="30"/>
        <v>24.9</v>
      </c>
      <c r="Z41" s="672">
        <v>7975</v>
      </c>
      <c r="AA41" s="673">
        <v>9790.9268448399998</v>
      </c>
      <c r="AB41" s="673">
        <f t="shared" si="31"/>
        <v>22.8</v>
      </c>
      <c r="AC41" s="672"/>
      <c r="AD41" s="673">
        <v>18</v>
      </c>
      <c r="AE41" s="322" t="str">
        <f t="shared" si="35"/>
        <v xml:space="preserve">    ---- </v>
      </c>
      <c r="AF41" s="476">
        <f t="shared" si="36"/>
        <v>174713.63189346</v>
      </c>
      <c r="AG41" s="476">
        <f t="shared" si="36"/>
        <v>173683.45613157001</v>
      </c>
      <c r="AH41" s="322">
        <f t="shared" si="24"/>
        <v>-0.6</v>
      </c>
      <c r="AI41" s="476">
        <f t="shared" si="25"/>
        <v>174713.63189346</v>
      </c>
      <c r="AJ41" s="476">
        <f t="shared" si="25"/>
        <v>173701.45613157001</v>
      </c>
      <c r="AK41" s="418">
        <f t="shared" si="26"/>
        <v>-0.6</v>
      </c>
    </row>
    <row r="42" spans="1:40" s="429" customFormat="1" ht="20.100000000000001" customHeight="1" x14ac:dyDescent="0.3">
      <c r="A42" s="530" t="s">
        <v>190</v>
      </c>
      <c r="B42" s="180">
        <v>523.22092959999998</v>
      </c>
      <c r="C42" s="417">
        <v>1564.42460274</v>
      </c>
      <c r="D42" s="417">
        <f t="shared" si="22"/>
        <v>199</v>
      </c>
      <c r="E42" s="180">
        <v>185.30067593000001</v>
      </c>
      <c r="F42" s="417">
        <v>-99.79021173999999</v>
      </c>
      <c r="G42" s="417"/>
      <c r="H42" s="180"/>
      <c r="I42" s="417"/>
      <c r="J42" s="417"/>
      <c r="K42" s="180"/>
      <c r="L42" s="417"/>
      <c r="M42" s="414"/>
      <c r="N42" s="180">
        <v>13786.344101729999</v>
      </c>
      <c r="O42" s="417">
        <v>13254.891761219998</v>
      </c>
      <c r="P42" s="322">
        <f t="shared" si="33"/>
        <v>-3.9</v>
      </c>
      <c r="Q42" s="180">
        <v>0</v>
      </c>
      <c r="R42" s="417">
        <v>0</v>
      </c>
      <c r="S42" s="322"/>
      <c r="T42" s="180"/>
      <c r="U42" s="417">
        <v>3933</v>
      </c>
      <c r="V42" s="673" t="str">
        <f t="shared" si="29"/>
        <v xml:space="preserve">    ---- </v>
      </c>
      <c r="W42" s="180">
        <v>-7.77</v>
      </c>
      <c r="X42" s="417">
        <v>33.445999999999998</v>
      </c>
      <c r="Y42" s="673">
        <f t="shared" si="30"/>
        <v>-530.5</v>
      </c>
      <c r="Z42" s="180"/>
      <c r="AA42" s="417"/>
      <c r="AB42" s="322"/>
      <c r="AC42" s="180"/>
      <c r="AD42" s="417"/>
      <c r="AE42" s="322"/>
      <c r="AF42" s="476">
        <f t="shared" ref="AF42:AG42" si="37">B42+E42+H42+K42+N42+Q42+T42+W42+Z42</f>
        <v>14487.095707259999</v>
      </c>
      <c r="AG42" s="476">
        <f t="shared" si="37"/>
        <v>18685.972152219998</v>
      </c>
      <c r="AH42" s="322">
        <f t="shared" si="24"/>
        <v>29</v>
      </c>
      <c r="AI42" s="476">
        <f t="shared" si="25"/>
        <v>14487.095707259999</v>
      </c>
      <c r="AJ42" s="476">
        <f t="shared" si="25"/>
        <v>18685.972152219998</v>
      </c>
      <c r="AK42" s="418">
        <f t="shared" si="26"/>
        <v>29</v>
      </c>
    </row>
    <row r="43" spans="1:40" s="429" customFormat="1" ht="20.100000000000001" customHeight="1" x14ac:dyDescent="0.3">
      <c r="A43" s="530" t="s">
        <v>191</v>
      </c>
      <c r="B43" s="180">
        <v>81.037834779999997</v>
      </c>
      <c r="C43" s="417">
        <v>57.855738960000004</v>
      </c>
      <c r="D43" s="417">
        <f t="shared" si="22"/>
        <v>-28.6</v>
      </c>
      <c r="E43" s="180">
        <v>0</v>
      </c>
      <c r="F43" s="417"/>
      <c r="G43" s="417"/>
      <c r="H43" s="180"/>
      <c r="I43" s="417"/>
      <c r="J43" s="417"/>
      <c r="K43" s="180"/>
      <c r="L43" s="417"/>
      <c r="M43" s="414"/>
      <c r="N43" s="180">
        <v>329.38933460000004</v>
      </c>
      <c r="O43" s="417">
        <v>325.05802575999996</v>
      </c>
      <c r="P43" s="322">
        <f t="shared" si="33"/>
        <v>-1.3</v>
      </c>
      <c r="Q43" s="180">
        <v>9.3885729499999986</v>
      </c>
      <c r="R43" s="417">
        <v>63.382483000000001</v>
      </c>
      <c r="S43" s="322">
        <f t="shared" si="28"/>
        <v>575.1</v>
      </c>
      <c r="T43" s="180">
        <v>1080</v>
      </c>
      <c r="U43" s="417">
        <v>248</v>
      </c>
      <c r="V43" s="322">
        <f>IF(T43=0, "    ---- ", IF(ABS(ROUND(100/T43*U43-100,1))&lt;999,ROUND(100/T43*U43-100,1),IF(ROUND(100/T43*U43-100,1)&gt;999,999,-999)))</f>
        <v>-77</v>
      </c>
      <c r="W43" s="180">
        <v>2.8410000000000002</v>
      </c>
      <c r="X43" s="417">
        <v>5.0599999999999996</v>
      </c>
      <c r="Y43" s="322">
        <f t="shared" si="30"/>
        <v>78.099999999999994</v>
      </c>
      <c r="Z43" s="180">
        <v>1265</v>
      </c>
      <c r="AA43" s="417">
        <v>986.67774566000037</v>
      </c>
      <c r="AB43" s="322">
        <f t="shared" si="31"/>
        <v>-22</v>
      </c>
      <c r="AC43" s="180"/>
      <c r="AD43" s="417"/>
      <c r="AE43" s="322"/>
      <c r="AF43" s="476">
        <f t="shared" ref="AF43:AG46" si="38">B43+E43+H43+K43+N43+Q43+T43+W43+Z43</f>
        <v>2767.6567423299998</v>
      </c>
      <c r="AG43" s="476">
        <f t="shared" si="38"/>
        <v>1686.0339933800001</v>
      </c>
      <c r="AH43" s="322">
        <f t="shared" si="24"/>
        <v>-39.1</v>
      </c>
      <c r="AI43" s="476">
        <f t="shared" si="25"/>
        <v>2767.6567423299998</v>
      </c>
      <c r="AJ43" s="476">
        <f t="shared" si="25"/>
        <v>1686.0339933800001</v>
      </c>
      <c r="AK43" s="418">
        <f t="shared" si="26"/>
        <v>-39.1</v>
      </c>
    </row>
    <row r="44" spans="1:40" s="429" customFormat="1" ht="20.100000000000001" customHeight="1" x14ac:dyDescent="0.3">
      <c r="A44" s="530" t="s">
        <v>192</v>
      </c>
      <c r="B44" s="180">
        <v>1446.6971841299999</v>
      </c>
      <c r="C44" s="417">
        <v>671.34564871000021</v>
      </c>
      <c r="D44" s="417">
        <f t="shared" si="22"/>
        <v>-53.6</v>
      </c>
      <c r="E44" s="180">
        <v>119.03104199000002</v>
      </c>
      <c r="F44" s="417">
        <v>3.7116959300000016</v>
      </c>
      <c r="G44" s="417">
        <f>IF(E44=0, "    ---- ", IF(ABS(ROUND(100/E44*F44-100,1))&lt;999,ROUND(100/E44*F44-100,1),IF(ROUND(100/E44*F44-100,1)&gt;999,999,-999)))</f>
        <v>-96.9</v>
      </c>
      <c r="H44" s="180">
        <v>238.44200000000001</v>
      </c>
      <c r="I44" s="417">
        <v>286.77600000000001</v>
      </c>
      <c r="J44" s="417">
        <f t="shared" si="34"/>
        <v>20.3</v>
      </c>
      <c r="K44" s="180">
        <v>5</v>
      </c>
      <c r="L44" s="417">
        <v>22</v>
      </c>
      <c r="M44" s="414">
        <f>IF(K44=0, "    ---- ", IF(ABS(ROUND(100/K44*L44-100,1))&lt;999,ROUND(100/K44*L44-100,1),IF(ROUND(100/K44*L44-100,1)&gt;999,999,-999)))</f>
        <v>340</v>
      </c>
      <c r="N44" s="180">
        <v>12499.39850123</v>
      </c>
      <c r="O44" s="417">
        <v>482.49613642000003</v>
      </c>
      <c r="P44" s="322">
        <f t="shared" si="33"/>
        <v>-96.1</v>
      </c>
      <c r="Q44" s="180">
        <v>251.95968954</v>
      </c>
      <c r="R44" s="417">
        <v>221.99163211999999</v>
      </c>
      <c r="S44" s="322">
        <f t="shared" si="28"/>
        <v>-11.9</v>
      </c>
      <c r="T44" s="180">
        <v>163</v>
      </c>
      <c r="U44" s="417"/>
      <c r="V44" s="322">
        <f>IF(T44=0, "    ---- ", IF(ABS(ROUND(100/T44*U44-100,1))&lt;999,ROUND(100/T44*U44-100,1),IF(ROUND(100/T44*U44-100,1)&gt;999,999,-999)))</f>
        <v>-100</v>
      </c>
      <c r="W44" s="180">
        <v>58.621000000000002</v>
      </c>
      <c r="X44" s="417">
        <v>131.36199999999999</v>
      </c>
      <c r="Y44" s="322">
        <f t="shared" si="30"/>
        <v>124.1</v>
      </c>
      <c r="Z44" s="180">
        <v>3</v>
      </c>
      <c r="AA44" s="417"/>
      <c r="AB44" s="322">
        <f t="shared" si="31"/>
        <v>-100</v>
      </c>
      <c r="AC44" s="180"/>
      <c r="AD44" s="417"/>
      <c r="AE44" s="322"/>
      <c r="AF44" s="476">
        <f t="shared" si="38"/>
        <v>14785.149416889999</v>
      </c>
      <c r="AG44" s="476">
        <f t="shared" si="38"/>
        <v>1819.6831131800004</v>
      </c>
      <c r="AH44" s="322">
        <f t="shared" si="24"/>
        <v>-87.7</v>
      </c>
      <c r="AI44" s="476">
        <f t="shared" si="25"/>
        <v>14785.149416889999</v>
      </c>
      <c r="AJ44" s="476">
        <f t="shared" si="25"/>
        <v>1819.6831131800004</v>
      </c>
      <c r="AK44" s="418">
        <f t="shared" si="26"/>
        <v>-87.7</v>
      </c>
    </row>
    <row r="45" spans="1:40" s="429" customFormat="1" ht="20.100000000000001" customHeight="1" x14ac:dyDescent="0.3">
      <c r="A45" s="566" t="s">
        <v>193</v>
      </c>
      <c r="B45" s="180">
        <f>SUM(B33+B34+B35+B39)</f>
        <v>194376.53863788</v>
      </c>
      <c r="C45" s="417">
        <f>SUM(C33+C34+C35+C39)</f>
        <v>190368.84773045999</v>
      </c>
      <c r="D45" s="322">
        <f t="shared" si="22"/>
        <v>-2.1</v>
      </c>
      <c r="E45" s="180">
        <f>SUM(E33+E34+E35+E39)</f>
        <v>8386.1094674100004</v>
      </c>
      <c r="F45" s="417">
        <f>SUM(F33+F34+F35+F39)</f>
        <v>9224.3599639800013</v>
      </c>
      <c r="G45" s="322">
        <f>IF(E45=0, "    ---- ", IF(ABS(ROUND(100/E45*F45-100,1))&lt;999,ROUND(100/E45*F45-100,1),IF(ROUND(100/E45*F45-100,1)&gt;999,999,-999)))</f>
        <v>10</v>
      </c>
      <c r="H45" s="180">
        <f>SUM(H33+H34+H35+H39)</f>
        <v>1549.4269999999999</v>
      </c>
      <c r="I45" s="417">
        <f>SUM(I33+I34+I35+I39)</f>
        <v>1840.8820000000001</v>
      </c>
      <c r="J45" s="322">
        <f t="shared" si="34"/>
        <v>18.8</v>
      </c>
      <c r="K45" s="180">
        <f>SUM(K33+K34+K35+K39)</f>
        <v>8493</v>
      </c>
      <c r="L45" s="417">
        <f>SUM(L33+L34+L35+L39)</f>
        <v>9337</v>
      </c>
      <c r="M45" s="414">
        <f>IF(K45=0, "    ---- ", IF(ABS(ROUND(100/K45*L45-100,1))&lt;999,ROUND(100/K45*L45-100,1),IF(ROUND(100/K45*L45-100,1)&gt;999,999,-999)))</f>
        <v>9.9</v>
      </c>
      <c r="N45" s="180">
        <f>SUM(N33+N34+N35+N39)</f>
        <v>690902.32934195001</v>
      </c>
      <c r="O45" s="417">
        <f>SUM(O33+O34+O35+O39)</f>
        <v>751511.88112852001</v>
      </c>
      <c r="P45" s="322">
        <f t="shared" si="33"/>
        <v>8.8000000000000007</v>
      </c>
      <c r="Q45" s="180">
        <f>SUM(Q33+Q34+Q35+Q39)</f>
        <v>55537.350795429898</v>
      </c>
      <c r="R45" s="417">
        <f>SUM(R33+R34+R35+R39)</f>
        <v>55573.197647459892</v>
      </c>
      <c r="S45" s="322">
        <f t="shared" si="28"/>
        <v>0.1</v>
      </c>
      <c r="T45" s="180">
        <f>SUM(T33+T34+T35+T39)</f>
        <v>119265</v>
      </c>
      <c r="U45" s="417">
        <f>SUM(U33+U34+U35+U39)</f>
        <v>127314</v>
      </c>
      <c r="V45" s="322">
        <f>IF(T45=0, "    ---- ", IF(ABS(ROUND(100/T45*U45-100,1))&lt;999,ROUND(100/T45*U45-100,1),IF(ROUND(100/T45*U45-100,1)&gt;999,999,-999)))</f>
        <v>6.7</v>
      </c>
      <c r="W45" s="180">
        <f>SUM(W33+W34+W35+W39)</f>
        <v>23424.800999999999</v>
      </c>
      <c r="X45" s="417">
        <f>SUM(X33+X34+X35+X39)</f>
        <v>23908.023999999998</v>
      </c>
      <c r="Y45" s="322">
        <f t="shared" si="30"/>
        <v>2.1</v>
      </c>
      <c r="Z45" s="180">
        <f>SUM(Z33+Z34+Z35+Z39)</f>
        <v>208155</v>
      </c>
      <c r="AA45" s="417">
        <f>SUM(AA33+AA34+AA35+AA39)</f>
        <v>214814.80840120002</v>
      </c>
      <c r="AB45" s="322">
        <f t="shared" si="31"/>
        <v>3.2</v>
      </c>
      <c r="AC45" s="180"/>
      <c r="AD45" s="417">
        <f>SUM(AD33+AD34+AD35+AD39)</f>
        <v>18</v>
      </c>
      <c r="AE45" s="322" t="str">
        <f t="shared" si="35"/>
        <v xml:space="preserve">    ---- </v>
      </c>
      <c r="AF45" s="476">
        <f t="shared" si="38"/>
        <v>1310089.5562426699</v>
      </c>
      <c r="AG45" s="476">
        <f t="shared" si="38"/>
        <v>1383893.0008716199</v>
      </c>
      <c r="AH45" s="322">
        <f t="shared" si="24"/>
        <v>5.6</v>
      </c>
      <c r="AI45" s="476">
        <f t="shared" si="25"/>
        <v>1310089.5562426699</v>
      </c>
      <c r="AJ45" s="476">
        <f t="shared" si="25"/>
        <v>1383911.0008716199</v>
      </c>
      <c r="AK45" s="418">
        <f t="shared" si="26"/>
        <v>5.6</v>
      </c>
      <c r="AN45" s="666"/>
    </row>
    <row r="46" spans="1:40" s="429" customFormat="1" ht="20.100000000000001" customHeight="1" x14ac:dyDescent="0.3">
      <c r="A46" s="542" t="s">
        <v>297</v>
      </c>
      <c r="B46" s="180">
        <v>481.29363124999998</v>
      </c>
      <c r="C46" s="417">
        <v>526.41210591000004</v>
      </c>
      <c r="D46" s="417">
        <f t="shared" si="22"/>
        <v>9.4</v>
      </c>
      <c r="E46" s="180">
        <v>503.00508933999998</v>
      </c>
      <c r="F46" s="417">
        <v>427.70064819999999</v>
      </c>
      <c r="G46" s="322">
        <f>IF(E46=0, "    ---- ", IF(ABS(ROUND(100/E46*F46-100,1))&lt;999,ROUND(100/E46*F46-100,1),IF(ROUND(100/E46*F46-100,1)&gt;999,999,-999)))</f>
        <v>-15</v>
      </c>
      <c r="H46" s="180">
        <v>96.198570000000004</v>
      </c>
      <c r="I46" s="417">
        <v>129.876</v>
      </c>
      <c r="J46" s="322">
        <f t="shared" si="34"/>
        <v>35</v>
      </c>
      <c r="K46" s="180">
        <v>675</v>
      </c>
      <c r="L46" s="417">
        <v>896</v>
      </c>
      <c r="M46" s="414">
        <f>IF(K46=0, "    ---- ", IF(ABS(ROUND(100/K46*L46-100,1))&lt;999,ROUND(100/K46*L46-100,1),IF(ROUND(100/K46*L46-100,1)&gt;999,999,-999)))</f>
        <v>32.700000000000003</v>
      </c>
      <c r="N46" s="180"/>
      <c r="O46" s="417"/>
      <c r="P46" s="322"/>
      <c r="Q46" s="180">
        <v>68.62</v>
      </c>
      <c r="R46" s="417">
        <v>65.55</v>
      </c>
      <c r="S46" s="322">
        <f t="shared" si="28"/>
        <v>-4.5</v>
      </c>
      <c r="T46" s="180"/>
      <c r="U46" s="417"/>
      <c r="V46" s="322"/>
      <c r="W46" s="180">
        <v>8.516</v>
      </c>
      <c r="X46" s="417">
        <v>12.064</v>
      </c>
      <c r="Y46" s="322">
        <f t="shared" si="30"/>
        <v>41.7</v>
      </c>
      <c r="Z46" s="180">
        <v>272</v>
      </c>
      <c r="AA46" s="417">
        <v>179.76283232</v>
      </c>
      <c r="AB46" s="322">
        <f t="shared" si="31"/>
        <v>-33.9</v>
      </c>
      <c r="AC46" s="180"/>
      <c r="AD46" s="417"/>
      <c r="AE46" s="322"/>
      <c r="AF46" s="476">
        <f t="shared" si="38"/>
        <v>2104.6332905899999</v>
      </c>
      <c r="AG46" s="476">
        <f t="shared" si="38"/>
        <v>2237.3655864299999</v>
      </c>
      <c r="AH46" s="322">
        <f t="shared" si="24"/>
        <v>6.3</v>
      </c>
      <c r="AI46" s="476">
        <f t="shared" ref="AI46:AJ46" si="39">B46+E46+H46+K46+N46+Q46+T46+W46+Z46+AC46</f>
        <v>2104.6332905899999</v>
      </c>
      <c r="AJ46" s="476">
        <f t="shared" si="39"/>
        <v>2237.3655864299999</v>
      </c>
      <c r="AK46" s="418">
        <f t="shared" si="26"/>
        <v>6.3</v>
      </c>
    </row>
    <row r="47" spans="1:40" s="429" customFormat="1" ht="20.100000000000001" customHeight="1" x14ac:dyDescent="0.3">
      <c r="A47" s="542" t="s">
        <v>194</v>
      </c>
      <c r="B47" s="180"/>
      <c r="C47" s="417"/>
      <c r="D47" s="417"/>
      <c r="E47" s="180"/>
      <c r="F47" s="417"/>
      <c r="G47" s="417"/>
      <c r="H47" s="180"/>
      <c r="I47" s="417"/>
      <c r="J47" s="417"/>
      <c r="K47" s="180"/>
      <c r="L47" s="417"/>
      <c r="M47" s="414"/>
      <c r="N47" s="180"/>
      <c r="O47" s="417"/>
      <c r="P47" s="322"/>
      <c r="Q47" s="180"/>
      <c r="R47" s="417"/>
      <c r="S47" s="322"/>
      <c r="T47" s="180"/>
      <c r="U47" s="417"/>
      <c r="V47" s="322"/>
      <c r="W47" s="180"/>
      <c r="X47" s="417"/>
      <c r="Y47" s="322"/>
      <c r="Z47" s="180"/>
      <c r="AA47" s="417"/>
      <c r="AB47" s="322"/>
      <c r="AC47" s="180"/>
      <c r="AD47" s="417"/>
      <c r="AE47" s="322"/>
      <c r="AF47" s="414"/>
      <c r="AG47" s="414"/>
      <c r="AH47" s="322"/>
      <c r="AI47" s="414"/>
      <c r="AJ47" s="414"/>
      <c r="AK47" s="418"/>
    </row>
    <row r="48" spans="1:40" s="429" customFormat="1" ht="20.100000000000001" customHeight="1" x14ac:dyDescent="0.3">
      <c r="A48" s="530" t="s">
        <v>195</v>
      </c>
      <c r="B48" s="180"/>
      <c r="C48" s="417"/>
      <c r="D48" s="417"/>
      <c r="E48" s="180"/>
      <c r="F48" s="417"/>
      <c r="G48" s="417"/>
      <c r="H48" s="180"/>
      <c r="I48" s="417"/>
      <c r="J48" s="417"/>
      <c r="K48" s="180"/>
      <c r="L48" s="417"/>
      <c r="M48" s="414"/>
      <c r="N48" s="180"/>
      <c r="O48" s="417"/>
      <c r="P48" s="322"/>
      <c r="Q48" s="180"/>
      <c r="R48" s="417"/>
      <c r="S48" s="322"/>
      <c r="T48" s="180"/>
      <c r="U48" s="417"/>
      <c r="V48" s="322"/>
      <c r="W48" s="180"/>
      <c r="X48" s="417"/>
      <c r="Y48" s="322"/>
      <c r="Z48" s="180"/>
      <c r="AA48" s="417"/>
      <c r="AB48" s="322"/>
      <c r="AC48" s="180"/>
      <c r="AD48" s="417"/>
      <c r="AE48" s="322"/>
      <c r="AF48" s="476">
        <f t="shared" ref="AF48:AG53" si="40">B48+E48+H48+K48+N48+Q48+T48+W48+Z48</f>
        <v>0</v>
      </c>
      <c r="AG48" s="476">
        <f t="shared" si="40"/>
        <v>0</v>
      </c>
      <c r="AH48" s="322" t="str">
        <f t="shared" si="24"/>
        <v xml:space="preserve">    ---- </v>
      </c>
      <c r="AI48" s="476">
        <f t="shared" ref="AI48:AJ60" si="41">B48+E48+H48+K48+N48+Q48+T48+W48+Z48+AC48</f>
        <v>0</v>
      </c>
      <c r="AJ48" s="476">
        <f t="shared" si="41"/>
        <v>0</v>
      </c>
      <c r="AK48" s="418" t="str">
        <f t="shared" si="26"/>
        <v xml:space="preserve">    ---- </v>
      </c>
    </row>
    <row r="49" spans="1:37" s="429" customFormat="1" ht="20.100000000000001" customHeight="1" x14ac:dyDescent="0.3">
      <c r="A49" s="530" t="s">
        <v>196</v>
      </c>
      <c r="B49" s="180">
        <v>4617.2327998569999</v>
      </c>
      <c r="C49" s="417">
        <v>5511.2375077719998</v>
      </c>
      <c r="D49" s="417">
        <f t="shared" ref="D49" si="42">IF(B49=0, "    ---- ", IF(ABS(ROUND(100/B49*C49-100,1))&lt;999,ROUND(100/B49*C49-100,1),IF(ROUND(100/B49*C49-100,1)&gt;999,999,-999)))</f>
        <v>19.399999999999999</v>
      </c>
      <c r="E49" s="180"/>
      <c r="F49" s="417"/>
      <c r="G49" s="417"/>
      <c r="H49" s="180"/>
      <c r="I49" s="417"/>
      <c r="J49" s="417"/>
      <c r="K49" s="180">
        <v>2070</v>
      </c>
      <c r="L49" s="417">
        <v>2270</v>
      </c>
      <c r="M49" s="414">
        <f>IF(K49=0, "    ---- ", IF(ABS(ROUND(100/K49*L49-100,1))&lt;999,ROUND(100/K49*L49-100,1),IF(ROUND(100/K49*L49-100,1)&gt;999,999,-999)))</f>
        <v>9.6999999999999993</v>
      </c>
      <c r="N49" s="180">
        <v>371.65090784</v>
      </c>
      <c r="O49" s="417">
        <v>367.49546283999996</v>
      </c>
      <c r="P49" s="322">
        <f t="shared" ref="P49:P60" si="43">IF(N49=0, "    ---- ", IF(ABS(ROUND(100/N49*O49-100,1))&lt;999,ROUND(100/N49*O49-100,1),IF(ROUND(100/N49*O49-100,1)&gt;999,999,-999)))</f>
        <v>-1.1000000000000001</v>
      </c>
      <c r="Q49" s="180">
        <v>3302.81</v>
      </c>
      <c r="R49" s="417">
        <v>2751.25</v>
      </c>
      <c r="S49" s="322">
        <f t="shared" si="28"/>
        <v>-16.7</v>
      </c>
      <c r="T49" s="180"/>
      <c r="U49" s="417"/>
      <c r="V49" s="322"/>
      <c r="W49" s="180">
        <v>908.52099999999996</v>
      </c>
      <c r="X49" s="417">
        <v>1258.346</v>
      </c>
      <c r="Y49" s="673">
        <f t="shared" si="30"/>
        <v>38.5</v>
      </c>
      <c r="Z49" s="180">
        <v>6338</v>
      </c>
      <c r="AA49" s="417">
        <v>7105.2867932400013</v>
      </c>
      <c r="AB49" s="322">
        <f t="shared" si="31"/>
        <v>12.1</v>
      </c>
      <c r="AC49" s="180"/>
      <c r="AD49" s="417"/>
      <c r="AE49" s="322"/>
      <c r="AF49" s="476">
        <f t="shared" si="40"/>
        <v>17608.214707697</v>
      </c>
      <c r="AG49" s="476">
        <f t="shared" si="40"/>
        <v>19263.615763852002</v>
      </c>
      <c r="AH49" s="322">
        <f t="shared" si="24"/>
        <v>9.4</v>
      </c>
      <c r="AI49" s="476">
        <f t="shared" si="41"/>
        <v>17608.214707697</v>
      </c>
      <c r="AJ49" s="476">
        <f t="shared" si="41"/>
        <v>19263.615763852002</v>
      </c>
      <c r="AK49" s="418">
        <f t="shared" si="26"/>
        <v>9.4</v>
      </c>
    </row>
    <row r="50" spans="1:37" s="429" customFormat="1" ht="20.100000000000001" customHeight="1" x14ac:dyDescent="0.3">
      <c r="A50" s="530" t="s">
        <v>197</v>
      </c>
      <c r="B50" s="180"/>
      <c r="C50" s="417"/>
      <c r="D50" s="417"/>
      <c r="E50" s="180"/>
      <c r="F50" s="417"/>
      <c r="G50" s="417"/>
      <c r="H50" s="180"/>
      <c r="I50" s="417"/>
      <c r="J50" s="417"/>
      <c r="K50" s="180"/>
      <c r="L50" s="417"/>
      <c r="M50" s="414"/>
      <c r="N50" s="180">
        <f>SUM(N51+N53)</f>
        <v>955.61679242999992</v>
      </c>
      <c r="O50" s="417">
        <f>SUM(O51+O53)</f>
        <v>994.89077509000003</v>
      </c>
      <c r="P50" s="322">
        <f t="shared" si="43"/>
        <v>4.0999999999999996</v>
      </c>
      <c r="Q50" s="180"/>
      <c r="R50" s="417"/>
      <c r="S50" s="322"/>
      <c r="T50" s="180"/>
      <c r="U50" s="417"/>
      <c r="V50" s="322"/>
      <c r="W50" s="180">
        <f>SUM(W51+W53)</f>
        <v>0</v>
      </c>
      <c r="X50" s="417">
        <f>SUM(X51+X53)</f>
        <v>0</v>
      </c>
      <c r="Y50" s="673" t="str">
        <f t="shared" si="30"/>
        <v xml:space="preserve">    ---- </v>
      </c>
      <c r="Z50" s="180">
        <f>SUM(Z51+Z53)</f>
        <v>1697</v>
      </c>
      <c r="AA50" s="417">
        <f>SUM(AA51+AA53)</f>
        <v>1726.6209261999991</v>
      </c>
      <c r="AB50" s="322">
        <f t="shared" si="31"/>
        <v>1.7</v>
      </c>
      <c r="AC50" s="180"/>
      <c r="AD50" s="417"/>
      <c r="AE50" s="322"/>
      <c r="AF50" s="476">
        <f t="shared" si="40"/>
        <v>2652.6167924299998</v>
      </c>
      <c r="AG50" s="476">
        <f t="shared" si="40"/>
        <v>2721.5117012899991</v>
      </c>
      <c r="AH50" s="322">
        <f t="shared" si="24"/>
        <v>2.6</v>
      </c>
      <c r="AI50" s="476">
        <f t="shared" si="41"/>
        <v>2652.6167924299998</v>
      </c>
      <c r="AJ50" s="476">
        <f t="shared" si="41"/>
        <v>2721.5117012899991</v>
      </c>
      <c r="AK50" s="418">
        <f t="shared" si="26"/>
        <v>2.6</v>
      </c>
    </row>
    <row r="51" spans="1:37" s="677" customFormat="1" ht="20.100000000000001" customHeight="1" x14ac:dyDescent="0.3">
      <c r="A51" s="671" t="s">
        <v>412</v>
      </c>
      <c r="B51" s="672"/>
      <c r="C51" s="673"/>
      <c r="D51" s="673"/>
      <c r="E51" s="672"/>
      <c r="F51" s="673"/>
      <c r="G51" s="673"/>
      <c r="H51" s="672"/>
      <c r="I51" s="673"/>
      <c r="J51" s="673"/>
      <c r="K51" s="672"/>
      <c r="L51" s="673"/>
      <c r="M51" s="674"/>
      <c r="N51" s="672">
        <v>955.61679242999992</v>
      </c>
      <c r="O51" s="673">
        <v>994.89077509000003</v>
      </c>
      <c r="P51" s="673">
        <f t="shared" si="43"/>
        <v>4.0999999999999996</v>
      </c>
      <c r="Q51" s="672"/>
      <c r="R51" s="673"/>
      <c r="S51" s="322"/>
      <c r="T51" s="672"/>
      <c r="U51" s="673"/>
      <c r="V51" s="673"/>
      <c r="W51" s="672"/>
      <c r="X51" s="673"/>
      <c r="Y51" s="673"/>
      <c r="Z51" s="672"/>
      <c r="AA51" s="673"/>
      <c r="AB51" s="673"/>
      <c r="AC51" s="672"/>
      <c r="AD51" s="673"/>
      <c r="AE51" s="673"/>
      <c r="AF51" s="674">
        <f t="shared" si="40"/>
        <v>955.61679242999992</v>
      </c>
      <c r="AG51" s="674">
        <f t="shared" si="40"/>
        <v>994.89077509000003</v>
      </c>
      <c r="AH51" s="673">
        <f t="shared" si="24"/>
        <v>4.0999999999999996</v>
      </c>
      <c r="AI51" s="674">
        <f t="shared" si="41"/>
        <v>955.61679242999992</v>
      </c>
      <c r="AJ51" s="674">
        <f t="shared" si="41"/>
        <v>994.89077509000003</v>
      </c>
      <c r="AK51" s="676">
        <f t="shared" si="26"/>
        <v>4.0999999999999996</v>
      </c>
    </row>
    <row r="52" spans="1:37" s="429" customFormat="1" ht="20.100000000000001" customHeight="1" x14ac:dyDescent="0.3">
      <c r="A52" s="530" t="s">
        <v>171</v>
      </c>
      <c r="B52" s="180"/>
      <c r="C52" s="417"/>
      <c r="D52" s="417"/>
      <c r="E52" s="180"/>
      <c r="F52" s="417"/>
      <c r="G52" s="417"/>
      <c r="H52" s="180"/>
      <c r="I52" s="417"/>
      <c r="J52" s="417"/>
      <c r="K52" s="180"/>
      <c r="L52" s="417"/>
      <c r="M52" s="476"/>
      <c r="N52" s="180">
        <v>955.61679242999992</v>
      </c>
      <c r="O52" s="417">
        <v>994.89077509000003</v>
      </c>
      <c r="P52" s="673">
        <f t="shared" si="43"/>
        <v>4.0999999999999996</v>
      </c>
      <c r="Q52" s="180"/>
      <c r="R52" s="417"/>
      <c r="S52" s="322"/>
      <c r="T52" s="180"/>
      <c r="U52" s="417"/>
      <c r="V52" s="417"/>
      <c r="W52" s="180"/>
      <c r="X52" s="417"/>
      <c r="Y52" s="417"/>
      <c r="Z52" s="180"/>
      <c r="AA52" s="417"/>
      <c r="AB52" s="417"/>
      <c r="AC52" s="180"/>
      <c r="AD52" s="417"/>
      <c r="AE52" s="417"/>
      <c r="AF52" s="476">
        <f t="shared" si="40"/>
        <v>955.61679242999992</v>
      </c>
      <c r="AG52" s="476">
        <f t="shared" si="40"/>
        <v>994.89077509000003</v>
      </c>
      <c r="AH52" s="417">
        <f t="shared" si="24"/>
        <v>4.0999999999999996</v>
      </c>
      <c r="AI52" s="476">
        <f t="shared" si="41"/>
        <v>955.61679242999992</v>
      </c>
      <c r="AJ52" s="476">
        <f t="shared" si="41"/>
        <v>994.89077509000003</v>
      </c>
      <c r="AK52" s="567">
        <f t="shared" si="26"/>
        <v>4.0999999999999996</v>
      </c>
    </row>
    <row r="53" spans="1:37" s="429" customFormat="1" ht="20.100000000000001" customHeight="1" x14ac:dyDescent="0.3">
      <c r="A53" s="530" t="s">
        <v>198</v>
      </c>
      <c r="B53" s="180"/>
      <c r="C53" s="417"/>
      <c r="D53" s="417"/>
      <c r="E53" s="180"/>
      <c r="F53" s="417"/>
      <c r="G53" s="417"/>
      <c r="H53" s="180"/>
      <c r="I53" s="417"/>
      <c r="J53" s="417"/>
      <c r="K53" s="180"/>
      <c r="L53" s="417"/>
      <c r="M53" s="414"/>
      <c r="N53" s="180"/>
      <c r="O53" s="417"/>
      <c r="P53" s="322"/>
      <c r="Q53" s="180"/>
      <c r="R53" s="417"/>
      <c r="S53" s="322"/>
      <c r="T53" s="180"/>
      <c r="U53" s="417"/>
      <c r="V53" s="322"/>
      <c r="W53" s="180"/>
      <c r="X53" s="417"/>
      <c r="Y53" s="322"/>
      <c r="Z53" s="180">
        <f>188+607+902</f>
        <v>1697</v>
      </c>
      <c r="AA53" s="417">
        <f>266.06513594+554.37429208+906.181498179999</f>
        <v>1726.6209261999991</v>
      </c>
      <c r="AB53" s="322">
        <f t="shared" si="31"/>
        <v>1.7</v>
      </c>
      <c r="AC53" s="180"/>
      <c r="AD53" s="417"/>
      <c r="AE53" s="322"/>
      <c r="AF53" s="476">
        <f t="shared" si="40"/>
        <v>1697</v>
      </c>
      <c r="AG53" s="476">
        <f t="shared" si="40"/>
        <v>1726.6209261999991</v>
      </c>
      <c r="AH53" s="322">
        <f t="shared" si="24"/>
        <v>1.7</v>
      </c>
      <c r="AI53" s="476">
        <f t="shared" si="41"/>
        <v>1697</v>
      </c>
      <c r="AJ53" s="476">
        <f t="shared" si="41"/>
        <v>1726.6209261999991</v>
      </c>
      <c r="AK53" s="418">
        <f t="shared" si="26"/>
        <v>1.7</v>
      </c>
    </row>
    <row r="54" spans="1:37" s="429" customFormat="1" ht="20.100000000000001" customHeight="1" x14ac:dyDescent="0.3">
      <c r="A54" s="530" t="s">
        <v>199</v>
      </c>
      <c r="B54" s="180">
        <f>SUM(B55+B56+B57+B58+B59)</f>
        <v>141842.63519278876</v>
      </c>
      <c r="C54" s="417">
        <f>SUM(C55+C56+C57+C58+C59)</f>
        <v>173938.33342060633</v>
      </c>
      <c r="D54" s="417">
        <f t="shared" si="22"/>
        <v>22.6</v>
      </c>
      <c r="E54" s="180"/>
      <c r="F54" s="417"/>
      <c r="G54" s="417"/>
      <c r="H54" s="180"/>
      <c r="I54" s="417"/>
      <c r="J54" s="417"/>
      <c r="K54" s="180">
        <f>SUM(K55+K56+K57+K58+K59)</f>
        <v>49353</v>
      </c>
      <c r="L54" s="417">
        <f>SUM(L55+L56+L57+L58+L59)</f>
        <v>63548</v>
      </c>
      <c r="M54" s="476">
        <f>IF(K54=0, "    ---- ", IF(ABS(ROUND(100/K54*L54-100,1))&lt;999,ROUND(100/K54*L54-100,1),IF(ROUND(100/K54*L54-100,1)&gt;999,999,-999)))</f>
        <v>28.8</v>
      </c>
      <c r="N54" s="180">
        <f>SUM(N55+N56+N57+N58+N59)</f>
        <v>1355.3753400000001</v>
      </c>
      <c r="O54" s="417">
        <f>SUM(O55+O56+O57+O58+O59)</f>
        <v>1590.7859633099999</v>
      </c>
      <c r="P54" s="417">
        <f t="shared" si="43"/>
        <v>17.399999999999999</v>
      </c>
      <c r="Q54" s="180">
        <f>SUM(Q55+Q56+Q57+Q58+Q59)</f>
        <v>123163.18000000001</v>
      </c>
      <c r="R54" s="417">
        <f>SUM(R55+R56+R57+R58+R59)</f>
        <v>156378.82999999999</v>
      </c>
      <c r="S54" s="417">
        <f t="shared" si="28"/>
        <v>27</v>
      </c>
      <c r="T54" s="180"/>
      <c r="U54" s="417"/>
      <c r="V54" s="417"/>
      <c r="W54" s="180">
        <f>SUM(W55+W56+W57+W58+W59)</f>
        <v>58552.205999999991</v>
      </c>
      <c r="X54" s="417">
        <f>SUM(X55+X56+X57+X58+X59)</f>
        <v>73327.353000000003</v>
      </c>
      <c r="Y54" s="417">
        <f t="shared" si="30"/>
        <v>25.2</v>
      </c>
      <c r="Z54" s="180">
        <f>SUM(Z55+Z56+Z57+Z58+Z59)</f>
        <v>184250</v>
      </c>
      <c r="AA54" s="417">
        <f>SUM(AA55+AA56+AA57+AA58+AA59)</f>
        <v>218769.08519492278</v>
      </c>
      <c r="AB54" s="417">
        <f t="shared" si="31"/>
        <v>18.7</v>
      </c>
      <c r="AC54" s="180"/>
      <c r="AD54" s="417"/>
      <c r="AE54" s="417"/>
      <c r="AF54" s="476">
        <f t="shared" ref="AF54:AG56" si="44">B54+E54+H54+K54+N54+Q54+T54+W54+Z54</f>
        <v>558516.39653278876</v>
      </c>
      <c r="AG54" s="476">
        <f t="shared" si="44"/>
        <v>687552.38757883909</v>
      </c>
      <c r="AH54" s="417">
        <f t="shared" si="24"/>
        <v>23.1</v>
      </c>
      <c r="AI54" s="476">
        <f t="shared" si="41"/>
        <v>558516.39653278876</v>
      </c>
      <c r="AJ54" s="476">
        <f t="shared" si="41"/>
        <v>687552.38757883909</v>
      </c>
      <c r="AK54" s="567">
        <f t="shared" si="26"/>
        <v>23.1</v>
      </c>
    </row>
    <row r="55" spans="1:37" s="429" customFormat="1" ht="20.100000000000001" customHeight="1" x14ac:dyDescent="0.3">
      <c r="A55" s="530" t="s">
        <v>200</v>
      </c>
      <c r="B55" s="180">
        <v>86696.573999382512</v>
      </c>
      <c r="C55" s="417">
        <v>111524.90309837848</v>
      </c>
      <c r="D55" s="417">
        <f t="shared" si="22"/>
        <v>28.6</v>
      </c>
      <c r="E55" s="180"/>
      <c r="F55" s="417"/>
      <c r="G55" s="417"/>
      <c r="H55" s="180"/>
      <c r="I55" s="417"/>
      <c r="J55" s="417"/>
      <c r="K55" s="180">
        <v>40893</v>
      </c>
      <c r="L55" s="417">
        <v>53434</v>
      </c>
      <c r="M55" s="414">
        <f>IF(K55=0, "    ---- ", IF(ABS(ROUND(100/K55*L55-100,1))&lt;999,ROUND(100/K55*L55-100,1),IF(ROUND(100/K55*L55-100,1)&gt;999,999,-999)))</f>
        <v>30.7</v>
      </c>
      <c r="N55" s="180">
        <v>1013.17023854</v>
      </c>
      <c r="O55" s="417">
        <v>1243.57583879</v>
      </c>
      <c r="P55" s="322">
        <f t="shared" si="43"/>
        <v>22.7</v>
      </c>
      <c r="Q55" s="180">
        <v>78618.02</v>
      </c>
      <c r="R55" s="417">
        <v>104311.41</v>
      </c>
      <c r="S55" s="322">
        <f t="shared" si="28"/>
        <v>32.700000000000003</v>
      </c>
      <c r="T55" s="180"/>
      <c r="U55" s="417"/>
      <c r="V55" s="322"/>
      <c r="W55" s="180">
        <v>38774.125999999997</v>
      </c>
      <c r="X55" s="417">
        <v>49698.409</v>
      </c>
      <c r="Y55" s="322">
        <f t="shared" si="30"/>
        <v>28.2</v>
      </c>
      <c r="Z55" s="180">
        <v>132507</v>
      </c>
      <c r="AA55" s="417">
        <v>161865.65993595993</v>
      </c>
      <c r="AB55" s="322">
        <f t="shared" si="31"/>
        <v>22.2</v>
      </c>
      <c r="AC55" s="180"/>
      <c r="AD55" s="417"/>
      <c r="AE55" s="322"/>
      <c r="AF55" s="476">
        <f t="shared" si="44"/>
        <v>378501.89023792249</v>
      </c>
      <c r="AG55" s="476">
        <f t="shared" si="44"/>
        <v>482077.95787312847</v>
      </c>
      <c r="AH55" s="322">
        <f t="shared" si="24"/>
        <v>27.4</v>
      </c>
      <c r="AI55" s="476">
        <f t="shared" si="41"/>
        <v>378501.89023792249</v>
      </c>
      <c r="AJ55" s="476">
        <f t="shared" si="41"/>
        <v>482077.95787312847</v>
      </c>
      <c r="AK55" s="418">
        <f t="shared" si="26"/>
        <v>27.4</v>
      </c>
    </row>
    <row r="56" spans="1:37" s="429" customFormat="1" ht="20.100000000000001" customHeight="1" x14ac:dyDescent="0.3">
      <c r="A56" s="671" t="s">
        <v>413</v>
      </c>
      <c r="B56" s="180">
        <v>53313.425118966254</v>
      </c>
      <c r="C56" s="417">
        <v>60894.574325247842</v>
      </c>
      <c r="D56" s="417">
        <f t="shared" si="22"/>
        <v>14.2</v>
      </c>
      <c r="E56" s="180"/>
      <c r="F56" s="417"/>
      <c r="G56" s="417"/>
      <c r="H56" s="180"/>
      <c r="I56" s="417"/>
      <c r="J56" s="417"/>
      <c r="K56" s="180">
        <v>8269</v>
      </c>
      <c r="L56" s="417">
        <v>10033</v>
      </c>
      <c r="M56" s="414">
        <f>IF(K56=0, "    ---- ", IF(ABS(ROUND(100/K56*L56-100,1))&lt;999,ROUND(100/K56*L56-100,1),IF(ROUND(100/K56*L56-100,1)&gt;999,999,-999)))</f>
        <v>21.3</v>
      </c>
      <c r="N56" s="180">
        <v>227.78321443000002</v>
      </c>
      <c r="O56" s="417">
        <v>257.09596002000001</v>
      </c>
      <c r="P56" s="322">
        <f t="shared" si="43"/>
        <v>12.9</v>
      </c>
      <c r="Q56" s="180">
        <v>44332.49</v>
      </c>
      <c r="R56" s="417">
        <v>51807.57</v>
      </c>
      <c r="S56" s="322">
        <f t="shared" si="28"/>
        <v>16.899999999999999</v>
      </c>
      <c r="T56" s="180"/>
      <c r="U56" s="417"/>
      <c r="V56" s="322"/>
      <c r="W56" s="180">
        <v>19576.833999999999</v>
      </c>
      <c r="X56" s="417">
        <v>23460.573</v>
      </c>
      <c r="Y56" s="322">
        <f t="shared" si="30"/>
        <v>19.8</v>
      </c>
      <c r="Z56" s="180">
        <v>51207</v>
      </c>
      <c r="AA56" s="417">
        <v>56740.410673840088</v>
      </c>
      <c r="AB56" s="322">
        <f t="shared" si="31"/>
        <v>10.8</v>
      </c>
      <c r="AC56" s="180"/>
      <c r="AD56" s="417"/>
      <c r="AE56" s="322"/>
      <c r="AF56" s="476">
        <f t="shared" si="44"/>
        <v>176926.53233339626</v>
      </c>
      <c r="AG56" s="476">
        <f t="shared" si="44"/>
        <v>203193.22395910794</v>
      </c>
      <c r="AH56" s="322">
        <f t="shared" si="24"/>
        <v>14.8</v>
      </c>
      <c r="AI56" s="476">
        <f t="shared" si="41"/>
        <v>176926.53233339626</v>
      </c>
      <c r="AJ56" s="476">
        <f t="shared" si="41"/>
        <v>203193.22395910794</v>
      </c>
      <c r="AK56" s="418">
        <f t="shared" si="26"/>
        <v>14.8</v>
      </c>
    </row>
    <row r="57" spans="1:37" s="429" customFormat="1" ht="20.100000000000001" customHeight="1" x14ac:dyDescent="0.3">
      <c r="A57" s="530" t="s">
        <v>201</v>
      </c>
      <c r="B57" s="180">
        <v>1832.6360744400001</v>
      </c>
      <c r="C57" s="417">
        <v>1518.8559969800001</v>
      </c>
      <c r="D57" s="322">
        <f t="shared" si="22"/>
        <v>-17.100000000000001</v>
      </c>
      <c r="E57" s="180"/>
      <c r="F57" s="417"/>
      <c r="G57" s="322"/>
      <c r="H57" s="180"/>
      <c r="I57" s="417"/>
      <c r="J57" s="322"/>
      <c r="K57" s="180">
        <v>29</v>
      </c>
      <c r="L57" s="417"/>
      <c r="M57" s="322">
        <f>IF(K57=0, "    ---- ", IF(ABS(ROUND(100/K57*L57-100,1))&lt;999,ROUND(100/K57*L57-100,1),IF(ROUND(100/K57*L57-100,1)&gt;999,999,-999)))</f>
        <v>-100</v>
      </c>
      <c r="N57" s="180">
        <v>113.1945565</v>
      </c>
      <c r="O57" s="417">
        <v>90.114164500000001</v>
      </c>
      <c r="P57" s="322">
        <f t="shared" si="43"/>
        <v>-20.399999999999999</v>
      </c>
      <c r="Q57" s="180"/>
      <c r="R57" s="417"/>
      <c r="S57" s="322"/>
      <c r="T57" s="180"/>
      <c r="U57" s="417"/>
      <c r="V57" s="322"/>
      <c r="W57" s="180">
        <v>75.888000000000005</v>
      </c>
      <c r="X57" s="417">
        <v>80.412999999999997</v>
      </c>
      <c r="Y57" s="673">
        <f t="shared" si="30"/>
        <v>6</v>
      </c>
      <c r="Z57" s="180">
        <v>132</v>
      </c>
      <c r="AA57" s="417">
        <v>136.53156030000005</v>
      </c>
      <c r="AB57" s="322">
        <f t="shared" si="31"/>
        <v>3.4</v>
      </c>
      <c r="AC57" s="180"/>
      <c r="AD57" s="417"/>
      <c r="AE57" s="322"/>
      <c r="AF57" s="476">
        <f t="shared" ref="AF57:AG57" si="45">B57+E57+H57+K57+N57+Q57+T57+W57+Z57</f>
        <v>2182.7186309400004</v>
      </c>
      <c r="AG57" s="476">
        <f t="shared" si="45"/>
        <v>1825.9147217800003</v>
      </c>
      <c r="AH57" s="322">
        <f t="shared" si="24"/>
        <v>-16.3</v>
      </c>
      <c r="AI57" s="476">
        <f t="shared" si="41"/>
        <v>2182.7186309400004</v>
      </c>
      <c r="AJ57" s="476">
        <f t="shared" si="41"/>
        <v>1825.9147217800003</v>
      </c>
      <c r="AK57" s="418">
        <f t="shared" si="26"/>
        <v>-16.3</v>
      </c>
    </row>
    <row r="58" spans="1:37" s="429" customFormat="1" ht="20.100000000000001" customHeight="1" x14ac:dyDescent="0.3">
      <c r="A58" s="530" t="s">
        <v>202</v>
      </c>
      <c r="B58" s="180"/>
      <c r="C58" s="417"/>
      <c r="D58" s="322"/>
      <c r="E58" s="180"/>
      <c r="F58" s="417"/>
      <c r="G58" s="322"/>
      <c r="H58" s="180"/>
      <c r="I58" s="417"/>
      <c r="J58" s="322"/>
      <c r="K58" s="180"/>
      <c r="L58" s="417"/>
      <c r="M58" s="322"/>
      <c r="N58" s="180">
        <v>0.75397314999999998</v>
      </c>
      <c r="O58" s="417"/>
      <c r="P58" s="322">
        <f t="shared" si="43"/>
        <v>-100</v>
      </c>
      <c r="Q58" s="180">
        <v>-301.5</v>
      </c>
      <c r="R58" s="417">
        <v>-299.67</v>
      </c>
      <c r="S58" s="322">
        <f t="shared" si="28"/>
        <v>-0.6</v>
      </c>
      <c r="T58" s="180"/>
      <c r="U58" s="417"/>
      <c r="V58" s="322"/>
      <c r="W58" s="180"/>
      <c r="X58" s="417"/>
      <c r="Y58" s="673"/>
      <c r="Z58" s="180">
        <v>168</v>
      </c>
      <c r="AA58" s="417">
        <v>26.483024820000406</v>
      </c>
      <c r="AB58" s="322">
        <f t="shared" si="31"/>
        <v>-84.2</v>
      </c>
      <c r="AC58" s="180"/>
      <c r="AD58" s="417"/>
      <c r="AE58" s="322"/>
      <c r="AF58" s="476">
        <f t="shared" ref="AF58:AG62" si="46">B58+E58+H58+K58+N58+Q58+T58+W58+Z58</f>
        <v>-132.74602685000002</v>
      </c>
      <c r="AG58" s="476">
        <f t="shared" si="46"/>
        <v>-273.18697517999959</v>
      </c>
      <c r="AH58" s="322">
        <f t="shared" si="24"/>
        <v>105.8</v>
      </c>
      <c r="AI58" s="476">
        <f t="shared" si="41"/>
        <v>-132.74602685000002</v>
      </c>
      <c r="AJ58" s="476">
        <f t="shared" si="41"/>
        <v>-273.18697517999959</v>
      </c>
      <c r="AK58" s="418">
        <f t="shared" si="26"/>
        <v>105.8</v>
      </c>
    </row>
    <row r="59" spans="1:37" s="429" customFormat="1" ht="20.100000000000001" customHeight="1" x14ac:dyDescent="0.3">
      <c r="A59" s="530" t="s">
        <v>203</v>
      </c>
      <c r="B59" s="180"/>
      <c r="C59" s="417"/>
      <c r="D59" s="322"/>
      <c r="E59" s="180"/>
      <c r="F59" s="417"/>
      <c r="G59" s="322"/>
      <c r="H59" s="180"/>
      <c r="I59" s="417"/>
      <c r="J59" s="322"/>
      <c r="K59" s="180">
        <v>162</v>
      </c>
      <c r="L59" s="417">
        <v>81</v>
      </c>
      <c r="M59" s="322">
        <f>IF(K59=0, "    ---- ", IF(ABS(ROUND(100/K59*L59-100,1))&lt;999,ROUND(100/K59*L59-100,1),IF(ROUND(100/K59*L59-100,1)&gt;999,999,-999)))</f>
        <v>-50</v>
      </c>
      <c r="N59" s="180">
        <v>0.47335737999999999</v>
      </c>
      <c r="O59" s="417"/>
      <c r="P59" s="322">
        <f t="shared" si="43"/>
        <v>-100</v>
      </c>
      <c r="Q59" s="180">
        <v>514.16999999999996</v>
      </c>
      <c r="R59" s="417">
        <v>559.52</v>
      </c>
      <c r="S59" s="322">
        <f t="shared" si="28"/>
        <v>8.8000000000000007</v>
      </c>
      <c r="T59" s="180"/>
      <c r="U59" s="417"/>
      <c r="V59" s="322"/>
      <c r="W59" s="180">
        <v>125.358</v>
      </c>
      <c r="X59" s="417">
        <v>87.957999999999998</v>
      </c>
      <c r="Y59" s="322">
        <f t="shared" si="30"/>
        <v>-29.8</v>
      </c>
      <c r="Z59" s="180">
        <v>236</v>
      </c>
      <c r="AA59" s="417">
        <v>2.7553844265639783E-9</v>
      </c>
      <c r="AB59" s="322">
        <f t="shared" si="31"/>
        <v>-100</v>
      </c>
      <c r="AC59" s="180"/>
      <c r="AD59" s="417"/>
      <c r="AE59" s="322"/>
      <c r="AF59" s="476">
        <f t="shared" si="46"/>
        <v>1038.0013573799999</v>
      </c>
      <c r="AG59" s="476">
        <f t="shared" si="46"/>
        <v>728.47800000275538</v>
      </c>
      <c r="AH59" s="322">
        <f t="shared" si="24"/>
        <v>-29.8</v>
      </c>
      <c r="AI59" s="476">
        <f t="shared" si="41"/>
        <v>1038.0013573799999</v>
      </c>
      <c r="AJ59" s="476">
        <f t="shared" si="41"/>
        <v>728.47800000275538</v>
      </c>
      <c r="AK59" s="418">
        <f t="shared" si="26"/>
        <v>-29.8</v>
      </c>
    </row>
    <row r="60" spans="1:37" s="429" customFormat="1" ht="20.100000000000001" customHeight="1" x14ac:dyDescent="0.3">
      <c r="A60" s="566" t="s">
        <v>204</v>
      </c>
      <c r="B60" s="180">
        <f>SUM(B48+B49+B50+B54)</f>
        <v>146459.86799264577</v>
      </c>
      <c r="C60" s="417">
        <f>SUM(C48+C49+C50+C54)</f>
        <v>179449.57092837832</v>
      </c>
      <c r="D60" s="322">
        <f t="shared" si="22"/>
        <v>22.5</v>
      </c>
      <c r="E60" s="180"/>
      <c r="F60" s="417"/>
      <c r="G60" s="322"/>
      <c r="H60" s="180"/>
      <c r="I60" s="417"/>
      <c r="J60" s="322"/>
      <c r="K60" s="180">
        <f>SUM(K48+K49+K50+K54)</f>
        <v>51423</v>
      </c>
      <c r="L60" s="417">
        <f>SUM(L48+L49+L50+L54)</f>
        <v>65818</v>
      </c>
      <c r="M60" s="322">
        <f>IF(K60=0, "    ---- ", IF(ABS(ROUND(100/K60*L60-100,1))&lt;999,ROUND(100/K60*L60-100,1),IF(ROUND(100/K60*L60-100,1)&gt;999,999,-999)))</f>
        <v>28</v>
      </c>
      <c r="N60" s="180">
        <f>SUM(N48+N49+N50+N54)</f>
        <v>2682.6430402699998</v>
      </c>
      <c r="O60" s="417">
        <f>SUM(O48+O49+O50+O54)</f>
        <v>2953.1722012399996</v>
      </c>
      <c r="P60" s="322">
        <f t="shared" si="43"/>
        <v>10.1</v>
      </c>
      <c r="Q60" s="180">
        <f>SUM(Q48+Q49+Q50+Q54)</f>
        <v>126465.99</v>
      </c>
      <c r="R60" s="417">
        <f>SUM(R48+R49+R50+R54)</f>
        <v>159130.07999999999</v>
      </c>
      <c r="S60" s="322">
        <f t="shared" si="28"/>
        <v>25.8</v>
      </c>
      <c r="T60" s="180"/>
      <c r="U60" s="417"/>
      <c r="V60" s="322"/>
      <c r="W60" s="180">
        <f>SUM(W48+W49+W50+W54)</f>
        <v>59460.726999999992</v>
      </c>
      <c r="X60" s="417">
        <f>SUM(X48+X49+X50+X54)</f>
        <v>74585.699000000008</v>
      </c>
      <c r="Y60" s="322">
        <f t="shared" si="30"/>
        <v>25.4</v>
      </c>
      <c r="Z60" s="180">
        <f>SUM(Z48+Z49+Z50+Z54)</f>
        <v>192285</v>
      </c>
      <c r="AA60" s="417">
        <f>SUM(AA48+AA49+AA50+AA54)</f>
        <v>227600.99291436278</v>
      </c>
      <c r="AB60" s="322">
        <f t="shared" si="31"/>
        <v>18.399999999999999</v>
      </c>
      <c r="AC60" s="180"/>
      <c r="AD60" s="417"/>
      <c r="AE60" s="322"/>
      <c r="AF60" s="476">
        <f t="shared" si="46"/>
        <v>578777.22803291585</v>
      </c>
      <c r="AG60" s="476">
        <f t="shared" si="46"/>
        <v>709537.51504398114</v>
      </c>
      <c r="AH60" s="322">
        <f t="shared" si="24"/>
        <v>22.6</v>
      </c>
      <c r="AI60" s="476">
        <f t="shared" si="41"/>
        <v>578777.22803291585</v>
      </c>
      <c r="AJ60" s="476">
        <f t="shared" si="41"/>
        <v>709537.51504398114</v>
      </c>
      <c r="AK60" s="418">
        <f t="shared" si="26"/>
        <v>22.6</v>
      </c>
    </row>
    <row r="61" spans="1:37" s="429" customFormat="1" ht="20.100000000000001" customHeight="1" x14ac:dyDescent="0.3">
      <c r="A61" s="542" t="s">
        <v>298</v>
      </c>
      <c r="B61" s="180"/>
      <c r="C61" s="417"/>
      <c r="D61" s="322"/>
      <c r="E61" s="180"/>
      <c r="F61" s="417"/>
      <c r="G61" s="322"/>
      <c r="H61" s="180"/>
      <c r="I61" s="417"/>
      <c r="J61" s="322"/>
      <c r="K61" s="180">
        <v>7</v>
      </c>
      <c r="L61" s="417">
        <v>7</v>
      </c>
      <c r="M61" s="322">
        <f>IF(K61=0, "    ---- ", IF(ABS(ROUND(100/K61*L61-100,1))&lt;999,ROUND(100/K61*L61-100,1),IF(ROUND(100/K61*L61-100,1)&gt;999,999,-999)))</f>
        <v>0</v>
      </c>
      <c r="N61" s="180"/>
      <c r="O61" s="417"/>
      <c r="P61" s="322"/>
      <c r="Q61" s="180"/>
      <c r="R61" s="417"/>
      <c r="S61" s="322"/>
      <c r="T61" s="180"/>
      <c r="U61" s="417"/>
      <c r="V61" s="322"/>
      <c r="W61" s="180"/>
      <c r="X61" s="417"/>
      <c r="Y61" s="322"/>
      <c r="Z61" s="180"/>
      <c r="AA61" s="417"/>
      <c r="AB61" s="322"/>
      <c r="AC61" s="180"/>
      <c r="AD61" s="417"/>
      <c r="AE61" s="322"/>
      <c r="AF61" s="476">
        <f t="shared" si="46"/>
        <v>7</v>
      </c>
      <c r="AG61" s="476">
        <f t="shared" si="46"/>
        <v>7</v>
      </c>
      <c r="AH61" s="322">
        <f t="shared" si="24"/>
        <v>0</v>
      </c>
      <c r="AI61" s="476">
        <f>B61+E61+H61+K61+N61+Q61+T61+W61+Z61+AC61</f>
        <v>7</v>
      </c>
      <c r="AJ61" s="476">
        <f t="shared" ref="AJ61:AJ62" si="47">C61+F61+I61+L61+O61+R61+U61+X61+AA61+AD61</f>
        <v>7</v>
      </c>
      <c r="AK61" s="418">
        <f t="shared" si="26"/>
        <v>0</v>
      </c>
    </row>
    <row r="62" spans="1:37" s="429" customFormat="1" ht="20.100000000000001" customHeight="1" x14ac:dyDescent="0.3">
      <c r="A62" s="530" t="s">
        <v>205</v>
      </c>
      <c r="B62" s="180">
        <f>SUM(B45+B46+B60+B61)</f>
        <v>341317.70026177575</v>
      </c>
      <c r="C62" s="417">
        <f>SUM(C45+C46+C60+C61)</f>
        <v>370344.83076474833</v>
      </c>
      <c r="D62" s="322">
        <f t="shared" si="22"/>
        <v>8.5</v>
      </c>
      <c r="E62" s="180">
        <f>SUM(E45+E46+E60+E61)</f>
        <v>8889.1145567500007</v>
      </c>
      <c r="F62" s="417">
        <f>SUM(F45+F46+F60+F61)</f>
        <v>9652.060612180001</v>
      </c>
      <c r="G62" s="322">
        <f>IF(E62=0, "    ---- ", IF(ABS(ROUND(100/E62*F62-100,1))&lt;999,ROUND(100/E62*F62-100,1),IF(ROUND(100/E62*F62-100,1)&gt;999,999,-999)))</f>
        <v>8.6</v>
      </c>
      <c r="H62" s="180">
        <f>SUM(H45+H46+H60+H61)</f>
        <v>1645.6255699999999</v>
      </c>
      <c r="I62" s="417">
        <f>SUM(I45+I46+I60+I61)</f>
        <v>1970.758</v>
      </c>
      <c r="J62" s="322">
        <f>IF(H62=0, "    ---- ", IF(ABS(ROUND(100/H62*I62-100,1))&lt;999,ROUND(100/H62*I62-100,1),IF(ROUND(100/H62*I62-100,1)&gt;999,999,-999)))</f>
        <v>19.8</v>
      </c>
      <c r="K62" s="180">
        <f>SUM(K45+K46+K60+K61)</f>
        <v>60598</v>
      </c>
      <c r="L62" s="417">
        <f>SUM(L45+L46+L60+L61)</f>
        <v>76058</v>
      </c>
      <c r="M62" s="322">
        <f>IF(K62=0, "    ---- ", IF(ABS(ROUND(100/K62*L62-100,1))&lt;999,ROUND(100/K62*L62-100,1),IF(ROUND(100/K62*L62-100,1)&gt;999,999,-999)))</f>
        <v>25.5</v>
      </c>
      <c r="N62" s="180">
        <f>SUM(N45+N46+N60+N61)</f>
        <v>693584.97238221997</v>
      </c>
      <c r="O62" s="417">
        <f>SUM(O45+O46+O60+O61)</f>
        <v>754465.05332975998</v>
      </c>
      <c r="P62" s="322">
        <f>IF(N62=0, "    ---- ", IF(ABS(ROUND(100/N62*O62-100,1))&lt;999,ROUND(100/N62*O62-100,1),IF(ROUND(100/N62*O62-100,1)&gt;999,999,-999)))</f>
        <v>8.8000000000000007</v>
      </c>
      <c r="Q62" s="180">
        <f>SUM(Q45+Q46+Q60+Q61)</f>
        <v>182071.96079542991</v>
      </c>
      <c r="R62" s="417">
        <f>SUM(R45+R46+R60+R61)</f>
        <v>214768.82764745987</v>
      </c>
      <c r="S62" s="322">
        <f t="shared" si="28"/>
        <v>18</v>
      </c>
      <c r="T62" s="180">
        <f>SUM(T45+T46+T60+T61)</f>
        <v>119265</v>
      </c>
      <c r="U62" s="417">
        <f>SUM(U45+U46+U60+U61)</f>
        <v>127314</v>
      </c>
      <c r="V62" s="322">
        <f>IF(T62=0, "    ---- ", IF(ABS(ROUND(100/T62*U62-100,1))&lt;999,ROUND(100/T62*U62-100,1),IF(ROUND(100/T62*U62-100,1)&gt;999,999,-999)))</f>
        <v>6.7</v>
      </c>
      <c r="W62" s="180">
        <f>SUM(W45+W46+W60+W61)</f>
        <v>82894.043999999994</v>
      </c>
      <c r="X62" s="417">
        <f>SUM(X45+X46+X60+X61)</f>
        <v>98505.787000000011</v>
      </c>
      <c r="Y62" s="322">
        <f t="shared" si="30"/>
        <v>18.8</v>
      </c>
      <c r="Z62" s="180">
        <f>SUM(Z45+Z46+Z60+Z61)</f>
        <v>400712</v>
      </c>
      <c r="AA62" s="417">
        <f>SUM(AA45+AA46+AA60+AA61)</f>
        <v>442595.5641478828</v>
      </c>
      <c r="AB62" s="322">
        <f t="shared" si="31"/>
        <v>10.5</v>
      </c>
      <c r="AC62" s="180"/>
      <c r="AD62" s="417">
        <f>SUM(AD45+AD46+AD60+AD61)</f>
        <v>18</v>
      </c>
      <c r="AE62" s="322" t="str">
        <f>IF(AC62=0, "    ---- ", IF(ABS(ROUND(100/AC62*AD62-100,1))&lt;999,ROUND(100/AC62*AD62-100,1),IF(ROUND(100/AC62*AD62-100,1)&gt;999,999,-999)))</f>
        <v xml:space="preserve">    ---- </v>
      </c>
      <c r="AF62" s="476">
        <f t="shared" si="46"/>
        <v>1890978.4175661758</v>
      </c>
      <c r="AG62" s="476">
        <f t="shared" si="46"/>
        <v>2095674.8815020311</v>
      </c>
      <c r="AH62" s="322">
        <f t="shared" si="24"/>
        <v>10.8</v>
      </c>
      <c r="AI62" s="476">
        <f>B62+E62+H62+K62+N62+Q62+T62+W62+Z62+AC62</f>
        <v>1890978.4175661758</v>
      </c>
      <c r="AJ62" s="476">
        <f t="shared" si="47"/>
        <v>2095692.8815020311</v>
      </c>
      <c r="AK62" s="418">
        <f t="shared" si="26"/>
        <v>10.8</v>
      </c>
    </row>
    <row r="63" spans="1:37" s="437" customFormat="1" ht="20.100000000000001" customHeight="1" x14ac:dyDescent="0.3">
      <c r="A63" s="542"/>
      <c r="B63" s="182"/>
      <c r="C63" s="416"/>
      <c r="D63" s="415"/>
      <c r="E63" s="182"/>
      <c r="F63" s="416"/>
      <c r="G63" s="415"/>
      <c r="H63" s="182"/>
      <c r="I63" s="416"/>
      <c r="J63" s="415"/>
      <c r="K63" s="182"/>
      <c r="L63" s="416"/>
      <c r="M63" s="419"/>
      <c r="N63" s="182"/>
      <c r="O63" s="416"/>
      <c r="P63" s="415"/>
      <c r="Q63" s="182"/>
      <c r="R63" s="416"/>
      <c r="S63" s="415"/>
      <c r="T63" s="182"/>
      <c r="U63" s="416"/>
      <c r="V63" s="415"/>
      <c r="W63" s="182"/>
      <c r="X63" s="416"/>
      <c r="Y63" s="415"/>
      <c r="Z63" s="182"/>
      <c r="AA63" s="416"/>
      <c r="AB63" s="415"/>
      <c r="AC63" s="182"/>
      <c r="AD63" s="416"/>
      <c r="AE63" s="415"/>
      <c r="AF63" s="419"/>
      <c r="AG63" s="419"/>
      <c r="AH63" s="415"/>
      <c r="AI63" s="419"/>
      <c r="AJ63" s="419"/>
      <c r="AK63" s="420"/>
    </row>
    <row r="64" spans="1:37" s="437" customFormat="1" ht="20.100000000000001" customHeight="1" x14ac:dyDescent="0.3">
      <c r="A64" s="542" t="s">
        <v>206</v>
      </c>
      <c r="B64" s="182">
        <f>SUM(B29+B62)</f>
        <v>374454.98702399578</v>
      </c>
      <c r="C64" s="416">
        <f>SUM(C29+C62)</f>
        <v>403003.54337620322</v>
      </c>
      <c r="D64" s="415">
        <f t="shared" si="22"/>
        <v>7.6</v>
      </c>
      <c r="E64" s="182">
        <f>SUM(E29+E62)</f>
        <v>12774.277275820001</v>
      </c>
      <c r="F64" s="416">
        <f>SUM(F29+F62)</f>
        <v>14111.967010870001</v>
      </c>
      <c r="G64" s="415">
        <f>IF(E64=0, "    ---- ", IF(ABS(ROUND(100/E64*F64-100,1))&lt;999,ROUND(100/E64*F64-100,1),IF(ROUND(100/E64*F64-100,1)&gt;999,999,-999)))</f>
        <v>10.5</v>
      </c>
      <c r="H64" s="182">
        <f>SUM(H29+H62)</f>
        <v>2672.8861499999998</v>
      </c>
      <c r="I64" s="416">
        <f>SUM(I29+I62)</f>
        <v>3096.4659999999999</v>
      </c>
      <c r="J64" s="415">
        <f>IF(H64=0, "    ---- ", IF(ABS(ROUND(100/H64*I64-100,1))&lt;999,ROUND(100/H64*I64-100,1),IF(ROUND(100/H64*I64-100,1)&gt;999,999,-999)))</f>
        <v>15.8</v>
      </c>
      <c r="K64" s="182">
        <f>SUM(K29+K62)</f>
        <v>62357</v>
      </c>
      <c r="L64" s="416">
        <f>SUM(L29+L62)</f>
        <v>77527</v>
      </c>
      <c r="M64" s="419">
        <f>IF(K64=0, "    ---- ", IF(ABS(ROUND(100/K64*L64-100,1))&lt;999,ROUND(100/K64*L64-100,1),IF(ROUND(100/K64*L64-100,1)&gt;999,999,-999)))</f>
        <v>24.3</v>
      </c>
      <c r="N64" s="182">
        <f>SUM(N29+N62)</f>
        <v>742080.77413299994</v>
      </c>
      <c r="O64" s="416">
        <f>SUM(O29+O62)</f>
        <v>804644.50508805003</v>
      </c>
      <c r="P64" s="415">
        <f>IF(N64=0, "    ---- ", IF(ABS(ROUND(100/N64*O64-100,1))&lt;999,ROUND(100/N64*O64-100,1),IF(ROUND(100/N64*O64-100,1)&gt;999,999,-999)))</f>
        <v>8.4</v>
      </c>
      <c r="Q64" s="182">
        <f>SUM(Q29+Q62)</f>
        <v>193820.21079542991</v>
      </c>
      <c r="R64" s="416">
        <f>SUM(R29+R62)</f>
        <v>227044.77764745988</v>
      </c>
      <c r="S64" s="415">
        <f t="shared" si="28"/>
        <v>17.100000000000001</v>
      </c>
      <c r="T64" s="182">
        <f>SUM(T29+T62)</f>
        <v>132038</v>
      </c>
      <c r="U64" s="416">
        <f>SUM(U29+U62)</f>
        <v>138882</v>
      </c>
      <c r="V64" s="415">
        <f>IF(T64=0, "    ---- ", IF(ABS(ROUND(100/T64*U64-100,1))&lt;999,ROUND(100/T64*U64-100,1),IF(ROUND(100/T64*U64-100,1)&gt;999,999,-999)))</f>
        <v>5.2</v>
      </c>
      <c r="W64" s="182">
        <f>SUM(W29+W62)</f>
        <v>89687.524999999994</v>
      </c>
      <c r="X64" s="416">
        <f>SUM(X29+X62)</f>
        <v>105526.26400000001</v>
      </c>
      <c r="Y64" s="415">
        <f t="shared" si="30"/>
        <v>17.7</v>
      </c>
      <c r="Z64" s="182">
        <f>SUM(Z29+Z62)</f>
        <v>477036</v>
      </c>
      <c r="AA64" s="416">
        <f>SUM(AA29+AA62)</f>
        <v>523250.17467324721</v>
      </c>
      <c r="AB64" s="415">
        <f t="shared" si="31"/>
        <v>9.6999999999999993</v>
      </c>
      <c r="AC64" s="182">
        <f>SUM(AC29+AC62)</f>
        <v>15</v>
      </c>
      <c r="AD64" s="416">
        <f>SUM(AD29+AD62)</f>
        <v>107</v>
      </c>
      <c r="AE64" s="415">
        <f>IF(AC64=0, "    ---- ", IF(ABS(ROUND(100/AC64*AD64-100,1))&lt;999,ROUND(100/AC64*AD64-100,1),IF(ROUND(100/AC64*AD64-100,1)&gt;999,999,-999)))</f>
        <v>613.29999999999995</v>
      </c>
      <c r="AF64" s="569">
        <f t="shared" ref="AF64:AG64" si="48">B64+E64+H64+K64+N64+Q64+T64+W64+Z64</f>
        <v>2086921.6603782456</v>
      </c>
      <c r="AG64" s="569">
        <f t="shared" si="48"/>
        <v>2297086.6977958302</v>
      </c>
      <c r="AH64" s="415">
        <f t="shared" si="24"/>
        <v>10.1</v>
      </c>
      <c r="AI64" s="569">
        <f>B64+E64+H64+K64+N64+Q64+T64+W64+Z64+AC64</f>
        <v>2086936.6603782456</v>
      </c>
      <c r="AJ64" s="569">
        <f>C64+F64+I64+L64+O64+R64+U64+X64+AA64+AD64</f>
        <v>2297193.6977958302</v>
      </c>
      <c r="AK64" s="420">
        <f t="shared" si="26"/>
        <v>10.1</v>
      </c>
    </row>
    <row r="65" spans="1:37" s="429" customFormat="1" ht="20.100000000000001" customHeight="1" x14ac:dyDescent="0.3">
      <c r="A65" s="568"/>
      <c r="B65" s="180"/>
      <c r="C65" s="417"/>
      <c r="D65" s="322"/>
      <c r="E65" s="180"/>
      <c r="F65" s="417"/>
      <c r="G65" s="322"/>
      <c r="H65" s="180"/>
      <c r="I65" s="417"/>
      <c r="J65" s="322"/>
      <c r="K65" s="180"/>
      <c r="L65" s="417"/>
      <c r="M65" s="414"/>
      <c r="N65" s="180"/>
      <c r="O65" s="417"/>
      <c r="P65" s="322"/>
      <c r="Q65" s="180"/>
      <c r="R65" s="417"/>
      <c r="S65" s="322"/>
      <c r="T65" s="180"/>
      <c r="U65" s="417"/>
      <c r="V65" s="322"/>
      <c r="W65" s="180"/>
      <c r="X65" s="417"/>
      <c r="Y65" s="322"/>
      <c r="Z65" s="180"/>
      <c r="AA65" s="417"/>
      <c r="AB65" s="322"/>
      <c r="AC65" s="180"/>
      <c r="AD65" s="417"/>
      <c r="AE65" s="322"/>
      <c r="AF65" s="414"/>
      <c r="AG65" s="414"/>
      <c r="AH65" s="322"/>
      <c r="AI65" s="414"/>
      <c r="AJ65" s="414"/>
      <c r="AK65" s="418"/>
    </row>
    <row r="66" spans="1:37" s="429" customFormat="1" ht="20.100000000000001" customHeight="1" x14ac:dyDescent="0.3">
      <c r="A66" s="542" t="s">
        <v>207</v>
      </c>
      <c r="B66" s="180"/>
      <c r="C66" s="417"/>
      <c r="D66" s="322"/>
      <c r="E66" s="180"/>
      <c r="F66" s="417"/>
      <c r="G66" s="322"/>
      <c r="H66" s="180"/>
      <c r="I66" s="417"/>
      <c r="J66" s="322"/>
      <c r="K66" s="180"/>
      <c r="L66" s="417"/>
      <c r="M66" s="414"/>
      <c r="N66" s="180"/>
      <c r="O66" s="417"/>
      <c r="P66" s="322"/>
      <c r="Q66" s="180"/>
      <c r="R66" s="417"/>
      <c r="S66" s="322"/>
      <c r="T66" s="180"/>
      <c r="U66" s="417"/>
      <c r="V66" s="322"/>
      <c r="W66" s="180"/>
      <c r="X66" s="417"/>
      <c r="Y66" s="322"/>
      <c r="Z66" s="180"/>
      <c r="AA66" s="417"/>
      <c r="AB66" s="322"/>
      <c r="AC66" s="180"/>
      <c r="AD66" s="417"/>
      <c r="AE66" s="322"/>
      <c r="AF66" s="414"/>
      <c r="AG66" s="414"/>
      <c r="AH66" s="322"/>
      <c r="AI66" s="414"/>
      <c r="AJ66" s="414"/>
      <c r="AK66" s="418"/>
    </row>
    <row r="67" spans="1:37" s="429" customFormat="1" ht="20.100000000000001" customHeight="1" x14ac:dyDescent="0.3">
      <c r="A67" s="542"/>
      <c r="B67" s="180"/>
      <c r="C67" s="417"/>
      <c r="D67" s="322"/>
      <c r="E67" s="180"/>
      <c r="F67" s="417"/>
      <c r="G67" s="322"/>
      <c r="H67" s="180"/>
      <c r="I67" s="417"/>
      <c r="J67" s="322"/>
      <c r="K67" s="180"/>
      <c r="L67" s="417"/>
      <c r="M67" s="414"/>
      <c r="N67" s="180"/>
      <c r="O67" s="417"/>
      <c r="P67" s="322"/>
      <c r="Q67" s="180"/>
      <c r="R67" s="417"/>
      <c r="S67" s="322"/>
      <c r="T67" s="180"/>
      <c r="U67" s="417"/>
      <c r="V67" s="322"/>
      <c r="W67" s="180"/>
      <c r="X67" s="417"/>
      <c r="Y67" s="322"/>
      <c r="Z67" s="180"/>
      <c r="AA67" s="417"/>
      <c r="AB67" s="322"/>
      <c r="AC67" s="180"/>
      <c r="AD67" s="417"/>
      <c r="AE67" s="322"/>
      <c r="AF67" s="414"/>
      <c r="AG67" s="414"/>
      <c r="AH67" s="322"/>
      <c r="AI67" s="414"/>
      <c r="AJ67" s="414"/>
      <c r="AK67" s="418"/>
    </row>
    <row r="68" spans="1:37" s="429" customFormat="1" ht="20.100000000000001" customHeight="1" x14ac:dyDescent="0.3">
      <c r="A68" s="530" t="s">
        <v>208</v>
      </c>
      <c r="B68" s="180">
        <v>7657.0531522000001</v>
      </c>
      <c r="C68" s="417">
        <v>7657.0531522000001</v>
      </c>
      <c r="D68" s="322">
        <f t="shared" si="22"/>
        <v>0</v>
      </c>
      <c r="E68" s="180">
        <v>2452.057311</v>
      </c>
      <c r="F68" s="417">
        <v>2452.057311</v>
      </c>
      <c r="G68" s="322">
        <f>IF(E68=0, "    ---- ", IF(ABS(ROUND(100/E68*F68-100,1))&lt;999,ROUND(100/E68*F68-100,1),IF(ROUND(100/E68*F68-100,1)&gt;999,999,-999)))</f>
        <v>0</v>
      </c>
      <c r="H68" s="180">
        <v>221.25</v>
      </c>
      <c r="I68" s="417">
        <v>221.25</v>
      </c>
      <c r="J68" s="322">
        <f>IF(H68=0, "    ---- ", IF(ABS(ROUND(100/H68*I68-100,1))&lt;999,ROUND(100/H68*I68-100,1),IF(ROUND(100/H68*I68-100,1)&gt;999,999,-999)))</f>
        <v>0</v>
      </c>
      <c r="K68" s="180">
        <v>123</v>
      </c>
      <c r="L68" s="417">
        <v>123</v>
      </c>
      <c r="M68" s="414">
        <f>IF(K68=0, "    ---- ", IF(ABS(ROUND(100/K68*L68-100,1))&lt;999,ROUND(100/K68*L68-100,1),IF(ROUND(100/K68*L68-100,1)&gt;999,999,-999)))</f>
        <v>0</v>
      </c>
      <c r="N68" s="180">
        <v>21388.522218999999</v>
      </c>
      <c r="O68" s="417">
        <v>22978.353802000001</v>
      </c>
      <c r="P68" s="322">
        <f t="shared" ref="P68:P80" si="49">IF(N68=0, "    ---- ", IF(ABS(ROUND(100/N68*O68-100,1))&lt;999,ROUND(100/N68*O68-100,1),IF(ROUND(100/N68*O68-100,1)&gt;999,999,-999)))</f>
        <v>7.4</v>
      </c>
      <c r="Q68" s="180">
        <v>1126.76</v>
      </c>
      <c r="R68" s="417">
        <v>1126.76</v>
      </c>
      <c r="S68" s="322">
        <f t="shared" si="28"/>
        <v>0</v>
      </c>
      <c r="T68" s="180">
        <v>1430</v>
      </c>
      <c r="U68" s="417">
        <v>1430</v>
      </c>
      <c r="V68" s="322">
        <f>IF(T68=0, "    ---- ", IF(ABS(ROUND(100/T68*U68-100,1))&lt;999,ROUND(100/T68*U68-100,1),IF(ROUND(100/T68*U68-100,1)&gt;999,999,-999)))</f>
        <v>0</v>
      </c>
      <c r="W68" s="180">
        <v>4972.6959999999999</v>
      </c>
      <c r="X68" s="417">
        <v>4972.6959999999999</v>
      </c>
      <c r="Y68" s="322">
        <f t="shared" si="30"/>
        <v>0</v>
      </c>
      <c r="Z68" s="180">
        <v>15578</v>
      </c>
      <c r="AA68" s="417">
        <v>15958.913302749999</v>
      </c>
      <c r="AB68" s="322">
        <f t="shared" si="31"/>
        <v>2.4</v>
      </c>
      <c r="AC68" s="180">
        <v>49</v>
      </c>
      <c r="AD68" s="417">
        <v>86</v>
      </c>
      <c r="AE68" s="322">
        <f>IF(AC68=0, "    ---- ", IF(ABS(ROUND(100/AC68*AD68-100,1))&lt;999,ROUND(100/AC68*AD68-100,1),IF(ROUND(100/AC68*AD68-100,1)&gt;999,999,-999)))</f>
        <v>75.5</v>
      </c>
      <c r="AF68" s="476">
        <f t="shared" ref="AF68:AG71" si="50">B68+E68+H68+K68+N68+Q68+T68+W68+Z68</f>
        <v>54949.338682200003</v>
      </c>
      <c r="AG68" s="476">
        <f t="shared" si="50"/>
        <v>56920.083567950009</v>
      </c>
      <c r="AH68" s="322">
        <f t="shared" si="24"/>
        <v>3.6</v>
      </c>
      <c r="AI68" s="476">
        <f t="shared" ref="AI68:AJ71" si="51">B68+E68+H68+K68+N68+Q68+T68+W68+Z68+AC68</f>
        <v>54998.338682200003</v>
      </c>
      <c r="AJ68" s="476">
        <f t="shared" si="51"/>
        <v>57006.083567950009</v>
      </c>
      <c r="AK68" s="418">
        <f t="shared" si="26"/>
        <v>3.7</v>
      </c>
    </row>
    <row r="69" spans="1:37" s="429" customFormat="1" ht="20.100000000000001" customHeight="1" x14ac:dyDescent="0.3">
      <c r="A69" s="530" t="s">
        <v>209</v>
      </c>
      <c r="B69" s="180">
        <v>17195.73953613</v>
      </c>
      <c r="C69" s="417">
        <v>16580.182706390005</v>
      </c>
      <c r="D69" s="322">
        <f t="shared" si="22"/>
        <v>-3.6</v>
      </c>
      <c r="E69" s="180">
        <v>187.52020017000095</v>
      </c>
      <c r="F69" s="417">
        <v>216.40857831000051</v>
      </c>
      <c r="G69" s="322">
        <f>IF(E69=0, "    ---- ", IF(ABS(ROUND(100/E69*F69-100,1))&lt;999,ROUND(100/E69*F69-100,1),IF(ROUND(100/E69*F69-100,1)&gt;999,999,-999)))</f>
        <v>15.4</v>
      </c>
      <c r="H69" s="180">
        <v>329.0838</v>
      </c>
      <c r="I69" s="417">
        <v>366.00200000000001</v>
      </c>
      <c r="J69" s="322">
        <f>IF(H69=0, "    ---- ", IF(ABS(ROUND(100/H69*I69-100,1))&lt;999,ROUND(100/H69*I69-100,1),IF(ROUND(100/H69*I69-100,1)&gt;999,999,-999)))</f>
        <v>11.2</v>
      </c>
      <c r="K69" s="180">
        <v>721</v>
      </c>
      <c r="L69" s="417">
        <v>733</v>
      </c>
      <c r="M69" s="414">
        <f>IF(K69=0, "    ---- ", IF(ABS(ROUND(100/K69*L69-100,1))&lt;999,ROUND(100/K69*L69-100,1),IF(ROUND(100/K69*L69-100,1)&gt;999,999,-999)))</f>
        <v>1.7</v>
      </c>
      <c r="N69" s="180">
        <v>21863.2512173</v>
      </c>
      <c r="O69" s="417">
        <v>21115.100412299998</v>
      </c>
      <c r="P69" s="322">
        <f t="shared" si="49"/>
        <v>-3.4</v>
      </c>
      <c r="Q69" s="180">
        <v>7426.13</v>
      </c>
      <c r="R69" s="417">
        <v>7505.71</v>
      </c>
      <c r="S69" s="322">
        <f t="shared" si="28"/>
        <v>1.1000000000000001</v>
      </c>
      <c r="T69" s="180">
        <v>10420</v>
      </c>
      <c r="U69" s="417">
        <v>11100</v>
      </c>
      <c r="V69" s="322">
        <f>IF(T69=0, "    ---- ", IF(ABS(ROUND(100/T69*U69-100,1))&lt;999,ROUND(100/T69*U69-100,1),IF(ROUND(100/T69*U69-100,1)&gt;999,999,-999)))</f>
        <v>6.5</v>
      </c>
      <c r="W69" s="180">
        <v>1054.3440000000001</v>
      </c>
      <c r="X69" s="417">
        <v>1092.97</v>
      </c>
      <c r="Y69" s="322">
        <f t="shared" si="30"/>
        <v>3.7</v>
      </c>
      <c r="Z69" s="180">
        <v>12035</v>
      </c>
      <c r="AA69" s="417">
        <v>11661.754491308982</v>
      </c>
      <c r="AB69" s="322">
        <f t="shared" si="31"/>
        <v>-3.1</v>
      </c>
      <c r="AC69" s="180">
        <v>-53</v>
      </c>
      <c r="AD69" s="417">
        <v>-100</v>
      </c>
      <c r="AE69" s="322">
        <f>IF(AC69=0, "    ---- ", IF(ABS(ROUND(100/AC69*AD69-100,1))&lt;999,ROUND(100/AC69*AD69-100,1),IF(ROUND(100/AC69*AD69-100,1)&gt;999,999,-999)))</f>
        <v>88.7</v>
      </c>
      <c r="AF69" s="476">
        <f t="shared" si="50"/>
        <v>71232.068753600004</v>
      </c>
      <c r="AG69" s="476">
        <f t="shared" si="50"/>
        <v>70371.128188308998</v>
      </c>
      <c r="AH69" s="322">
        <f t="shared" si="24"/>
        <v>-1.2</v>
      </c>
      <c r="AI69" s="476">
        <f t="shared" si="51"/>
        <v>71179.068753600004</v>
      </c>
      <c r="AJ69" s="476">
        <f t="shared" si="51"/>
        <v>70271.128188308998</v>
      </c>
      <c r="AK69" s="418">
        <f t="shared" si="26"/>
        <v>-1.3</v>
      </c>
    </row>
    <row r="70" spans="1:37" s="429" customFormat="1" ht="20.100000000000001" customHeight="1" x14ac:dyDescent="0.3">
      <c r="A70" s="530" t="s">
        <v>210</v>
      </c>
      <c r="B70" s="180">
        <v>1128.2033292399999</v>
      </c>
      <c r="C70" s="417">
        <v>1299</v>
      </c>
      <c r="D70" s="322">
        <f>IF(B70=0, "    ---- ", IF(ABS(ROUND(100/B70*C70-100,1))&lt;999,ROUND(100/B70*C70-100,1),IF(ROUND(100/B70*C70-100,1)&gt;999,999,-999)))</f>
        <v>15.1</v>
      </c>
      <c r="E70" s="180"/>
      <c r="F70" s="417"/>
      <c r="G70" s="322"/>
      <c r="H70" s="180">
        <v>26.335999999999999</v>
      </c>
      <c r="I70" s="417">
        <v>11.131</v>
      </c>
      <c r="J70" s="322">
        <f>IF(H70=0, "    ---- ", IF(ABS(ROUND(100/H70*I70-100,1))&lt;999,ROUND(100/H70*I70-100,1),IF(ROUND(100/H70*I70-100,1)&gt;999,999,-999)))</f>
        <v>-57.7</v>
      </c>
      <c r="K70" s="180">
        <v>46</v>
      </c>
      <c r="L70" s="417">
        <v>46</v>
      </c>
      <c r="M70" s="322">
        <f>IF(K70=0, "    ---- ", IF(ABS(ROUND(100/K70*L70-100,1))&lt;999,ROUND(100/K70*L70-100,1),IF(ROUND(100/K70*L70-100,1)&gt;999,999,-999)))</f>
        <v>0</v>
      </c>
      <c r="N70" s="180">
        <v>4758.8973802099999</v>
      </c>
      <c r="O70" s="417">
        <v>3785.6159872100002</v>
      </c>
      <c r="P70" s="322">
        <f t="shared" si="49"/>
        <v>-20.5</v>
      </c>
      <c r="Q70" s="180">
        <v>223.42</v>
      </c>
      <c r="R70" s="417">
        <v>280.58</v>
      </c>
      <c r="S70" s="322">
        <f t="shared" si="28"/>
        <v>25.6</v>
      </c>
      <c r="T70" s="180"/>
      <c r="U70" s="417"/>
      <c r="V70" s="322"/>
      <c r="W70" s="180">
        <v>272.86</v>
      </c>
      <c r="X70" s="417">
        <v>293.69200000000001</v>
      </c>
      <c r="Y70" s="322">
        <f>IF(W70=0, "    ---- ", IF(ABS(ROUND(100/W70*X70-100,1))&lt;999,ROUND(100/W70*X70-100,1),IF(ROUND(100/W70*X70-100,1)&gt;999,999,-999)))</f>
        <v>7.6</v>
      </c>
      <c r="Z70" s="180">
        <v>888</v>
      </c>
      <c r="AA70" s="417">
        <v>1129.1857730600002</v>
      </c>
      <c r="AB70" s="322">
        <f t="shared" si="31"/>
        <v>27.2</v>
      </c>
      <c r="AC70" s="180"/>
      <c r="AD70" s="417"/>
      <c r="AE70" s="322"/>
      <c r="AF70" s="476">
        <f t="shared" si="50"/>
        <v>7343.7167094499991</v>
      </c>
      <c r="AG70" s="476">
        <f t="shared" si="50"/>
        <v>6845.2047602700004</v>
      </c>
      <c r="AH70" s="322">
        <f t="shared" si="24"/>
        <v>-6.8</v>
      </c>
      <c r="AI70" s="476">
        <f t="shared" si="51"/>
        <v>7343.7167094499991</v>
      </c>
      <c r="AJ70" s="476">
        <f t="shared" si="51"/>
        <v>6845.2047602700004</v>
      </c>
      <c r="AK70" s="418">
        <f t="shared" si="26"/>
        <v>-6.8</v>
      </c>
    </row>
    <row r="71" spans="1:37" s="429" customFormat="1" ht="20.100000000000001" customHeight="1" x14ac:dyDescent="0.3">
      <c r="A71" s="530" t="s">
        <v>211</v>
      </c>
      <c r="B71" s="180">
        <v>7000</v>
      </c>
      <c r="C71" s="417">
        <v>7000</v>
      </c>
      <c r="D71" s="322">
        <f t="shared" si="22"/>
        <v>0</v>
      </c>
      <c r="E71" s="180">
        <v>550</v>
      </c>
      <c r="F71" s="417">
        <v>550</v>
      </c>
      <c r="G71" s="322">
        <f>IF(E71=0, "    ---- ", IF(ABS(ROUND(100/E71*F71-100,1))&lt;999,ROUND(100/E71*F71-100,1),IF(ROUND(100/E71*F71-100,1)&gt;999,999,-999)))</f>
        <v>0</v>
      </c>
      <c r="H71" s="180"/>
      <c r="I71" s="417"/>
      <c r="J71" s="322"/>
      <c r="K71" s="180">
        <v>301</v>
      </c>
      <c r="L71" s="417">
        <v>301</v>
      </c>
      <c r="M71" s="414"/>
      <c r="N71" s="180">
        <v>5087.9395633300001</v>
      </c>
      <c r="O71" s="417">
        <v>5037.6175311300003</v>
      </c>
      <c r="P71" s="322">
        <f t="shared" si="49"/>
        <v>-1</v>
      </c>
      <c r="Q71" s="180">
        <v>2830</v>
      </c>
      <c r="R71" s="417">
        <v>2830</v>
      </c>
      <c r="S71" s="322">
        <f t="shared" si="28"/>
        <v>0</v>
      </c>
      <c r="T71" s="180">
        <v>1240</v>
      </c>
      <c r="U71" s="417">
        <v>0</v>
      </c>
      <c r="V71" s="322">
        <f>IF(T71=0, "    ---- ", IF(ABS(ROUND(100/T71*U71-100,1))&lt;999,ROUND(100/T71*U71-100,1),IF(ROUND(100/T71*U71-100,1)&gt;999,999,-999)))</f>
        <v>-100</v>
      </c>
      <c r="W71" s="180"/>
      <c r="X71" s="417"/>
      <c r="Y71" s="322"/>
      <c r="Z71" s="180">
        <v>10233</v>
      </c>
      <c r="AA71" s="417">
        <v>9963.35248159</v>
      </c>
      <c r="AB71" s="322">
        <f t="shared" si="31"/>
        <v>-2.6</v>
      </c>
      <c r="AC71" s="180"/>
      <c r="AD71" s="417"/>
      <c r="AE71" s="322"/>
      <c r="AF71" s="476">
        <f t="shared" si="50"/>
        <v>27241.939563330001</v>
      </c>
      <c r="AG71" s="476">
        <f t="shared" si="50"/>
        <v>25681.970012719998</v>
      </c>
      <c r="AH71" s="322">
        <f t="shared" si="24"/>
        <v>-5.7</v>
      </c>
      <c r="AI71" s="476">
        <f t="shared" si="51"/>
        <v>27241.939563330001</v>
      </c>
      <c r="AJ71" s="476">
        <f t="shared" si="51"/>
        <v>25681.970012719998</v>
      </c>
      <c r="AK71" s="418">
        <f t="shared" si="26"/>
        <v>-5.7</v>
      </c>
    </row>
    <row r="72" spans="1:37" s="429" customFormat="1" ht="20.100000000000001" customHeight="1" x14ac:dyDescent="0.3">
      <c r="A72" s="530" t="s">
        <v>212</v>
      </c>
      <c r="B72" s="180"/>
      <c r="C72" s="417"/>
      <c r="D72" s="322"/>
      <c r="E72" s="180"/>
      <c r="F72" s="417"/>
      <c r="G72" s="322"/>
      <c r="H72" s="180"/>
      <c r="I72" s="417"/>
      <c r="J72" s="322"/>
      <c r="K72" s="180"/>
      <c r="L72" s="417"/>
      <c r="M72" s="414"/>
      <c r="N72" s="180"/>
      <c r="O72" s="417"/>
      <c r="P72" s="322"/>
      <c r="Q72" s="180"/>
      <c r="R72" s="417"/>
      <c r="S72" s="322"/>
      <c r="T72" s="180"/>
      <c r="U72" s="417"/>
      <c r="V72" s="322"/>
      <c r="W72" s="180"/>
      <c r="X72" s="417"/>
      <c r="Y72" s="322"/>
      <c r="Z72" s="180"/>
      <c r="AA72" s="417"/>
      <c r="AB72" s="322"/>
      <c r="AC72" s="180"/>
      <c r="AD72" s="417"/>
      <c r="AE72" s="322"/>
      <c r="AF72" s="414"/>
      <c r="AG72" s="414"/>
      <c r="AH72" s="322"/>
      <c r="AI72" s="414"/>
      <c r="AJ72" s="414"/>
      <c r="AK72" s="418"/>
    </row>
    <row r="73" spans="1:37" s="429" customFormat="1" ht="20.100000000000001" customHeight="1" x14ac:dyDescent="0.3">
      <c r="A73" s="530" t="s">
        <v>351</v>
      </c>
      <c r="B73" s="180">
        <v>180203.05723000001</v>
      </c>
      <c r="C73" s="417">
        <v>176427.45504785998</v>
      </c>
      <c r="D73" s="322">
        <f t="shared" si="22"/>
        <v>-2.1</v>
      </c>
      <c r="E73" s="180">
        <v>8417.4078186099996</v>
      </c>
      <c r="F73" s="417">
        <v>9247.4641416399991</v>
      </c>
      <c r="G73" s="322">
        <f>IF(E73=0, "    ---- ", IF(ABS(ROUND(100/E73*F73-100,1))&lt;999,ROUND(100/E73*F73-100,1),IF(ROUND(100/E73*F73-100,1)&gt;999,999,-999)))</f>
        <v>9.9</v>
      </c>
      <c r="H73" s="180">
        <v>2030.998</v>
      </c>
      <c r="I73" s="417">
        <v>2400.1190000000001</v>
      </c>
      <c r="J73" s="322">
        <f>IF(H73=0, "    ---- ", IF(ABS(ROUND(100/H73*I73-100,1))&lt;999,ROUND(100/H73*I73-100,1),IF(ROUND(100/H73*I73-100,1)&gt;999,999,-999)))</f>
        <v>18.2</v>
      </c>
      <c r="K73" s="180">
        <v>8826</v>
      </c>
      <c r="L73" s="417">
        <v>9872</v>
      </c>
      <c r="M73" s="414">
        <f>IF(K73=0, "    ---- ", IF(ABS(ROUND(100/K73*L73-100,1))&lt;999,ROUND(100/K73*L73-100,1),IF(ROUND(100/K73*L73-100,1)&gt;999,999,-999)))</f>
        <v>11.9</v>
      </c>
      <c r="N73" s="180">
        <v>518259.39983327</v>
      </c>
      <c r="O73" s="417">
        <v>572750.83593855007</v>
      </c>
      <c r="P73" s="322">
        <f t="shared" si="49"/>
        <v>10.5</v>
      </c>
      <c r="Q73" s="180">
        <v>48444.05</v>
      </c>
      <c r="R73" s="417">
        <v>47840.18</v>
      </c>
      <c r="S73" s="322">
        <f t="shared" si="28"/>
        <v>-1.2</v>
      </c>
      <c r="T73" s="180">
        <v>78562</v>
      </c>
      <c r="U73" s="417">
        <v>86192</v>
      </c>
      <c r="V73" s="322">
        <f>IF(T73=0, "    ---- ", IF(ABS(ROUND(100/T73*U73-100,1))&lt;999,ROUND(100/T73*U73-100,1),IF(ROUND(100/T73*U73-100,1)&gt;999,999,-999)))</f>
        <v>9.6999999999999993</v>
      </c>
      <c r="W73" s="180">
        <v>19227.59</v>
      </c>
      <c r="X73" s="417">
        <v>19631.333999999999</v>
      </c>
      <c r="Y73" s="322">
        <f t="shared" si="30"/>
        <v>2.1</v>
      </c>
      <c r="Z73" s="180">
        <v>188717</v>
      </c>
      <c r="AA73" s="417">
        <v>195278.26432017999</v>
      </c>
      <c r="AB73" s="322">
        <f t="shared" si="31"/>
        <v>3.5</v>
      </c>
      <c r="AC73" s="180">
        <v>9</v>
      </c>
      <c r="AD73" s="417">
        <v>93</v>
      </c>
      <c r="AE73" s="322">
        <f t="shared" ref="AE73" si="52">IF(AC73=0, "    ---- ", IF(ABS(ROUND(100/AC73*AD73-100,1))&lt;999,ROUND(100/AC73*AD73-100,1),IF(ROUND(100/AC73*AD73-100,1)&gt;999,999,-999)))</f>
        <v>933.3</v>
      </c>
      <c r="AF73" s="476">
        <f t="shared" ref="AF73:AG76" si="53">B73+E73+H73+K73+N73+Q73+T73+W73+Z73</f>
        <v>1052687.5028818799</v>
      </c>
      <c r="AG73" s="476">
        <f t="shared" si="53"/>
        <v>1119639.6524482302</v>
      </c>
      <c r="AH73" s="322">
        <f t="shared" si="24"/>
        <v>6.4</v>
      </c>
      <c r="AI73" s="476">
        <f t="shared" ref="AI73:AJ80" si="54">B73+E73+H73+K73+N73+Q73+T73+W73+Z73+AC73</f>
        <v>1052696.5028818799</v>
      </c>
      <c r="AJ73" s="476">
        <f t="shared" si="54"/>
        <v>1119732.6524482302</v>
      </c>
      <c r="AK73" s="418">
        <f t="shared" si="26"/>
        <v>6.4</v>
      </c>
    </row>
    <row r="74" spans="1:37" s="429" customFormat="1" ht="20.100000000000001" customHeight="1" x14ac:dyDescent="0.3">
      <c r="A74" s="665" t="s">
        <v>388</v>
      </c>
      <c r="B74" s="180">
        <v>5545.2387018599993</v>
      </c>
      <c r="C74" s="630"/>
      <c r="D74" s="322">
        <f t="shared" si="22"/>
        <v>-100</v>
      </c>
      <c r="E74" s="180"/>
      <c r="F74" s="630"/>
      <c r="G74" s="322"/>
      <c r="H74" s="180">
        <v>6.1800000000000001E-2</v>
      </c>
      <c r="I74" s="630"/>
      <c r="J74" s="322">
        <f>IF(H74=0, "    ---- ", IF(ABS(ROUND(100/H74*I74-100,1))&lt;999,ROUND(100/H74*I74-100,1),IF(ROUND(100/H74*I74-100,1)&gt;999,999,-999)))</f>
        <v>-100</v>
      </c>
      <c r="K74" s="180">
        <v>264</v>
      </c>
      <c r="L74" s="630"/>
      <c r="M74" s="414">
        <f>IF(K74=0, "    ---- ", IF(ABS(ROUND(100/K74*L74-100,1))&lt;999,ROUND(100/K74*L74-100,1),IF(ROUND(100/K74*L74-100,1)&gt;999,999,-999)))</f>
        <v>-100</v>
      </c>
      <c r="N74" s="180"/>
      <c r="O74" s="630"/>
      <c r="P74" s="322"/>
      <c r="Q74" s="180">
        <v>3841.93</v>
      </c>
      <c r="R74" s="630"/>
      <c r="S74" s="322">
        <f t="shared" si="28"/>
        <v>-100</v>
      </c>
      <c r="T74" s="180"/>
      <c r="U74" s="630"/>
      <c r="V74" s="322"/>
      <c r="W74" s="180">
        <v>1057.0050000000001</v>
      </c>
      <c r="X74" s="630"/>
      <c r="Y74" s="322">
        <f t="shared" si="30"/>
        <v>-100</v>
      </c>
      <c r="Z74" s="180">
        <v>9414</v>
      </c>
      <c r="AA74" s="630"/>
      <c r="AB74" s="322">
        <f t="shared" si="31"/>
        <v>-100</v>
      </c>
      <c r="AC74" s="180"/>
      <c r="AD74" s="630"/>
      <c r="AE74" s="322"/>
      <c r="AF74" s="476">
        <f t="shared" si="53"/>
        <v>20122.235501859999</v>
      </c>
      <c r="AG74" s="88"/>
      <c r="AH74" s="322">
        <f t="shared" si="24"/>
        <v>-100</v>
      </c>
      <c r="AI74" s="476">
        <f t="shared" si="54"/>
        <v>20122.235501859999</v>
      </c>
      <c r="AJ74" s="88"/>
      <c r="AK74" s="418">
        <f t="shared" si="26"/>
        <v>-100</v>
      </c>
    </row>
    <row r="75" spans="1:37" s="429" customFormat="1" ht="20.100000000000001" customHeight="1" x14ac:dyDescent="0.3">
      <c r="A75" s="665" t="s">
        <v>389</v>
      </c>
      <c r="B75" s="180">
        <v>1743.1575301400001</v>
      </c>
      <c r="C75" s="630"/>
      <c r="D75" s="322">
        <f t="shared" si="22"/>
        <v>-100</v>
      </c>
      <c r="E75" s="180">
        <v>69.410729529999998</v>
      </c>
      <c r="F75" s="630"/>
      <c r="G75" s="322">
        <f>IF(E75=0, "    ---- ", IF(ABS(ROUND(100/E75*F75-100,1))&lt;999,ROUND(100/E75*F75-100,1),IF(ROUND(100/E75*F75-100,1)&gt;999,999,-999)))</f>
        <v>-100</v>
      </c>
      <c r="H75" s="180"/>
      <c r="I75" s="630"/>
      <c r="J75" s="322"/>
      <c r="K75" s="180"/>
      <c r="L75" s="630"/>
      <c r="M75" s="414"/>
      <c r="N75" s="180">
        <v>1E-8</v>
      </c>
      <c r="O75" s="630"/>
      <c r="P75" s="322">
        <f t="shared" si="49"/>
        <v>-100</v>
      </c>
      <c r="Q75" s="180">
        <v>1758.3</v>
      </c>
      <c r="R75" s="630"/>
      <c r="S75" s="322">
        <f t="shared" si="28"/>
        <v>-100</v>
      </c>
      <c r="T75" s="180"/>
      <c r="U75" s="630"/>
      <c r="V75" s="322"/>
      <c r="W75" s="180">
        <v>2376.3110000000001</v>
      </c>
      <c r="X75" s="630"/>
      <c r="Y75" s="322">
        <f t="shared" si="30"/>
        <v>-100</v>
      </c>
      <c r="Z75" s="180">
        <v>1620</v>
      </c>
      <c r="AA75" s="630"/>
      <c r="AB75" s="322">
        <f t="shared" si="31"/>
        <v>-100</v>
      </c>
      <c r="AC75" s="180"/>
      <c r="AD75" s="630"/>
      <c r="AE75" s="322"/>
      <c r="AF75" s="476">
        <f t="shared" si="53"/>
        <v>7567.1792596800005</v>
      </c>
      <c r="AG75" s="88"/>
      <c r="AH75" s="322">
        <f t="shared" si="24"/>
        <v>-100</v>
      </c>
      <c r="AI75" s="476">
        <f t="shared" si="54"/>
        <v>7567.1792596800005</v>
      </c>
      <c r="AJ75" s="88"/>
      <c r="AK75" s="418">
        <f t="shared" si="26"/>
        <v>-100</v>
      </c>
    </row>
    <row r="76" spans="1:37" s="429" customFormat="1" ht="20.100000000000001" customHeight="1" x14ac:dyDescent="0.3">
      <c r="A76" s="530" t="s">
        <v>390</v>
      </c>
      <c r="B76" s="180"/>
      <c r="C76" s="417">
        <v>6411.1031002299997</v>
      </c>
      <c r="D76" s="322" t="str">
        <f>IF(B76=0, "    ---- ", IF(ABS(ROUND(100/B76*C76-100,1))&lt;999,ROUND(100/B76*C76-100,1),IF(ROUND(100/B76*C76-100,1)&gt;999,999,-999)))</f>
        <v xml:space="preserve">    ---- </v>
      </c>
      <c r="E76" s="180"/>
      <c r="F76" s="417">
        <v>112.97187583</v>
      </c>
      <c r="G76" s="322" t="str">
        <f>IF(E76=0, "    ---- ", IF(ABS(ROUND(100/E76*F76-100,1))&lt;999,ROUND(100/E76*F76-100,1),IF(ROUND(100/E76*F76-100,1)&gt;999,999,-999)))</f>
        <v xml:space="preserve">    ---- </v>
      </c>
      <c r="H76" s="180"/>
      <c r="I76" s="417"/>
      <c r="J76" s="322"/>
      <c r="K76" s="180"/>
      <c r="L76" s="417">
        <v>257</v>
      </c>
      <c r="M76" s="322" t="str">
        <f>IF(K76=0, "    ---- ", IF(ABS(ROUND(100/K76*L76-100,1))&lt;999,ROUND(100/K76*L76-100,1),IF(ROUND(100/K76*L76-100,1)&gt;999,999,-999)))</f>
        <v xml:space="preserve">    ---- </v>
      </c>
      <c r="N76" s="180">
        <v>32045.36846609</v>
      </c>
      <c r="O76" s="417">
        <v>41802.786275089995</v>
      </c>
      <c r="P76" s="322">
        <f>IF(N76=0, "    ---- ", IF(ABS(ROUND(100/N76*O76-100,1))&lt;999,ROUND(100/N76*O76-100,1),IF(ROUND(100/N76*O76-100,1)&gt;999,999,-999)))</f>
        <v>30.4</v>
      </c>
      <c r="Q76" s="180"/>
      <c r="R76" s="417">
        <v>5862.87</v>
      </c>
      <c r="S76" s="322" t="str">
        <f>IF(Q76=0, "    ---- ", IF(ABS(ROUND(100/Q76*R76-100,1))&lt;999,ROUND(100/Q76*R76-100,1),IF(ROUND(100/Q76*R76-100,1)&gt;999,999,-999)))</f>
        <v xml:space="preserve">    ---- </v>
      </c>
      <c r="T76" s="180">
        <v>27647</v>
      </c>
      <c r="U76" s="417">
        <v>29966</v>
      </c>
      <c r="V76" s="322">
        <f>IF(T76=0, "    ---- ", IF(ABS(ROUND(100/T76*U76-100,1))&lt;999,ROUND(100/T76*U76-100,1),IF(ROUND(100/T76*U76-100,1)&gt;999,999,-999)))</f>
        <v>8.4</v>
      </c>
      <c r="W76" s="180"/>
      <c r="X76" s="417">
        <v>3329.721</v>
      </c>
      <c r="Y76" s="322" t="str">
        <f>IF(W76=0, "    ---- ", IF(ABS(ROUND(100/W76*X76-100,1))&lt;999,ROUND(100/W76*X76-100,1),IF(ROUND(100/W76*X76-100,1)&gt;999,999,-999)))</f>
        <v xml:space="preserve">    ---- </v>
      </c>
      <c r="Z76" s="180">
        <v>1685</v>
      </c>
      <c r="AA76" s="417">
        <f>12925.59308065+66.5747397999999</f>
        <v>12992.16782045</v>
      </c>
      <c r="AB76" s="322">
        <f>IF(Z76=0, "    ---- ", IF(ABS(ROUND(100/Z76*AA76-100,1))&lt;999,ROUND(100/Z76*AA76-100,1),IF(ROUND(100/Z76*AA76-100,1)&gt;999,999,-999)))</f>
        <v>671</v>
      </c>
      <c r="AC76" s="180"/>
      <c r="AD76" s="417"/>
      <c r="AE76" s="322"/>
      <c r="AF76" s="476">
        <f t="shared" si="53"/>
        <v>61377.368466090003</v>
      </c>
      <c r="AG76" s="476">
        <f t="shared" si="53"/>
        <v>100734.6200716</v>
      </c>
      <c r="AH76" s="322">
        <f>IF(AF76=0, "    ---- ", IF(ABS(ROUND(100/AF76*AG76-100,1))&lt;999,ROUND(100/AF76*AG76-100,1),IF(ROUND(100/AF76*AG76-100,1)&gt;999,999,-999)))</f>
        <v>64.099999999999994</v>
      </c>
      <c r="AI76" s="476">
        <f t="shared" si="54"/>
        <v>61377.368466090003</v>
      </c>
      <c r="AJ76" s="476">
        <f t="shared" si="54"/>
        <v>100734.6200716</v>
      </c>
      <c r="AK76" s="322">
        <f>IF(AI76=0, "    ---- ", IF(ABS(ROUND(100/AI76*AJ76-100,1))&lt;999,ROUND(100/AI76*AJ76-100,1),IF(ROUND(100/AI76*AJ76-100,1)&gt;999,999,-999)))</f>
        <v>64.099999999999994</v>
      </c>
    </row>
    <row r="77" spans="1:37" s="429" customFormat="1" ht="20.100000000000001" customHeight="1" x14ac:dyDescent="0.3">
      <c r="A77" s="530" t="s">
        <v>391</v>
      </c>
      <c r="B77" s="180">
        <v>402.01953037999999</v>
      </c>
      <c r="C77" s="417">
        <v>363.63292997000002</v>
      </c>
      <c r="D77" s="322">
        <f t="shared" si="22"/>
        <v>-9.5</v>
      </c>
      <c r="E77" s="180"/>
      <c r="F77" s="417"/>
      <c r="G77" s="322"/>
      <c r="H77" s="180"/>
      <c r="I77" s="417"/>
      <c r="J77" s="322"/>
      <c r="K77" s="180">
        <v>5</v>
      </c>
      <c r="L77" s="417">
        <v>1</v>
      </c>
      <c r="M77" s="322">
        <f>IF(K77=0, "    ---- ", IF(ABS(ROUND(100/K77*L77-100,1))&lt;999,ROUND(100/K77*L77-100,1),IF(ROUND(100/K77*L77-100,1)&gt;999,999,-999)))</f>
        <v>-80</v>
      </c>
      <c r="N77" s="180">
        <v>0</v>
      </c>
      <c r="O77" s="417">
        <v>0</v>
      </c>
      <c r="P77" s="322" t="str">
        <f t="shared" si="49"/>
        <v xml:space="preserve">    ---- </v>
      </c>
      <c r="Q77" s="180">
        <v>943.33</v>
      </c>
      <c r="R77" s="417">
        <v>896.93</v>
      </c>
      <c r="S77" s="322">
        <f t="shared" si="28"/>
        <v>-4.9000000000000004</v>
      </c>
      <c r="T77" s="180">
        <v>7398</v>
      </c>
      <c r="U77" s="417">
        <v>5575</v>
      </c>
      <c r="V77" s="322">
        <f t="shared" ref="V77:V79" si="55">IF(T77=0, "    ---- ", IF(ABS(ROUND(100/T77*U77-100,1))&lt;999,ROUND(100/T77*U77-100,1),IF(ROUND(100/T77*U77-100,1)&gt;999,999,-999)))</f>
        <v>-24.6</v>
      </c>
      <c r="W77" s="180">
        <v>345.21600000000001</v>
      </c>
      <c r="X77" s="417">
        <v>286.13499999999999</v>
      </c>
      <c r="Y77" s="322">
        <f t="shared" si="30"/>
        <v>-17.100000000000001</v>
      </c>
      <c r="Z77" s="180">
        <v>3570</v>
      </c>
      <c r="AA77" s="417">
        <v>2900.0827730099995</v>
      </c>
      <c r="AB77" s="322">
        <f t="shared" si="31"/>
        <v>-18.8</v>
      </c>
      <c r="AC77" s="180"/>
      <c r="AD77" s="417"/>
      <c r="AE77" s="322"/>
      <c r="AF77" s="476">
        <f t="shared" ref="AF77:AG80" si="56">B77+E77+H77+K77+N77+Q77+T77+W77+Z77</f>
        <v>12663.565530380001</v>
      </c>
      <c r="AG77" s="476">
        <f t="shared" si="56"/>
        <v>10022.780702979999</v>
      </c>
      <c r="AH77" s="322">
        <f t="shared" si="24"/>
        <v>-20.9</v>
      </c>
      <c r="AI77" s="476">
        <f t="shared" si="54"/>
        <v>12663.565530380001</v>
      </c>
      <c r="AJ77" s="476">
        <f t="shared" si="54"/>
        <v>10022.780702979999</v>
      </c>
      <c r="AK77" s="418">
        <f t="shared" si="26"/>
        <v>-20.9</v>
      </c>
    </row>
    <row r="78" spans="1:37" s="429" customFormat="1" ht="20.100000000000001" customHeight="1" x14ac:dyDescent="0.3">
      <c r="A78" s="530" t="s">
        <v>392</v>
      </c>
      <c r="B78" s="180">
        <v>3185.3185392800001</v>
      </c>
      <c r="C78" s="417">
        <v>3567.7338005000001</v>
      </c>
      <c r="D78" s="322">
        <f t="shared" si="22"/>
        <v>12</v>
      </c>
      <c r="E78" s="180"/>
      <c r="F78" s="417"/>
      <c r="G78" s="322"/>
      <c r="H78" s="180"/>
      <c r="I78" s="417"/>
      <c r="J78" s="322"/>
      <c r="K78" s="180"/>
      <c r="L78" s="417"/>
      <c r="M78" s="414"/>
      <c r="N78" s="180">
        <v>102145.58787619999</v>
      </c>
      <c r="O78" s="417">
        <v>109280.93940819999</v>
      </c>
      <c r="P78" s="322">
        <f t="shared" si="49"/>
        <v>7</v>
      </c>
      <c r="Q78" s="180"/>
      <c r="R78" s="417"/>
      <c r="S78" s="322"/>
      <c r="T78" s="180">
        <v>406</v>
      </c>
      <c r="U78" s="417">
        <v>0</v>
      </c>
      <c r="V78" s="322">
        <f t="shared" si="55"/>
        <v>-100</v>
      </c>
      <c r="W78" s="180"/>
      <c r="X78" s="417"/>
      <c r="Y78" s="322"/>
      <c r="Z78" s="180">
        <v>789</v>
      </c>
      <c r="AA78" s="417">
        <v>845.66465151999989</v>
      </c>
      <c r="AB78" s="322">
        <f t="shared" si="31"/>
        <v>7.2</v>
      </c>
      <c r="AC78" s="180"/>
      <c r="AD78" s="417"/>
      <c r="AE78" s="322"/>
      <c r="AF78" s="476">
        <f t="shared" si="56"/>
        <v>106525.90641547999</v>
      </c>
      <c r="AG78" s="476">
        <f t="shared" si="56"/>
        <v>113694.33786022</v>
      </c>
      <c r="AH78" s="322">
        <f t="shared" si="24"/>
        <v>6.7</v>
      </c>
      <c r="AI78" s="476">
        <f t="shared" si="54"/>
        <v>106525.90641547999</v>
      </c>
      <c r="AJ78" s="476">
        <f t="shared" si="54"/>
        <v>113694.33786022</v>
      </c>
      <c r="AK78" s="418">
        <f t="shared" si="26"/>
        <v>6.7</v>
      </c>
    </row>
    <row r="79" spans="1:37" s="429" customFormat="1" ht="20.100000000000001" customHeight="1" x14ac:dyDescent="0.3">
      <c r="A79" s="530" t="s">
        <v>213</v>
      </c>
      <c r="B79" s="180"/>
      <c r="C79" s="417"/>
      <c r="D79" s="322"/>
      <c r="E79" s="180"/>
      <c r="F79" s="417">
        <v>1.8913979999999999</v>
      </c>
      <c r="G79" s="322" t="str">
        <f>IF(E79=0, "    ---- ", IF(ABS(ROUND(100/E79*F79-100,1))&lt;999,ROUND(100/E79*F79-100,1),IF(ROUND(100/E79*F79-100,1)&gt;999,999,-999)))</f>
        <v xml:space="preserve">    ---- </v>
      </c>
      <c r="H79" s="180"/>
      <c r="I79" s="417"/>
      <c r="J79" s="322"/>
      <c r="K79" s="180"/>
      <c r="L79" s="417">
        <v>19</v>
      </c>
      <c r="M79" s="322" t="str">
        <f>IF(K79=0, "    ---- ", IF(ABS(ROUND(100/K79*L79-100,1))&lt;999,ROUND(100/K79*L79-100,1),IF(ROUND(100/K79*L79-100,1)&gt;999,999,-999)))</f>
        <v xml:space="preserve">    ---- </v>
      </c>
      <c r="N79" s="180">
        <v>13114.15438</v>
      </c>
      <c r="O79" s="417">
        <v>18600.889415000001</v>
      </c>
      <c r="P79" s="322">
        <f t="shared" si="49"/>
        <v>41.8</v>
      </c>
      <c r="Q79" s="180"/>
      <c r="R79" s="417"/>
      <c r="S79" s="322"/>
      <c r="T79" s="180">
        <v>2145</v>
      </c>
      <c r="U79" s="417">
        <v>2551</v>
      </c>
      <c r="V79" s="322">
        <f t="shared" si="55"/>
        <v>18.899999999999999</v>
      </c>
      <c r="W79" s="180">
        <v>66.583988610000205</v>
      </c>
      <c r="X79" s="417">
        <v>294.91019715000044</v>
      </c>
      <c r="Y79" s="322">
        <f t="shared" si="30"/>
        <v>342.9</v>
      </c>
      <c r="Z79" s="180">
        <v>162</v>
      </c>
      <c r="AA79" s="417">
        <v>97.364101000000005</v>
      </c>
      <c r="AB79" s="322">
        <f t="shared" si="31"/>
        <v>-39.9</v>
      </c>
      <c r="AC79" s="180"/>
      <c r="AD79" s="417"/>
      <c r="AE79" s="322"/>
      <c r="AF79" s="476">
        <f t="shared" si="56"/>
        <v>15487.73836861</v>
      </c>
      <c r="AG79" s="476">
        <f t="shared" si="56"/>
        <v>21565.055111150003</v>
      </c>
      <c r="AH79" s="322">
        <f t="shared" si="24"/>
        <v>39.200000000000003</v>
      </c>
      <c r="AI79" s="476">
        <f t="shared" si="54"/>
        <v>15487.73836861</v>
      </c>
      <c r="AJ79" s="476">
        <f t="shared" si="54"/>
        <v>21565.055111150003</v>
      </c>
      <c r="AK79" s="418">
        <f t="shared" si="26"/>
        <v>39.200000000000003</v>
      </c>
    </row>
    <row r="80" spans="1:37" s="429" customFormat="1" ht="20.100000000000001" customHeight="1" x14ac:dyDescent="0.3">
      <c r="A80" s="566" t="s">
        <v>214</v>
      </c>
      <c r="B80" s="180">
        <f>SUM(B73:B79)</f>
        <v>191078.79153166001</v>
      </c>
      <c r="C80" s="417">
        <f>SUM(C73:C79)</f>
        <v>186769.92487855995</v>
      </c>
      <c r="D80" s="322">
        <f t="shared" si="22"/>
        <v>-2.2999999999999998</v>
      </c>
      <c r="E80" s="180">
        <f>SUM(E73:E79)</f>
        <v>8486.8185481399996</v>
      </c>
      <c r="F80" s="417">
        <f>SUM(F73:F79)</f>
        <v>9362.3274154699993</v>
      </c>
      <c r="G80" s="322">
        <f>IF(E80=0, "    ---- ", IF(ABS(ROUND(100/E80*F80-100,1))&lt;999,ROUND(100/E80*F80-100,1),IF(ROUND(100/E80*F80-100,1)&gt;999,999,-999)))</f>
        <v>10.3</v>
      </c>
      <c r="H80" s="180">
        <f>SUM(H73:H79)</f>
        <v>2031.0598</v>
      </c>
      <c r="I80" s="417">
        <f>SUM(I73:I79)</f>
        <v>2400.1190000000001</v>
      </c>
      <c r="J80" s="322">
        <f>IF(H80=0, "    ---- ", IF(ABS(ROUND(100/H80*I80-100,1))&lt;999,ROUND(100/H80*I80-100,1),IF(ROUND(100/H80*I80-100,1)&gt;999,999,-999)))</f>
        <v>18.2</v>
      </c>
      <c r="K80" s="180">
        <f>SUM(K73:K79)</f>
        <v>9095</v>
      </c>
      <c r="L80" s="417">
        <f>SUM(L73:L79)</f>
        <v>10149</v>
      </c>
      <c r="M80" s="414">
        <f>IF(K80=0, "    ---- ", IF(ABS(ROUND(100/K80*L80-100,1))&lt;999,ROUND(100/K80*L80-100,1),IF(ROUND(100/K80*L80-100,1)&gt;999,999,-999)))</f>
        <v>11.6</v>
      </c>
      <c r="N80" s="180">
        <f>SUM(N73:N79)</f>
        <v>665564.5105555699</v>
      </c>
      <c r="O80" s="417">
        <f>SUM(O73:O79)</f>
        <v>742435.45103683998</v>
      </c>
      <c r="P80" s="322">
        <f t="shared" si="49"/>
        <v>11.5</v>
      </c>
      <c r="Q80" s="180">
        <f>SUM(Q73:Q79)</f>
        <v>54987.610000000008</v>
      </c>
      <c r="R80" s="417">
        <f>SUM(R73:R79)</f>
        <v>54599.98</v>
      </c>
      <c r="S80" s="322">
        <f t="shared" si="28"/>
        <v>-0.7</v>
      </c>
      <c r="T80" s="180">
        <f>SUM(T73:T79)</f>
        <v>116158</v>
      </c>
      <c r="U80" s="417">
        <f>SUM(U73:U79)</f>
        <v>124284</v>
      </c>
      <c r="V80" s="322">
        <f>IF(T80=0, "    ---- ", IF(ABS(ROUND(100/T80*U80-100,1))&lt;999,ROUND(100/T80*U80-100,1),IF(ROUND(100/T80*U80-100,1)&gt;999,999,-999)))</f>
        <v>7</v>
      </c>
      <c r="W80" s="180">
        <f>SUM(W73:W79)</f>
        <v>23072.705988610003</v>
      </c>
      <c r="X80" s="417">
        <f>SUM(X73:X79)</f>
        <v>23542.100197150001</v>
      </c>
      <c r="Y80" s="322">
        <f t="shared" si="30"/>
        <v>2</v>
      </c>
      <c r="Z80" s="180">
        <f>SUM(Z73:Z79)</f>
        <v>205957</v>
      </c>
      <c r="AA80" s="417">
        <f>SUM(AA73:AA79)</f>
        <v>212113.54366616003</v>
      </c>
      <c r="AB80" s="322">
        <f t="shared" si="31"/>
        <v>3</v>
      </c>
      <c r="AC80" s="180">
        <v>9</v>
      </c>
      <c r="AD80" s="417">
        <f>SUM(AD73:AD79)</f>
        <v>93</v>
      </c>
      <c r="AE80" s="322">
        <f>IF(AC80=0, "    ---- ", IF(ABS(ROUND(100/AC80*AD80-100,1))&lt;999,ROUND(100/AC80*AD80-100,1),IF(ROUND(100/AC80*AD80-100,1)&gt;999,999,-999)))</f>
        <v>933.3</v>
      </c>
      <c r="AF80" s="476">
        <f t="shared" si="56"/>
        <v>1276431.49642398</v>
      </c>
      <c r="AG80" s="476">
        <f t="shared" si="56"/>
        <v>1365656.4461941798</v>
      </c>
      <c r="AH80" s="322">
        <f t="shared" si="24"/>
        <v>7</v>
      </c>
      <c r="AI80" s="476">
        <f t="shared" si="54"/>
        <v>1276440.49642398</v>
      </c>
      <c r="AJ80" s="476">
        <f t="shared" si="54"/>
        <v>1365749.4461941798</v>
      </c>
      <c r="AK80" s="418">
        <f t="shared" si="26"/>
        <v>7</v>
      </c>
    </row>
    <row r="81" spans="1:37" s="429" customFormat="1" ht="20.100000000000001" customHeight="1" x14ac:dyDescent="0.3">
      <c r="A81" s="530" t="s">
        <v>215</v>
      </c>
      <c r="B81" s="180"/>
      <c r="C81" s="417"/>
      <c r="D81" s="322"/>
      <c r="E81" s="180"/>
      <c r="F81" s="417"/>
      <c r="G81" s="322"/>
      <c r="H81" s="180"/>
      <c r="I81" s="417"/>
      <c r="J81" s="322"/>
      <c r="K81" s="180"/>
      <c r="L81" s="417"/>
      <c r="M81" s="414"/>
      <c r="N81" s="180"/>
      <c r="O81" s="417"/>
      <c r="P81" s="322"/>
      <c r="Q81" s="180"/>
      <c r="R81" s="417"/>
      <c r="S81" s="322"/>
      <c r="T81" s="180"/>
      <c r="U81" s="417"/>
      <c r="V81" s="322"/>
      <c r="W81" s="180"/>
      <c r="X81" s="417"/>
      <c r="Y81" s="322"/>
      <c r="Z81" s="180"/>
      <c r="AA81" s="417"/>
      <c r="AB81" s="322"/>
      <c r="AC81" s="180"/>
      <c r="AD81" s="417"/>
      <c r="AE81" s="322"/>
      <c r="AF81" s="414"/>
      <c r="AG81" s="414"/>
      <c r="AH81" s="322"/>
      <c r="AI81" s="414"/>
      <c r="AJ81" s="414"/>
      <c r="AK81" s="418"/>
    </row>
    <row r="82" spans="1:37" s="429" customFormat="1" ht="20.100000000000001" customHeight="1" x14ac:dyDescent="0.3">
      <c r="A82" s="530" t="s">
        <v>393</v>
      </c>
      <c r="B82" s="180">
        <v>145923.23292538576</v>
      </c>
      <c r="C82" s="417">
        <v>179165.22795210834</v>
      </c>
      <c r="D82" s="322">
        <f t="shared" si="22"/>
        <v>22.8</v>
      </c>
      <c r="E82" s="180"/>
      <c r="F82" s="417"/>
      <c r="G82" s="322"/>
      <c r="H82" s="180"/>
      <c r="I82" s="417"/>
      <c r="J82" s="322"/>
      <c r="K82" s="180">
        <v>51076</v>
      </c>
      <c r="L82" s="417">
        <v>65694</v>
      </c>
      <c r="M82" s="414">
        <f>IF(K82=0, "    ---- ", IF(ABS(ROUND(100/K82*L82-100,1))&lt;999,ROUND(100/K82*L82-100,1),IF(ROUND(100/K82*L82-100,1)&gt;999,999,-999)))</f>
        <v>28.6</v>
      </c>
      <c r="N82" s="180">
        <v>2002.6286780099999</v>
      </c>
      <c r="O82" s="417">
        <v>2172.7140545399998</v>
      </c>
      <c r="P82" s="322">
        <f t="shared" ref="P82:P93" si="57">IF(N82=0, "    ---- ", IF(ABS(ROUND(100/N82*O82-100,1))&lt;999,ROUND(100/N82*O82-100,1),IF(ROUND(100/N82*O82-100,1)&gt;999,999,-999)))</f>
        <v>8.5</v>
      </c>
      <c r="Q82" s="180">
        <v>126457.56</v>
      </c>
      <c r="R82" s="417">
        <v>159130.07999999999</v>
      </c>
      <c r="S82" s="322">
        <f t="shared" si="28"/>
        <v>25.8</v>
      </c>
      <c r="T82" s="180"/>
      <c r="U82" s="417"/>
      <c r="V82" s="322"/>
      <c r="W82" s="180">
        <v>58530.01</v>
      </c>
      <c r="X82" s="417">
        <v>73277.224000000002</v>
      </c>
      <c r="Y82" s="322">
        <f t="shared" si="30"/>
        <v>25.2</v>
      </c>
      <c r="Z82" s="180">
        <v>191184</v>
      </c>
      <c r="AA82" s="417">
        <v>226451.81569717979</v>
      </c>
      <c r="AB82" s="322">
        <f t="shared" si="31"/>
        <v>18.399999999999999</v>
      </c>
      <c r="AC82" s="180"/>
      <c r="AD82" s="417"/>
      <c r="AE82" s="322"/>
      <c r="AF82" s="476">
        <f t="shared" ref="AF82:AG84" si="58">B82+E82+H82+K82+N82+Q82+T82+W82+Z82</f>
        <v>575173.43160339573</v>
      </c>
      <c r="AG82" s="476">
        <f t="shared" si="58"/>
        <v>705891.06170382816</v>
      </c>
      <c r="AH82" s="322">
        <f t="shared" si="24"/>
        <v>22.7</v>
      </c>
      <c r="AI82" s="476">
        <f t="shared" ref="AI82:AJ91" si="59">B82+E82+H82+K82+N82+Q82+T82+W82+Z82+AC82</f>
        <v>575173.43160339573</v>
      </c>
      <c r="AJ82" s="476">
        <f t="shared" si="59"/>
        <v>705891.06170382816</v>
      </c>
      <c r="AK82" s="418">
        <f t="shared" si="26"/>
        <v>22.7</v>
      </c>
    </row>
    <row r="83" spans="1:37" s="429" customFormat="1" ht="20.100000000000001" customHeight="1" x14ac:dyDescent="0.3">
      <c r="A83" s="665" t="s">
        <v>394</v>
      </c>
      <c r="B83" s="180"/>
      <c r="C83" s="630"/>
      <c r="D83" s="322"/>
      <c r="E83" s="180"/>
      <c r="F83" s="630"/>
      <c r="G83" s="322"/>
      <c r="H83" s="180"/>
      <c r="I83" s="630"/>
      <c r="J83" s="322"/>
      <c r="K83" s="180"/>
      <c r="L83" s="630"/>
      <c r="M83" s="322"/>
      <c r="N83" s="180">
        <v>61.316423869999994</v>
      </c>
      <c r="O83" s="630"/>
      <c r="P83" s="322">
        <f t="shared" si="57"/>
        <v>-100</v>
      </c>
      <c r="Q83" s="180"/>
      <c r="R83" s="630"/>
      <c r="S83" s="322"/>
      <c r="T83" s="180"/>
      <c r="U83" s="630"/>
      <c r="V83" s="322"/>
      <c r="W83" s="180"/>
      <c r="X83" s="630"/>
      <c r="Y83" s="322"/>
      <c r="Z83" s="180"/>
      <c r="AA83" s="630"/>
      <c r="AB83" s="322"/>
      <c r="AC83" s="180"/>
      <c r="AD83" s="630"/>
      <c r="AE83" s="322"/>
      <c r="AF83" s="476">
        <f t="shared" si="58"/>
        <v>61.316423869999994</v>
      </c>
      <c r="AG83" s="88"/>
      <c r="AH83" s="322">
        <f t="shared" si="24"/>
        <v>-100</v>
      </c>
      <c r="AI83" s="476">
        <f t="shared" si="59"/>
        <v>61.316423869999994</v>
      </c>
      <c r="AJ83" s="88"/>
      <c r="AK83" s="418">
        <f t="shared" si="26"/>
        <v>-100</v>
      </c>
    </row>
    <row r="84" spans="1:37" s="429" customFormat="1" ht="20.100000000000001" customHeight="1" x14ac:dyDescent="0.3">
      <c r="A84" s="530" t="s">
        <v>395</v>
      </c>
      <c r="B84" s="180"/>
      <c r="C84" s="417"/>
      <c r="D84" s="322"/>
      <c r="E84" s="180"/>
      <c r="F84" s="417"/>
      <c r="G84" s="322"/>
      <c r="H84" s="180"/>
      <c r="I84" s="417"/>
      <c r="J84" s="322"/>
      <c r="K84" s="180"/>
      <c r="L84" s="417"/>
      <c r="M84" s="322"/>
      <c r="N84" s="180">
        <v>533.06540591999999</v>
      </c>
      <c r="O84" s="417">
        <v>185.05750487</v>
      </c>
      <c r="P84" s="322">
        <f t="shared" ref="P84" si="60">IF(N84=0, "    ---- ", IF(ABS(ROUND(100/N84*O84-100,1))&lt;999,ROUND(100/N84*O84-100,1),IF(ROUND(100/N84*O84-100,1)&gt;999,999,-999)))</f>
        <v>-65.3</v>
      </c>
      <c r="Q84" s="180"/>
      <c r="R84" s="417"/>
      <c r="S84" s="322"/>
      <c r="T84" s="180"/>
      <c r="U84" s="417"/>
      <c r="V84" s="322"/>
      <c r="W84" s="180"/>
      <c r="X84" s="417"/>
      <c r="Y84" s="322"/>
      <c r="Z84" s="180"/>
      <c r="AA84" s="417">
        <v>-2.7553844265639783E-9</v>
      </c>
      <c r="AB84" s="322" t="str">
        <f t="shared" si="31"/>
        <v xml:space="preserve">    ---- </v>
      </c>
      <c r="AC84" s="180"/>
      <c r="AD84" s="417"/>
      <c r="AE84" s="322"/>
      <c r="AF84" s="476">
        <f t="shared" si="58"/>
        <v>533.06540591999999</v>
      </c>
      <c r="AG84" s="476">
        <f t="shared" ref="AG84" si="61">C84+F84+I84+L84+O84+R84+U84+X84+AA84</f>
        <v>185.05750486724463</v>
      </c>
      <c r="AH84" s="322"/>
      <c r="AI84" s="476">
        <f t="shared" si="59"/>
        <v>533.06540591999999</v>
      </c>
      <c r="AJ84" s="476">
        <f t="shared" si="59"/>
        <v>185.05750486724463</v>
      </c>
      <c r="AK84" s="418"/>
    </row>
    <row r="85" spans="1:37" s="429" customFormat="1" ht="20.100000000000001" customHeight="1" x14ac:dyDescent="0.3">
      <c r="A85" s="530" t="s">
        <v>396</v>
      </c>
      <c r="B85" s="538">
        <v>536.63506726000003</v>
      </c>
      <c r="C85" s="322">
        <v>284.34297627000001</v>
      </c>
      <c r="D85" s="322">
        <f t="shared" si="22"/>
        <v>-47</v>
      </c>
      <c r="E85" s="538"/>
      <c r="F85" s="322"/>
      <c r="G85" s="322"/>
      <c r="H85" s="538"/>
      <c r="I85" s="322"/>
      <c r="J85" s="322"/>
      <c r="K85" s="538">
        <v>347</v>
      </c>
      <c r="L85" s="322">
        <v>123</v>
      </c>
      <c r="M85" s="322">
        <f>IF(K85=0, "    ---- ", IF(ABS(ROUND(100/K85*L85-100,1))&lt;999,ROUND(100/K85*L85-100,1),IF(ROUND(100/K85*L85-100,1)&gt;999,999,-999)))</f>
        <v>-64.599999999999994</v>
      </c>
      <c r="N85" s="538"/>
      <c r="O85" s="322">
        <v>493.10704992000001</v>
      </c>
      <c r="P85" s="322" t="str">
        <f t="shared" si="57"/>
        <v xml:space="preserve">    ---- </v>
      </c>
      <c r="Q85" s="538"/>
      <c r="R85" s="322"/>
      <c r="S85" s="322"/>
      <c r="T85" s="538"/>
      <c r="U85" s="322"/>
      <c r="V85" s="322"/>
      <c r="W85" s="180">
        <v>662.98299999999995</v>
      </c>
      <c r="X85" s="322">
        <v>828.47299999999996</v>
      </c>
      <c r="Y85" s="322">
        <f t="shared" si="30"/>
        <v>25</v>
      </c>
      <c r="Z85" s="538">
        <v>53</v>
      </c>
      <c r="AA85" s="322">
        <v>-2.7553844265639783E-9</v>
      </c>
      <c r="AB85" s="322">
        <f t="shared" si="31"/>
        <v>-100</v>
      </c>
      <c r="AC85" s="538"/>
      <c r="AD85" s="322"/>
      <c r="AE85" s="322"/>
      <c r="AF85" s="476">
        <f t="shared" ref="AF85:AG91" si="62">B85+E85+H85+K85+N85+Q85+T85+W85+Z85</f>
        <v>1599.6180672599999</v>
      </c>
      <c r="AG85" s="476">
        <f t="shared" si="62"/>
        <v>1728.9230261872447</v>
      </c>
      <c r="AH85" s="322">
        <f t="shared" si="24"/>
        <v>8.1</v>
      </c>
      <c r="AI85" s="476">
        <f t="shared" si="59"/>
        <v>1599.6180672599999</v>
      </c>
      <c r="AJ85" s="476">
        <f t="shared" si="59"/>
        <v>1728.9230261872447</v>
      </c>
      <c r="AK85" s="418">
        <f t="shared" si="26"/>
        <v>8.1</v>
      </c>
    </row>
    <row r="86" spans="1:37" s="429" customFormat="1" ht="20.100000000000001" customHeight="1" x14ac:dyDescent="0.3">
      <c r="A86" s="530" t="s">
        <v>213</v>
      </c>
      <c r="B86" s="180"/>
      <c r="C86" s="417"/>
      <c r="D86" s="417"/>
      <c r="E86" s="180"/>
      <c r="F86" s="417"/>
      <c r="G86" s="417"/>
      <c r="H86" s="180"/>
      <c r="I86" s="417"/>
      <c r="J86" s="417"/>
      <c r="K86" s="180"/>
      <c r="L86" s="417"/>
      <c r="M86" s="414"/>
      <c r="N86" s="180">
        <v>73.365013000000005</v>
      </c>
      <c r="O86" s="417">
        <v>98.642306000000005</v>
      </c>
      <c r="P86" s="322">
        <f t="shared" si="57"/>
        <v>34.5</v>
      </c>
      <c r="Q86" s="180"/>
      <c r="R86" s="417"/>
      <c r="S86" s="322"/>
      <c r="T86" s="180"/>
      <c r="U86" s="417"/>
      <c r="V86" s="322"/>
      <c r="W86" s="180"/>
      <c r="X86" s="417"/>
      <c r="Y86" s="322"/>
      <c r="Z86" s="180">
        <v>-11</v>
      </c>
      <c r="AA86" s="417">
        <v>-0.91214099999999998</v>
      </c>
      <c r="AB86" s="322">
        <f t="shared" si="31"/>
        <v>-91.7</v>
      </c>
      <c r="AC86" s="180"/>
      <c r="AD86" s="417"/>
      <c r="AE86" s="322"/>
      <c r="AF86" s="476">
        <f t="shared" si="62"/>
        <v>62.365013000000005</v>
      </c>
      <c r="AG86" s="476">
        <f t="shared" si="62"/>
        <v>97.730165</v>
      </c>
      <c r="AH86" s="322">
        <f t="shared" si="24"/>
        <v>56.7</v>
      </c>
      <c r="AI86" s="476">
        <f t="shared" si="59"/>
        <v>62.365013000000005</v>
      </c>
      <c r="AJ86" s="476">
        <f t="shared" si="59"/>
        <v>97.730165</v>
      </c>
      <c r="AK86" s="418">
        <f t="shared" si="26"/>
        <v>56.7</v>
      </c>
    </row>
    <row r="87" spans="1:37" s="429" customFormat="1" ht="20.100000000000001" customHeight="1" x14ac:dyDescent="0.3">
      <c r="A87" s="566" t="s">
        <v>216</v>
      </c>
      <c r="B87" s="180">
        <f>SUM(B82:B86)</f>
        <v>146459.86799264577</v>
      </c>
      <c r="C87" s="417">
        <f>SUM(C82:C86)</f>
        <v>179449.57092837835</v>
      </c>
      <c r="D87" s="417">
        <f t="shared" si="22"/>
        <v>22.5</v>
      </c>
      <c r="E87" s="180"/>
      <c r="F87" s="417"/>
      <c r="G87" s="417"/>
      <c r="H87" s="180"/>
      <c r="I87" s="417"/>
      <c r="J87" s="417"/>
      <c r="K87" s="180">
        <f>SUM(K82:K86)</f>
        <v>51423</v>
      </c>
      <c r="L87" s="417">
        <f>SUM(L82:L86)</f>
        <v>65817</v>
      </c>
      <c r="M87" s="414">
        <f>IF(K87=0, "    ---- ", IF(ABS(ROUND(100/K87*L87-100,1))&lt;999,ROUND(100/K87*L87-100,1),IF(ROUND(100/K87*L87-100,1)&gt;999,999,-999)))</f>
        <v>28</v>
      </c>
      <c r="N87" s="180">
        <f>SUM(N82:N86)</f>
        <v>2670.3755208000002</v>
      </c>
      <c r="O87" s="417">
        <f>SUM(O82:O86)</f>
        <v>2949.5209153300002</v>
      </c>
      <c r="P87" s="322">
        <f t="shared" si="57"/>
        <v>10.5</v>
      </c>
      <c r="Q87" s="180">
        <f>SUM(Q82:Q86)</f>
        <v>126457.56</v>
      </c>
      <c r="R87" s="417">
        <f>SUM(R82:R86)</f>
        <v>159130.07999999999</v>
      </c>
      <c r="S87" s="322">
        <f t="shared" si="28"/>
        <v>25.8</v>
      </c>
      <c r="T87" s="180"/>
      <c r="U87" s="417"/>
      <c r="V87" s="322"/>
      <c r="W87" s="180">
        <f>SUM(W82:W86)</f>
        <v>59192.993000000002</v>
      </c>
      <c r="X87" s="417">
        <f>SUM(X82:X86)</f>
        <v>74105.697</v>
      </c>
      <c r="Y87" s="322">
        <f t="shared" si="30"/>
        <v>25.2</v>
      </c>
      <c r="Z87" s="180">
        <f>SUM(Z82:Z86)</f>
        <v>191226</v>
      </c>
      <c r="AA87" s="417">
        <f>SUM(AA82:AA86)</f>
        <v>226450.90355617425</v>
      </c>
      <c r="AB87" s="322">
        <f t="shared" si="31"/>
        <v>18.399999999999999</v>
      </c>
      <c r="AC87" s="180"/>
      <c r="AD87" s="417"/>
      <c r="AE87" s="322"/>
      <c r="AF87" s="476">
        <f t="shared" si="62"/>
        <v>577429.79651344579</v>
      </c>
      <c r="AG87" s="476">
        <f t="shared" si="62"/>
        <v>707902.77239988255</v>
      </c>
      <c r="AH87" s="322">
        <f t="shared" si="24"/>
        <v>22.6</v>
      </c>
      <c r="AI87" s="476">
        <f t="shared" si="59"/>
        <v>577429.79651344579</v>
      </c>
      <c r="AJ87" s="476">
        <f t="shared" si="59"/>
        <v>707902.77239988255</v>
      </c>
      <c r="AK87" s="418">
        <f t="shared" si="26"/>
        <v>22.6</v>
      </c>
    </row>
    <row r="88" spans="1:37" s="429" customFormat="1" ht="20.100000000000001" customHeight="1" x14ac:dyDescent="0.3">
      <c r="A88" s="530" t="s">
        <v>217</v>
      </c>
      <c r="B88" s="180">
        <v>1175.0490857599998</v>
      </c>
      <c r="C88" s="417">
        <v>1385.26183145</v>
      </c>
      <c r="D88" s="322">
        <f t="shared" si="22"/>
        <v>17.899999999999999</v>
      </c>
      <c r="E88" s="180">
        <v>593.45315498000002</v>
      </c>
      <c r="F88" s="417">
        <v>1159.2582192499999</v>
      </c>
      <c r="G88" s="322">
        <f>IF(E88=0, "    ---- ", IF(ABS(ROUND(100/E88*F88-100,1))&lt;999,ROUND(100/E88*F88-100,1),IF(ROUND(100/E88*F88-100,1)&gt;999,999,-999)))</f>
        <v>95.3</v>
      </c>
      <c r="H88" s="180">
        <v>64.753</v>
      </c>
      <c r="I88" s="417">
        <v>69.227000000000004</v>
      </c>
      <c r="J88" s="322">
        <f>IF(H88=0, "    ---- ", IF(ABS(ROUND(100/H88*I88-100,1))&lt;999,ROUND(100/H88*I88-100,1),IF(ROUND(100/H88*I88-100,1)&gt;999,999,-999)))</f>
        <v>6.9</v>
      </c>
      <c r="K88" s="180">
        <v>29</v>
      </c>
      <c r="L88" s="417">
        <v>84</v>
      </c>
      <c r="M88" s="322">
        <f>IF(K88=0, "    ---- ", IF(ABS(ROUND(100/K88*L88-100,1))&lt;999,ROUND(100/K88*L88-100,1),IF(ROUND(100/K88*L88-100,1)&gt;999,999,-999)))</f>
        <v>189.7</v>
      </c>
      <c r="N88" s="180">
        <v>1127.2194720099999</v>
      </c>
      <c r="O88" s="417">
        <v>975.33314410000003</v>
      </c>
      <c r="P88" s="322">
        <f t="shared" si="57"/>
        <v>-13.5</v>
      </c>
      <c r="Q88" s="180">
        <v>411.18</v>
      </c>
      <c r="R88" s="417">
        <v>854.54</v>
      </c>
      <c r="S88" s="322">
        <f t="shared" si="28"/>
        <v>107.8</v>
      </c>
      <c r="T88" s="180">
        <f>480+2174</f>
        <v>2654</v>
      </c>
      <c r="U88" s="417">
        <f>580+1103</f>
        <v>1683</v>
      </c>
      <c r="V88" s="322">
        <f>IF(T88=0, "    ---- ", IF(ABS(ROUND(100/T88*U88-100,1))&lt;999,ROUND(100/T88*U88-100,1),IF(ROUND(100/T88*U88-100,1)&gt;999,999,-999)))</f>
        <v>-36.6</v>
      </c>
      <c r="W88" s="180">
        <v>344.14499999999998</v>
      </c>
      <c r="X88" s="417">
        <v>204.565</v>
      </c>
      <c r="Y88" s="322">
        <f t="shared" si="30"/>
        <v>-40.6</v>
      </c>
      <c r="Z88" s="180">
        <v>301</v>
      </c>
      <c r="AA88" s="417">
        <v>198.62623304724465</v>
      </c>
      <c r="AB88" s="322">
        <f t="shared" si="31"/>
        <v>-34</v>
      </c>
      <c r="AC88" s="180"/>
      <c r="AD88" s="417"/>
      <c r="AE88" s="322"/>
      <c r="AF88" s="476">
        <f t="shared" si="62"/>
        <v>6699.7997127500003</v>
      </c>
      <c r="AG88" s="476">
        <f t="shared" si="62"/>
        <v>6613.811427847244</v>
      </c>
      <c r="AH88" s="322">
        <f t="shared" si="24"/>
        <v>-1.3</v>
      </c>
      <c r="AI88" s="476">
        <f t="shared" si="59"/>
        <v>6699.7997127500003</v>
      </c>
      <c r="AJ88" s="476">
        <f t="shared" si="59"/>
        <v>6613.811427847244</v>
      </c>
      <c r="AK88" s="418">
        <f t="shared" si="26"/>
        <v>-1.3</v>
      </c>
    </row>
    <row r="89" spans="1:37" s="429" customFormat="1" ht="20.100000000000001" customHeight="1" x14ac:dyDescent="0.3">
      <c r="A89" s="530" t="s">
        <v>218</v>
      </c>
      <c r="B89" s="180"/>
      <c r="C89" s="417"/>
      <c r="D89" s="322"/>
      <c r="E89" s="180">
        <v>364.25668992999999</v>
      </c>
      <c r="F89" s="417">
        <v>273.25621749999999</v>
      </c>
      <c r="G89" s="322">
        <f t="shared" ref="G89:G90" si="63">IF(E89=0, "    ---- ", IF(ABS(ROUND(100/E89*F89-100,1))&lt;999,ROUND(100/E89*F89-100,1),IF(ROUND(100/E89*F89-100,1)&gt;999,999,-999)))</f>
        <v>-25</v>
      </c>
      <c r="H89" s="180"/>
      <c r="I89" s="417"/>
      <c r="J89" s="322"/>
      <c r="K89" s="180"/>
      <c r="L89" s="417"/>
      <c r="M89" s="322"/>
      <c r="N89" s="180"/>
      <c r="O89" s="417"/>
      <c r="P89" s="322"/>
      <c r="Q89" s="180"/>
      <c r="R89" s="417"/>
      <c r="S89" s="322"/>
      <c r="T89" s="180"/>
      <c r="U89" s="417"/>
      <c r="V89" s="322"/>
      <c r="W89" s="180">
        <v>8.516</v>
      </c>
      <c r="X89" s="417">
        <v>12.064</v>
      </c>
      <c r="Y89" s="322">
        <f t="shared" si="30"/>
        <v>41.7</v>
      </c>
      <c r="Z89" s="180"/>
      <c r="AA89" s="417"/>
      <c r="AB89" s="322"/>
      <c r="AC89" s="180"/>
      <c r="AD89" s="417"/>
      <c r="AE89" s="322"/>
      <c r="AF89" s="476">
        <f t="shared" si="62"/>
        <v>372.77268993000001</v>
      </c>
      <c r="AG89" s="476">
        <f t="shared" si="62"/>
        <v>285.32021750000001</v>
      </c>
      <c r="AH89" s="322">
        <f t="shared" si="24"/>
        <v>-23.5</v>
      </c>
      <c r="AI89" s="476">
        <f t="shared" si="59"/>
        <v>372.77268993000001</v>
      </c>
      <c r="AJ89" s="476">
        <f t="shared" si="59"/>
        <v>285.32021750000001</v>
      </c>
      <c r="AK89" s="418">
        <f t="shared" si="26"/>
        <v>-23.5</v>
      </c>
    </row>
    <row r="90" spans="1:37" s="429" customFormat="1" ht="20.100000000000001" customHeight="1" x14ac:dyDescent="0.3">
      <c r="A90" s="530" t="s">
        <v>219</v>
      </c>
      <c r="B90" s="180">
        <v>3841.3530000000001</v>
      </c>
      <c r="C90" s="417">
        <v>4122.0605985416369</v>
      </c>
      <c r="D90" s="417">
        <f t="shared" si="22"/>
        <v>7.3</v>
      </c>
      <c r="E90" s="180">
        <v>140.02270286000001</v>
      </c>
      <c r="F90" s="417">
        <v>98.659269340000009</v>
      </c>
      <c r="G90" s="322">
        <f t="shared" si="63"/>
        <v>-29.5</v>
      </c>
      <c r="H90" s="180"/>
      <c r="I90" s="417"/>
      <c r="J90" s="417"/>
      <c r="K90" s="180">
        <v>637</v>
      </c>
      <c r="L90" s="417">
        <v>285</v>
      </c>
      <c r="M90" s="414">
        <f>IF(K90=0, "    ---- ", IF(ABS(ROUND(100/K90*L90-100,1))&lt;999,ROUND(100/K90*L90-100,1),IF(ROUND(100/K90*L90-100,1)&gt;999,999,-999)))</f>
        <v>-55.3</v>
      </c>
      <c r="N90" s="180">
        <v>24067.81191964</v>
      </c>
      <c r="O90" s="417">
        <v>8904.635119909999</v>
      </c>
      <c r="P90" s="322">
        <f t="shared" si="57"/>
        <v>-63</v>
      </c>
      <c r="Q90" s="180">
        <v>522.45000000000005</v>
      </c>
      <c r="R90" s="417">
        <v>935.4</v>
      </c>
      <c r="S90" s="322">
        <f t="shared" si="28"/>
        <v>79</v>
      </c>
      <c r="T90" s="180">
        <v>136</v>
      </c>
      <c r="U90" s="417"/>
      <c r="V90" s="322">
        <f>IF(T90=0, "    ---- ", IF(ABS(ROUND(100/T90*U90-100,1))&lt;999,ROUND(100/T90*U90-100,1),IF(ROUND(100/T90*U90-100,1)&gt;999,999,-999)))</f>
        <v>-100</v>
      </c>
      <c r="W90" s="180">
        <v>1012.956</v>
      </c>
      <c r="X90" s="417">
        <v>1565.317</v>
      </c>
      <c r="Y90" s="322">
        <f t="shared" si="30"/>
        <v>54.5</v>
      </c>
      <c r="Z90" s="180">
        <v>40945</v>
      </c>
      <c r="AA90" s="417">
        <v>46087.68508368</v>
      </c>
      <c r="AB90" s="322">
        <f t="shared" si="31"/>
        <v>12.6</v>
      </c>
      <c r="AC90" s="180">
        <v>10</v>
      </c>
      <c r="AD90" s="417">
        <v>23</v>
      </c>
      <c r="AE90" s="322">
        <f>IF(AC90=0, "    ---- ", IF(ABS(ROUND(100/AC90*AD90-100,1))&lt;999,ROUND(100/AC90*AD90-100,1),IF(ROUND(100/AC90*AD90-100,1)&gt;999,999,-999)))</f>
        <v>130</v>
      </c>
      <c r="AF90" s="476">
        <f t="shared" si="62"/>
        <v>71302.593622500004</v>
      </c>
      <c r="AG90" s="476">
        <f t="shared" si="62"/>
        <v>61998.757071471635</v>
      </c>
      <c r="AH90" s="322">
        <f t="shared" si="24"/>
        <v>-13</v>
      </c>
      <c r="AI90" s="476">
        <f t="shared" si="59"/>
        <v>71312.593622500004</v>
      </c>
      <c r="AJ90" s="476">
        <f t="shared" si="59"/>
        <v>62021.757071471635</v>
      </c>
      <c r="AK90" s="418">
        <f t="shared" si="26"/>
        <v>-13</v>
      </c>
    </row>
    <row r="91" spans="1:37" s="429" customFormat="1" ht="20.100000000000001" customHeight="1" x14ac:dyDescent="0.3">
      <c r="A91" s="530" t="s">
        <v>220</v>
      </c>
      <c r="B91" s="180">
        <v>46.898119880000003</v>
      </c>
      <c r="C91" s="417">
        <v>39.489237639999999</v>
      </c>
      <c r="D91" s="417">
        <f t="shared" si="22"/>
        <v>-15.8</v>
      </c>
      <c r="E91" s="180"/>
      <c r="F91" s="417"/>
      <c r="G91" s="417"/>
      <c r="H91" s="180">
        <v>26.695979999999999</v>
      </c>
      <c r="I91" s="417">
        <v>39.877000000000002</v>
      </c>
      <c r="J91" s="417">
        <f>IF(H91=0, "    ---- ", IF(ABS(ROUND(100/H91*I91-100,1))&lt;999,ROUND(100/H91*I91-100,1),IF(ROUND(100/H91*I91-100,1)&gt;999,999,-999)))</f>
        <v>49.4</v>
      </c>
      <c r="K91" s="180">
        <v>28</v>
      </c>
      <c r="L91" s="417">
        <v>35</v>
      </c>
      <c r="M91" s="322">
        <f>IF(K91=0, "    ---- ", IF(ABS(ROUND(100/K91*L91-100,1))&lt;999,ROUND(100/K91*L91-100,1),IF(ROUND(100/K91*L91-100,1)&gt;999,999,-999)))</f>
        <v>25</v>
      </c>
      <c r="N91" s="180">
        <v>311.14366848999998</v>
      </c>
      <c r="O91" s="417">
        <v>248.59677909000001</v>
      </c>
      <c r="P91" s="322">
        <f t="shared" si="57"/>
        <v>-20.100000000000001</v>
      </c>
      <c r="Q91" s="180">
        <v>58.53</v>
      </c>
      <c r="R91" s="417">
        <v>62.23</v>
      </c>
      <c r="S91" s="322">
        <f t="shared" si="28"/>
        <v>6.3</v>
      </c>
      <c r="T91" s="180"/>
      <c r="U91" s="417">
        <v>385</v>
      </c>
      <c r="V91" s="322" t="str">
        <f>IF(T91=0, "    ---- ", IF(ABS(ROUND(100/T91*U91-100,1))&lt;999,ROUND(100/T91*U91-100,1),IF(ROUND(100/T91*U91-100,1)&gt;999,999,-999)))</f>
        <v xml:space="preserve">    ---- </v>
      </c>
      <c r="W91" s="180">
        <v>29.169</v>
      </c>
      <c r="X91" s="417">
        <v>30.855</v>
      </c>
      <c r="Y91" s="322">
        <f t="shared" si="30"/>
        <v>5.8</v>
      </c>
      <c r="Z91" s="180">
        <v>761</v>
      </c>
      <c r="AA91" s="417">
        <v>815.39310325999998</v>
      </c>
      <c r="AB91" s="322">
        <f t="shared" si="31"/>
        <v>7.1</v>
      </c>
      <c r="AC91" s="180"/>
      <c r="AD91" s="417">
        <v>5</v>
      </c>
      <c r="AE91" s="322" t="str">
        <f>IF(AC91=0, "    ---- ", IF(ABS(ROUND(100/AC91*AD91-100,1))&lt;999,ROUND(100/AC91*AD91-100,1),IF(ROUND(100/AC91*AD91-100,1)&gt;999,999,-999)))</f>
        <v xml:space="preserve">    ---- </v>
      </c>
      <c r="AF91" s="476">
        <f t="shared" si="62"/>
        <v>1261.43676837</v>
      </c>
      <c r="AG91" s="476">
        <f t="shared" si="62"/>
        <v>1656.4411199900001</v>
      </c>
      <c r="AH91" s="322">
        <f t="shared" si="24"/>
        <v>31.3</v>
      </c>
      <c r="AI91" s="476">
        <f t="shared" si="59"/>
        <v>1261.43676837</v>
      </c>
      <c r="AJ91" s="476">
        <f t="shared" si="59"/>
        <v>1661.4411199900001</v>
      </c>
      <c r="AK91" s="418">
        <f t="shared" si="26"/>
        <v>31.7</v>
      </c>
    </row>
    <row r="92" spans="1:37" s="429" customFormat="1" ht="20.100000000000001" customHeight="1" x14ac:dyDescent="0.3">
      <c r="A92" s="530"/>
      <c r="B92" s="180"/>
      <c r="C92" s="417"/>
      <c r="D92" s="322"/>
      <c r="E92" s="180"/>
      <c r="F92" s="417"/>
      <c r="G92" s="322"/>
      <c r="H92" s="180"/>
      <c r="I92" s="417"/>
      <c r="J92" s="322"/>
      <c r="K92" s="180"/>
      <c r="L92" s="417"/>
      <c r="M92" s="322"/>
      <c r="N92" s="180"/>
      <c r="O92" s="417"/>
      <c r="P92" s="322"/>
      <c r="Q92" s="180"/>
      <c r="R92" s="417"/>
      <c r="S92" s="322"/>
      <c r="T92" s="180"/>
      <c r="U92" s="417"/>
      <c r="V92" s="322"/>
      <c r="W92" s="180"/>
      <c r="X92" s="417"/>
      <c r="Y92" s="322"/>
      <c r="Z92" s="180"/>
      <c r="AA92" s="417"/>
      <c r="AB92" s="322"/>
      <c r="AC92" s="180"/>
      <c r="AD92" s="417"/>
      <c r="AE92" s="322"/>
      <c r="AF92" s="414"/>
      <c r="AG92" s="414"/>
      <c r="AH92" s="322"/>
      <c r="AI92" s="414"/>
      <c r="AJ92" s="414"/>
      <c r="AK92" s="418"/>
    </row>
    <row r="93" spans="1:37" s="437" customFormat="1" ht="20.100000000000001" customHeight="1" x14ac:dyDescent="0.3">
      <c r="A93" s="541" t="s">
        <v>221</v>
      </c>
      <c r="B93" s="183">
        <f>SUM(B68+B69+B71+B80+B87+B88+B89+B90+B91)</f>
        <v>374454.75241827581</v>
      </c>
      <c r="C93" s="421">
        <f>SUM(C68+C69+C71+C80+C87+C88+C89+C90+C91)</f>
        <v>403003.54333315988</v>
      </c>
      <c r="D93" s="422">
        <f t="shared" si="22"/>
        <v>7.6</v>
      </c>
      <c r="E93" s="183">
        <f>SUM(E68+E69+E71+E80+E87+E88+E89+E90+E91)</f>
        <v>12774.12860708</v>
      </c>
      <c r="F93" s="421">
        <f>SUM(F68+F69+F71+F80+F87+F88+F89+F90+F91)</f>
        <v>14111.967010869999</v>
      </c>
      <c r="G93" s="422">
        <f>IF(E93=0, "    ---- ", IF(ABS(ROUND(100/E93*F93-100,1))&lt;999,ROUND(100/E93*F93-100,1),IF(ROUND(100/E93*F93-100,1)&gt;999,999,-999)))</f>
        <v>10.5</v>
      </c>
      <c r="H93" s="183">
        <f>SUM(H68+H69+H71+H80+H87+H88+H89+H90+H91)</f>
        <v>2672.84258</v>
      </c>
      <c r="I93" s="421">
        <f>SUM(I68+I69+I71+I80+I87+I88+I89+I90+I91)</f>
        <v>3096.4749999999999</v>
      </c>
      <c r="J93" s="422">
        <f>IF(H93=0, "    ---- ", IF(ABS(ROUND(100/H93*I93-100,1))&lt;999,ROUND(100/H93*I93-100,1),IF(ROUND(100/H93*I93-100,1)&gt;999,999,-999)))</f>
        <v>15.8</v>
      </c>
      <c r="K93" s="183">
        <f>SUM(K68+K69+K71+K80+K87+K88+K89+K90+K91)</f>
        <v>62357</v>
      </c>
      <c r="L93" s="421">
        <f>SUM(L68+L69+L71+L80+L87+L88+L89+L90+L91)</f>
        <v>77527</v>
      </c>
      <c r="M93" s="422">
        <f>IF(K93=0, "    ---- ", IF(ABS(ROUND(100/K93*L93-100,1))&lt;999,ROUND(100/K93*L93-100,1),IF(ROUND(100/K93*L93-100,1)&gt;999,999,-999)))</f>
        <v>24.3</v>
      </c>
      <c r="N93" s="183">
        <f>SUM(N68+N69+N71+N80+N87+N88+N89+N90+N91)</f>
        <v>742080.77413614001</v>
      </c>
      <c r="O93" s="421">
        <f>SUM(O68+O69+O71+O80+O87+O88+O89+O90+O91)</f>
        <v>804644.60874070006</v>
      </c>
      <c r="P93" s="422">
        <f t="shared" si="57"/>
        <v>8.4</v>
      </c>
      <c r="Q93" s="183">
        <f>SUM(Q68+Q69+Q71+Q80+Q87+Q88+Q89+Q90+Q91)</f>
        <v>193820.22</v>
      </c>
      <c r="R93" s="421">
        <f>SUM(R68+R69+R71+R80+R87+R88+R89+R90+R91)</f>
        <v>227044.69999999998</v>
      </c>
      <c r="S93" s="422">
        <f t="shared" si="28"/>
        <v>17.100000000000001</v>
      </c>
      <c r="T93" s="183">
        <f>SUM(T68+T69+T71+T80+T87+T88+T89+T90+T91)</f>
        <v>132038</v>
      </c>
      <c r="U93" s="421">
        <f>SUM(U68+U69+U71+U80+U87+U88+U89+U90+U91)</f>
        <v>138882</v>
      </c>
      <c r="V93" s="422">
        <f>IF(T93=0, "    ---- ", IF(ABS(ROUND(100/T93*U93-100,1))&lt;999,ROUND(100/T93*U93-100,1),IF(ROUND(100/T93*U93-100,1)&gt;999,999,-999)))</f>
        <v>5.2</v>
      </c>
      <c r="W93" s="183">
        <f>SUM(W68+W69+W71+W80+W87+W88+W89+W90+W91)</f>
        <v>89687.524988610021</v>
      </c>
      <c r="X93" s="421">
        <f>SUM(X68+X69+X71+X80+X87+X88+X89+X90+X91)</f>
        <v>105526.26419715</v>
      </c>
      <c r="Y93" s="422">
        <f t="shared" si="30"/>
        <v>17.7</v>
      </c>
      <c r="Z93" s="183">
        <f>SUM(Z68+Z69+Z71+Z80+Z87+Z88+Z89+Z90+Z91)</f>
        <v>477036</v>
      </c>
      <c r="AA93" s="421">
        <f>SUM(AA68+AA69+AA71+AA80+AA87+AA88+AA89+AA90+AA91)</f>
        <v>523250.17191797047</v>
      </c>
      <c r="AB93" s="422">
        <f t="shared" si="31"/>
        <v>9.6999999999999993</v>
      </c>
      <c r="AC93" s="183">
        <f>SUM(AC68+AC69+AC71+AC80+AC87+AC88+AC89+AC90+AC91)</f>
        <v>15</v>
      </c>
      <c r="AD93" s="421">
        <f>SUM(AD68+AD69+AD71+AD80+AD87+AD88+AD89+AD90+AD91)</f>
        <v>107</v>
      </c>
      <c r="AE93" s="422">
        <f>IF(AC93=0, "    ---- ", IF(ABS(ROUND(100/AC93*AD93-100,1))&lt;999,ROUND(100/AC93*AD93-100,1),IF(ROUND(100/AC93*AD93-100,1)&gt;999,999,-999)))</f>
        <v>613.29999999999995</v>
      </c>
      <c r="AF93" s="612">
        <f t="shared" ref="AF93:AG93" si="64">B93+E93+H93+K93+N93+Q93+T93+W93+Z93</f>
        <v>2086921.2427301058</v>
      </c>
      <c r="AG93" s="612">
        <f t="shared" si="64"/>
        <v>2297086.7301998502</v>
      </c>
      <c r="AH93" s="422">
        <f t="shared" si="24"/>
        <v>10.1</v>
      </c>
      <c r="AI93" s="421">
        <f>B93+E93+H93+K93+N93+Q93+T93+W93+Z93+AC93</f>
        <v>2086936.2427301058</v>
      </c>
      <c r="AJ93" s="421">
        <f>C93+F93+I93+L93+O93+R93+U93+X93+AA93+AD93</f>
        <v>2297193.7301998502</v>
      </c>
      <c r="AK93" s="423">
        <f t="shared" si="26"/>
        <v>10.1</v>
      </c>
    </row>
    <row r="94" spans="1:37" ht="18.75" customHeight="1" x14ac:dyDescent="0.3">
      <c r="A94" s="427" t="s">
        <v>222</v>
      </c>
      <c r="N94" s="427"/>
      <c r="R94" s="570"/>
      <c r="S94" s="570"/>
      <c r="T94" s="570"/>
      <c r="U94" s="570"/>
      <c r="V94" s="570"/>
      <c r="W94" s="427"/>
      <c r="Z94" s="427"/>
      <c r="AC94" s="427"/>
    </row>
    <row r="95" spans="1:37" ht="18.75" customHeight="1" x14ac:dyDescent="0.3">
      <c r="A95" s="427" t="s">
        <v>223</v>
      </c>
      <c r="N95" s="427"/>
      <c r="R95" s="570"/>
      <c r="S95" s="570"/>
      <c r="T95" s="570"/>
      <c r="U95" s="570"/>
      <c r="V95" s="570"/>
      <c r="W95" s="427"/>
      <c r="Z95" s="427"/>
      <c r="AC95" s="427"/>
    </row>
    <row r="96" spans="1:37" s="430" customFormat="1" ht="18.75" customHeight="1" x14ac:dyDescent="0.3">
      <c r="A96" s="427" t="s">
        <v>224</v>
      </c>
      <c r="S96" s="571"/>
      <c r="T96" s="571"/>
      <c r="U96" s="571"/>
      <c r="V96" s="571"/>
    </row>
    <row r="97" s="430" customFormat="1" ht="18.75" x14ac:dyDescent="0.3"/>
    <row r="98" s="430" customFormat="1" ht="18.75" x14ac:dyDescent="0.3"/>
    <row r="99" s="430" customFormat="1" ht="18.75" x14ac:dyDescent="0.3"/>
    <row r="100" s="430" customFormat="1" ht="18.75" x14ac:dyDescent="0.3"/>
    <row r="101" s="430" customFormat="1" ht="18.75" x14ac:dyDescent="0.3"/>
    <row r="102" s="430" customFormat="1" ht="18.75" x14ac:dyDescent="0.3"/>
    <row r="103" s="430" customFormat="1" ht="18.75" x14ac:dyDescent="0.3"/>
    <row r="104" s="430" customFormat="1" ht="18.75" x14ac:dyDescent="0.3"/>
    <row r="105" s="430" customFormat="1" ht="18.75" x14ac:dyDescent="0.3"/>
    <row r="106" s="430" customFormat="1" ht="18.75" x14ac:dyDescent="0.3"/>
    <row r="107" s="430" customFormat="1" ht="18.75" x14ac:dyDescent="0.3"/>
    <row r="108" s="430" customFormat="1" ht="18.75" x14ac:dyDescent="0.3"/>
    <row r="109" s="430" customFormat="1" ht="18.75" x14ac:dyDescent="0.3"/>
    <row r="110" s="430" customFormat="1" ht="18.75" x14ac:dyDescent="0.3"/>
    <row r="111" s="430" customFormat="1" ht="18.75" x14ac:dyDescent="0.3"/>
    <row r="112" s="438" customFormat="1" ht="15.75" x14ac:dyDescent="0.25"/>
    <row r="113" s="438" customFormat="1" ht="15.75" x14ac:dyDescent="0.25"/>
  </sheetData>
  <mergeCells count="30">
    <mergeCell ref="AW5:AY5"/>
    <mergeCell ref="Q6:S6"/>
    <mergeCell ref="T6:V6"/>
    <mergeCell ref="W6:Y6"/>
    <mergeCell ref="Z6:AB6"/>
    <mergeCell ref="AC6:AE6"/>
    <mergeCell ref="AW6:AY6"/>
    <mergeCell ref="AI6:AK6"/>
    <mergeCell ref="AF6:AH6"/>
    <mergeCell ref="AT5:AV5"/>
    <mergeCell ref="AN6:AP6"/>
    <mergeCell ref="AQ6:AS6"/>
    <mergeCell ref="AT6:AV6"/>
    <mergeCell ref="T5:V5"/>
    <mergeCell ref="W5:Y5"/>
    <mergeCell ref="AC5:AE5"/>
    <mergeCell ref="K6:M6"/>
    <mergeCell ref="N6:P6"/>
    <mergeCell ref="H5:J5"/>
    <mergeCell ref="K5:M5"/>
    <mergeCell ref="B5:D5"/>
    <mergeCell ref="E5:G5"/>
    <mergeCell ref="B6:D6"/>
    <mergeCell ref="E6:G6"/>
    <mergeCell ref="H6:J6"/>
    <mergeCell ref="AN5:AP5"/>
    <mergeCell ref="AQ5:AS5"/>
    <mergeCell ref="Z5:AB5"/>
    <mergeCell ref="AI5:AK5"/>
    <mergeCell ref="AF5:AH5"/>
  </mergeCells>
  <conditionalFormatting sqref="AG74:AG75">
    <cfRule type="expression" dxfId="76" priority="405">
      <formula>kvartal &lt; 4</formula>
    </cfRule>
  </conditionalFormatting>
  <conditionalFormatting sqref="AJ74:AJ75">
    <cfRule type="expression" dxfId="75" priority="404">
      <formula>kvartal &lt; 4</formula>
    </cfRule>
  </conditionalFormatting>
  <conditionalFormatting sqref="AG83">
    <cfRule type="expression" dxfId="74" priority="393">
      <formula>kvartal &lt; 4</formula>
    </cfRule>
  </conditionalFormatting>
  <conditionalFormatting sqref="AJ83">
    <cfRule type="expression" dxfId="73" priority="392">
      <formula>kvartal &lt; 4</formula>
    </cfRule>
  </conditionalFormatting>
  <conditionalFormatting sqref="B35">
    <cfRule type="expression" dxfId="72" priority="147">
      <formula>#REF! ="35≠36+38"</formula>
    </cfRule>
  </conditionalFormatting>
  <conditionalFormatting sqref="B50">
    <cfRule type="expression" dxfId="71" priority="145">
      <formula>#REF! ="50≠51+53"</formula>
    </cfRule>
  </conditionalFormatting>
  <conditionalFormatting sqref="B80">
    <cfRule type="expression" dxfId="70" priority="143">
      <formula>#REF! ="80≠73+74+75+76+77+78+79"</formula>
    </cfRule>
  </conditionalFormatting>
  <conditionalFormatting sqref="B87">
    <cfRule type="expression" dxfId="69" priority="144">
      <formula>#REF! ="88≠82+83+84+85+86+87"</formula>
    </cfRule>
  </conditionalFormatting>
  <conditionalFormatting sqref="B39:C39">
    <cfRule type="expression" dxfId="68" priority="146">
      <formula>#REF! ="39≠40+41+42+43+44"</formula>
    </cfRule>
  </conditionalFormatting>
  <conditionalFormatting sqref="C74:C75">
    <cfRule type="expression" dxfId="67" priority="142">
      <formula>kvartal &lt; 4</formula>
    </cfRule>
  </conditionalFormatting>
  <conditionalFormatting sqref="C83">
    <cfRule type="expression" dxfId="66" priority="141">
      <formula>kvartal &lt; 4</formula>
    </cfRule>
  </conditionalFormatting>
  <conditionalFormatting sqref="E35">
    <cfRule type="expression" dxfId="65" priority="128">
      <formula>#REF! ="35≠36+38"</formula>
    </cfRule>
  </conditionalFormatting>
  <conditionalFormatting sqref="E80">
    <cfRule type="expression" dxfId="64" priority="127">
      <formula>#REF! ="80≠73+74+75+76+77+78+79"</formula>
    </cfRule>
  </conditionalFormatting>
  <conditionalFormatting sqref="F74:F75">
    <cfRule type="expression" dxfId="63" priority="126">
      <formula>kvartal &lt; 4</formula>
    </cfRule>
  </conditionalFormatting>
  <conditionalFormatting sqref="F83">
    <cfRule type="expression" dxfId="62" priority="125">
      <formula>kvartal &lt; 4</formula>
    </cfRule>
  </conditionalFormatting>
  <conditionalFormatting sqref="O74:O75">
    <cfRule type="expression" dxfId="61" priority="112">
      <formula>kvartal &lt; 4</formula>
    </cfRule>
  </conditionalFormatting>
  <conditionalFormatting sqref="O83">
    <cfRule type="expression" dxfId="60" priority="111">
      <formula>kvartal &lt; 4</formula>
    </cfRule>
  </conditionalFormatting>
  <conditionalFormatting sqref="K80">
    <cfRule type="expression" dxfId="59" priority="95">
      <formula>#REF! ="80≠73+74+75+76+77+78+79"</formula>
    </cfRule>
  </conditionalFormatting>
  <conditionalFormatting sqref="K87">
    <cfRule type="expression" dxfId="58" priority="96">
      <formula>#REF! ="88≠82+83+84+85+86+87"</formula>
    </cfRule>
  </conditionalFormatting>
  <conditionalFormatting sqref="K93">
    <cfRule type="expression" dxfId="57" priority="97">
      <formula>#REF! = "64≠94"</formula>
    </cfRule>
  </conditionalFormatting>
  <conditionalFormatting sqref="K93">
    <cfRule type="expression" dxfId="56" priority="98">
      <formula>#REF! = "94≠68+69+71+80+88+89+90+91+92"</formula>
    </cfRule>
  </conditionalFormatting>
  <conditionalFormatting sqref="L74:L75">
    <cfRule type="expression" dxfId="55" priority="94">
      <formula>kvartal &lt; 4</formula>
    </cfRule>
  </conditionalFormatting>
  <conditionalFormatting sqref="L83">
    <cfRule type="expression" dxfId="54" priority="93">
      <formula>kvartal &lt; 4</formula>
    </cfRule>
  </conditionalFormatting>
  <conditionalFormatting sqref="H87">
    <cfRule type="expression" dxfId="53" priority="80">
      <formula>#REF! ="88≠82+83+84+85+86+87"</formula>
    </cfRule>
  </conditionalFormatting>
  <conditionalFormatting sqref="I74:I75">
    <cfRule type="expression" dxfId="52" priority="79">
      <formula>kvartal &lt; 4</formula>
    </cfRule>
  </conditionalFormatting>
  <conditionalFormatting sqref="I83">
    <cfRule type="expression" dxfId="51" priority="78">
      <formula>kvartal &lt; 4</formula>
    </cfRule>
  </conditionalFormatting>
  <conditionalFormatting sqref="Q50">
    <cfRule type="expression" dxfId="50" priority="65">
      <formula>#REF! ="50≠51+53"</formula>
    </cfRule>
  </conditionalFormatting>
  <conditionalFormatting sqref="Q87">
    <cfRule type="expression" dxfId="49" priority="64">
      <formula>#REF! ="88≠82+83+84+85+86+87"</formula>
    </cfRule>
  </conditionalFormatting>
  <conditionalFormatting sqref="R74:R75">
    <cfRule type="expression" dxfId="48" priority="63">
      <formula>kvartal &lt; 4</formula>
    </cfRule>
  </conditionalFormatting>
  <conditionalFormatting sqref="R83">
    <cfRule type="expression" dxfId="47" priority="62">
      <formula>kvartal &lt; 4</formula>
    </cfRule>
  </conditionalFormatting>
  <conditionalFormatting sqref="W80">
    <cfRule type="expression" dxfId="46" priority="48">
      <formula>#REF! ="80≠73+74+75+76+77+78+79"</formula>
    </cfRule>
  </conditionalFormatting>
  <conditionalFormatting sqref="W87">
    <cfRule type="expression" dxfId="45" priority="49">
      <formula>#REF! ="88≠82+83+84+85+86+87"</formula>
    </cfRule>
  </conditionalFormatting>
  <conditionalFormatting sqref="X74:X75">
    <cfRule type="expression" dxfId="44" priority="47">
      <formula>kvartal &lt; 4</formula>
    </cfRule>
  </conditionalFormatting>
  <conditionalFormatting sqref="X83">
    <cfRule type="expression" dxfId="43" priority="46">
      <formula>kvartal &lt; 4</formula>
    </cfRule>
  </conditionalFormatting>
  <conditionalFormatting sqref="AA74:AA75">
    <cfRule type="expression" dxfId="42" priority="33">
      <formula>kvartal &lt; 4</formula>
    </cfRule>
  </conditionalFormatting>
  <conditionalFormatting sqref="AA83">
    <cfRule type="expression" dxfId="41" priority="32">
      <formula>kvartal &lt; 4</formula>
    </cfRule>
  </conditionalFormatting>
  <conditionalFormatting sqref="T80">
    <cfRule type="expression" dxfId="40" priority="19">
      <formula>#REF! ="80≠73+74+75+76+77+78+79"</formula>
    </cfRule>
  </conditionalFormatting>
  <conditionalFormatting sqref="U74:U75">
    <cfRule type="expression" dxfId="39" priority="18">
      <formula>kvartal &lt; 4</formula>
    </cfRule>
  </conditionalFormatting>
  <conditionalFormatting sqref="U83">
    <cfRule type="expression" dxfId="38" priority="17">
      <formula>kvartal &lt; 4</formula>
    </cfRule>
  </conditionalFormatting>
  <conditionalFormatting sqref="AC80">
    <cfRule type="expression" dxfId="37" priority="3">
      <formula>#REF! ="80≠73+74+75+76+77+78+79"</formula>
    </cfRule>
  </conditionalFormatting>
  <conditionalFormatting sqref="AC87">
    <cfRule type="expression" dxfId="36" priority="4">
      <formula>#REF! ="88≠82+83+84+85+86+87"</formula>
    </cfRule>
  </conditionalFormatting>
  <conditionalFormatting sqref="AD74:AD75">
    <cfRule type="expression" dxfId="35" priority="2">
      <formula>kvartal &lt; 4</formula>
    </cfRule>
  </conditionalFormatting>
  <conditionalFormatting sqref="AD83">
    <cfRule type="expression" dxfId="34" priority="1">
      <formula>kvartal &lt; 4</formula>
    </cfRule>
  </conditionalFormatting>
  <conditionalFormatting sqref="AF93:AG93 L93 Q93:R93">
    <cfRule type="expression" dxfId="33" priority="554">
      <formula>#REF! = "64≠94"</formula>
    </cfRule>
  </conditionalFormatting>
  <conditionalFormatting sqref="AF93:AG93 L93 Q93:R93">
    <cfRule type="expression" dxfId="32" priority="555">
      <formula>#REF! = "94≠68+69+71+80+88+89+90+91+92"</formula>
    </cfRule>
  </conditionalFormatting>
  <conditionalFormatting sqref="B45:C45 E45:F45 N45:O45 K45:L45 H45:I45 Q45:R45 W45:X45 Z45:AA45 T45:U45 AC45:AD45">
    <cfRule type="expression" dxfId="31" priority="556">
      <formula>#REF! ="45≠33+34+35+39"</formula>
    </cfRule>
  </conditionalFormatting>
  <conditionalFormatting sqref="B54:C54 E54:F54 N54:O54 K54:L54 H54:I54 Q54:R54 W54:X54 Z54:AA54 T54:U54 AC54:AD54">
    <cfRule type="expression" dxfId="30" priority="557">
      <formula>#REF! ="54≠55+56+57+58+59"</formula>
    </cfRule>
  </conditionalFormatting>
  <conditionalFormatting sqref="B60:C60 E60:F60 N60:O60 K60:L60 H60:I60 Q60:R60 W60:X60 Z60:AA60 T60:U60 AC60:AD60">
    <cfRule type="expression" dxfId="29" priority="558">
      <formula>#REF! ="60≠48+49+50+54"</formula>
    </cfRule>
  </conditionalFormatting>
  <conditionalFormatting sqref="B62:C62 E62:F62 N62:O62 K62:L62 H62:I62 Q62:R62 W62:X62 Z62:AA62 T62:U62 AC62:AD62">
    <cfRule type="expression" dxfId="28" priority="559">
      <formula>#REF! ="62≠45+46+60+61"</formula>
    </cfRule>
  </conditionalFormatting>
  <conditionalFormatting sqref="B64:C64 E64:F64 N64:O64 K64:L64 H64:I64 Q64:R64 W64:X64 Z64:AA64 T64:U64 AC64:AD64">
    <cfRule type="expression" dxfId="27" priority="560">
      <formula>#REF! ="64≠29+62"</formula>
    </cfRule>
  </conditionalFormatting>
  <conditionalFormatting sqref="B93:C93 E93:F93 N93:O93 H93:I93 W93:X93 Z93:AA93 T93:U93 AC93:AD93">
    <cfRule type="expression" dxfId="26" priority="561">
      <formula>#REF! = "94≠68+69+71+80+88+89+90+91+92"</formula>
    </cfRule>
    <cfRule type="expression" dxfId="25" priority="562">
      <formula>#REF! = "64≠94"</formula>
    </cfRule>
  </conditionalFormatting>
  <conditionalFormatting sqref="C35 F35 N35:O35 K35:L35 H35:I35 Q35:R35 W35:X35 Z35:AA35 T35:U35 AC35:AD35">
    <cfRule type="expression" dxfId="24" priority="563">
      <formula>#REF! ="35≠36+38"</formula>
    </cfRule>
  </conditionalFormatting>
  <conditionalFormatting sqref="C50 E50:F50 N50:O50 K50:L50 H50:I50 R50 W50:X50 Z50:AA50 T50:U50 AC50:AD50">
    <cfRule type="expression" dxfId="23" priority="564">
      <formula>#REF! ="50≠51+53"</formula>
    </cfRule>
  </conditionalFormatting>
  <conditionalFormatting sqref="C80 F80 N80:O80 L80 H80:I80 Q80:R80 X80 Z80:AA80 U80 AD80">
    <cfRule type="expression" dxfId="22" priority="565">
      <formula>#REF! ="80≠73+74+75+76+77+78+79"</formula>
    </cfRule>
  </conditionalFormatting>
  <conditionalFormatting sqref="C87 E87:F87 N87:O87 L87 I87 R87 X87 Z87:AA87 T87:U87 AD87">
    <cfRule type="expression" dxfId="21" priority="566">
      <formula>#REF! ="88≠82+83+84+85+86+87"</formula>
    </cfRule>
  </conditionalFormatting>
  <conditionalFormatting sqref="E39:F39 N39:O39 K39:L39 H39:I39 Q39:R39 W39:X39 Z39:AA39 T39:U39 AC39:AD39">
    <cfRule type="expression" dxfId="20" priority="567">
      <formula>#REF! ="39≠40+41+42+43+44"</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AP20"/>
  <sheetViews>
    <sheetView showGridLines="0" zoomScale="70" zoomScaleNormal="70" workbookViewId="0">
      <pane xSplit="1" ySplit="8" topLeftCell="B9" activePane="bottomRight" state="frozen"/>
      <selection pane="topRight" activeCell="B1" sqref="B1"/>
      <selection pane="bottomLeft" activeCell="A9" sqref="A9"/>
      <selection pane="bottomRight" activeCell="A32" sqref="A32"/>
    </sheetView>
  </sheetViews>
  <sheetFormatPr baseColWidth="10" defaultColWidth="11.42578125" defaultRowHeight="12.75" x14ac:dyDescent="0.2"/>
  <cols>
    <col min="1" max="1" width="62" style="478" customWidth="1"/>
    <col min="2" max="31" width="11.7109375" style="478" customWidth="1"/>
    <col min="32" max="244" width="11.42578125" style="478"/>
    <col min="245" max="245" width="62" style="478" customWidth="1"/>
    <col min="246" max="281" width="11.7109375" style="478" customWidth="1"/>
    <col min="282" max="500" width="11.42578125" style="478"/>
    <col min="501" max="501" width="62" style="478" customWidth="1"/>
    <col min="502" max="537" width="11.7109375" style="478" customWidth="1"/>
    <col min="538" max="756" width="11.42578125" style="478"/>
    <col min="757" max="757" width="62" style="478" customWidth="1"/>
    <col min="758" max="793" width="11.7109375" style="478" customWidth="1"/>
    <col min="794" max="1012" width="11.42578125" style="478"/>
    <col min="1013" max="1013" width="62" style="478" customWidth="1"/>
    <col min="1014" max="1049" width="11.7109375" style="478" customWidth="1"/>
    <col min="1050" max="1268" width="11.42578125" style="478"/>
    <col min="1269" max="1269" width="62" style="478" customWidth="1"/>
    <col min="1270" max="1305" width="11.7109375" style="478" customWidth="1"/>
    <col min="1306" max="1524" width="11.42578125" style="478"/>
    <col min="1525" max="1525" width="62" style="478" customWidth="1"/>
    <col min="1526" max="1561" width="11.7109375" style="478" customWidth="1"/>
    <col min="1562" max="1780" width="11.42578125" style="478"/>
    <col min="1781" max="1781" width="62" style="478" customWidth="1"/>
    <col min="1782" max="1817" width="11.7109375" style="478" customWidth="1"/>
    <col min="1818" max="2036" width="11.42578125" style="478"/>
    <col min="2037" max="2037" width="62" style="478" customWidth="1"/>
    <col min="2038" max="2073" width="11.7109375" style="478" customWidth="1"/>
    <col min="2074" max="2292" width="11.42578125" style="478"/>
    <col min="2293" max="2293" width="62" style="478" customWidth="1"/>
    <col min="2294" max="2329" width="11.7109375" style="478" customWidth="1"/>
    <col min="2330" max="2548" width="11.42578125" style="478"/>
    <col min="2549" max="2549" width="62" style="478" customWidth="1"/>
    <col min="2550" max="2585" width="11.7109375" style="478" customWidth="1"/>
    <col min="2586" max="2804" width="11.42578125" style="478"/>
    <col min="2805" max="2805" width="62" style="478" customWidth="1"/>
    <col min="2806" max="2841" width="11.7109375" style="478" customWidth="1"/>
    <col min="2842" max="3060" width="11.42578125" style="478"/>
    <col min="3061" max="3061" width="62" style="478" customWidth="1"/>
    <col min="3062" max="3097" width="11.7109375" style="478" customWidth="1"/>
    <col min="3098" max="3316" width="11.42578125" style="478"/>
    <col min="3317" max="3317" width="62" style="478" customWidth="1"/>
    <col min="3318" max="3353" width="11.7109375" style="478" customWidth="1"/>
    <col min="3354" max="3572" width="11.42578125" style="478"/>
    <col min="3573" max="3573" width="62" style="478" customWidth="1"/>
    <col min="3574" max="3609" width="11.7109375" style="478" customWidth="1"/>
    <col min="3610" max="3828" width="11.42578125" style="478"/>
    <col min="3829" max="3829" width="62" style="478" customWidth="1"/>
    <col min="3830" max="3865" width="11.7109375" style="478" customWidth="1"/>
    <col min="3866" max="4084" width="11.42578125" style="478"/>
    <col min="4085" max="4085" width="62" style="478" customWidth="1"/>
    <col min="4086" max="4121" width="11.7109375" style="478" customWidth="1"/>
    <col min="4122" max="4340" width="11.42578125" style="478"/>
    <col min="4341" max="4341" width="62" style="478" customWidth="1"/>
    <col min="4342" max="4377" width="11.7109375" style="478" customWidth="1"/>
    <col min="4378" max="4596" width="11.42578125" style="478"/>
    <col min="4597" max="4597" width="62" style="478" customWidth="1"/>
    <col min="4598" max="4633" width="11.7109375" style="478" customWidth="1"/>
    <col min="4634" max="4852" width="11.42578125" style="478"/>
    <col min="4853" max="4853" width="62" style="478" customWidth="1"/>
    <col min="4854" max="4889" width="11.7109375" style="478" customWidth="1"/>
    <col min="4890" max="5108" width="11.42578125" style="478"/>
    <col min="5109" max="5109" width="62" style="478" customWidth="1"/>
    <col min="5110" max="5145" width="11.7109375" style="478" customWidth="1"/>
    <col min="5146" max="5364" width="11.42578125" style="478"/>
    <col min="5365" max="5365" width="62" style="478" customWidth="1"/>
    <col min="5366" max="5401" width="11.7109375" style="478" customWidth="1"/>
    <col min="5402" max="5620" width="11.42578125" style="478"/>
    <col min="5621" max="5621" width="62" style="478" customWidth="1"/>
    <col min="5622" max="5657" width="11.7109375" style="478" customWidth="1"/>
    <col min="5658" max="5876" width="11.42578125" style="478"/>
    <col min="5877" max="5877" width="62" style="478" customWidth="1"/>
    <col min="5878" max="5913" width="11.7109375" style="478" customWidth="1"/>
    <col min="5914" max="6132" width="11.42578125" style="478"/>
    <col min="6133" max="6133" width="62" style="478" customWidth="1"/>
    <col min="6134" max="6169" width="11.7109375" style="478" customWidth="1"/>
    <col min="6170" max="6388" width="11.42578125" style="478"/>
    <col min="6389" max="6389" width="62" style="478" customWidth="1"/>
    <col min="6390" max="6425" width="11.7109375" style="478" customWidth="1"/>
    <col min="6426" max="6644" width="11.42578125" style="478"/>
    <col min="6645" max="6645" width="62" style="478" customWidth="1"/>
    <col min="6646" max="6681" width="11.7109375" style="478" customWidth="1"/>
    <col min="6682" max="6900" width="11.42578125" style="478"/>
    <col min="6901" max="6901" width="62" style="478" customWidth="1"/>
    <col min="6902" max="6937" width="11.7109375" style="478" customWidth="1"/>
    <col min="6938" max="7156" width="11.42578125" style="478"/>
    <col min="7157" max="7157" width="62" style="478" customWidth="1"/>
    <col min="7158" max="7193" width="11.7109375" style="478" customWidth="1"/>
    <col min="7194" max="7412" width="11.42578125" style="478"/>
    <col min="7413" max="7413" width="62" style="478" customWidth="1"/>
    <col min="7414" max="7449" width="11.7109375" style="478" customWidth="1"/>
    <col min="7450" max="7668" width="11.42578125" style="478"/>
    <col min="7669" max="7669" width="62" style="478" customWidth="1"/>
    <col min="7670" max="7705" width="11.7109375" style="478" customWidth="1"/>
    <col min="7706" max="7924" width="11.42578125" style="478"/>
    <col min="7925" max="7925" width="62" style="478" customWidth="1"/>
    <col min="7926" max="7961" width="11.7109375" style="478" customWidth="1"/>
    <col min="7962" max="8180" width="11.42578125" style="478"/>
    <col min="8181" max="8181" width="62" style="478" customWidth="1"/>
    <col min="8182" max="8217" width="11.7109375" style="478" customWidth="1"/>
    <col min="8218" max="8436" width="11.42578125" style="478"/>
    <col min="8437" max="8437" width="62" style="478" customWidth="1"/>
    <col min="8438" max="8473" width="11.7109375" style="478" customWidth="1"/>
    <col min="8474" max="8692" width="11.42578125" style="478"/>
    <col min="8693" max="8693" width="62" style="478" customWidth="1"/>
    <col min="8694" max="8729" width="11.7109375" style="478" customWidth="1"/>
    <col min="8730" max="8948" width="11.42578125" style="478"/>
    <col min="8949" max="8949" width="62" style="478" customWidth="1"/>
    <col min="8950" max="8985" width="11.7109375" style="478" customWidth="1"/>
    <col min="8986" max="9204" width="11.42578125" style="478"/>
    <col min="9205" max="9205" width="62" style="478" customWidth="1"/>
    <col min="9206" max="9241" width="11.7109375" style="478" customWidth="1"/>
    <col min="9242" max="9460" width="11.42578125" style="478"/>
    <col min="9461" max="9461" width="62" style="478" customWidth="1"/>
    <col min="9462" max="9497" width="11.7109375" style="478" customWidth="1"/>
    <col min="9498" max="9716" width="11.42578125" style="478"/>
    <col min="9717" max="9717" width="62" style="478" customWidth="1"/>
    <col min="9718" max="9753" width="11.7109375" style="478" customWidth="1"/>
    <col min="9754" max="9972" width="11.42578125" style="478"/>
    <col min="9973" max="9973" width="62" style="478" customWidth="1"/>
    <col min="9974" max="10009" width="11.7109375" style="478" customWidth="1"/>
    <col min="10010" max="10228" width="11.42578125" style="478"/>
    <col min="10229" max="10229" width="62" style="478" customWidth="1"/>
    <col min="10230" max="10265" width="11.7109375" style="478" customWidth="1"/>
    <col min="10266" max="10484" width="11.42578125" style="478"/>
    <col min="10485" max="10485" width="62" style="478" customWidth="1"/>
    <col min="10486" max="10521" width="11.7109375" style="478" customWidth="1"/>
    <col min="10522" max="10740" width="11.42578125" style="478"/>
    <col min="10741" max="10741" width="62" style="478" customWidth="1"/>
    <col min="10742" max="10777" width="11.7109375" style="478" customWidth="1"/>
    <col min="10778" max="10996" width="11.42578125" style="478"/>
    <col min="10997" max="10997" width="62" style="478" customWidth="1"/>
    <col min="10998" max="11033" width="11.7109375" style="478" customWidth="1"/>
    <col min="11034" max="11252" width="11.42578125" style="478"/>
    <col min="11253" max="11253" width="62" style="478" customWidth="1"/>
    <col min="11254" max="11289" width="11.7109375" style="478" customWidth="1"/>
    <col min="11290" max="11508" width="11.42578125" style="478"/>
    <col min="11509" max="11509" width="62" style="478" customWidth="1"/>
    <col min="11510" max="11545" width="11.7109375" style="478" customWidth="1"/>
    <col min="11546" max="11764" width="11.42578125" style="478"/>
    <col min="11765" max="11765" width="62" style="478" customWidth="1"/>
    <col min="11766" max="11801" width="11.7109375" style="478" customWidth="1"/>
    <col min="11802" max="12020" width="11.42578125" style="478"/>
    <col min="12021" max="12021" width="62" style="478" customWidth="1"/>
    <col min="12022" max="12057" width="11.7109375" style="478" customWidth="1"/>
    <col min="12058" max="12276" width="11.42578125" style="478"/>
    <col min="12277" max="12277" width="62" style="478" customWidth="1"/>
    <col min="12278" max="12313" width="11.7109375" style="478" customWidth="1"/>
    <col min="12314" max="12532" width="11.42578125" style="478"/>
    <col min="12533" max="12533" width="62" style="478" customWidth="1"/>
    <col min="12534" max="12569" width="11.7109375" style="478" customWidth="1"/>
    <col min="12570" max="12788" width="11.42578125" style="478"/>
    <col min="12789" max="12789" width="62" style="478" customWidth="1"/>
    <col min="12790" max="12825" width="11.7109375" style="478" customWidth="1"/>
    <col min="12826" max="13044" width="11.42578125" style="478"/>
    <col min="13045" max="13045" width="62" style="478" customWidth="1"/>
    <col min="13046" max="13081" width="11.7109375" style="478" customWidth="1"/>
    <col min="13082" max="13300" width="11.42578125" style="478"/>
    <col min="13301" max="13301" width="62" style="478" customWidth="1"/>
    <col min="13302" max="13337" width="11.7109375" style="478" customWidth="1"/>
    <col min="13338" max="13556" width="11.42578125" style="478"/>
    <col min="13557" max="13557" width="62" style="478" customWidth="1"/>
    <col min="13558" max="13593" width="11.7109375" style="478" customWidth="1"/>
    <col min="13594" max="13812" width="11.42578125" style="478"/>
    <col min="13813" max="13813" width="62" style="478" customWidth="1"/>
    <col min="13814" max="13849" width="11.7109375" style="478" customWidth="1"/>
    <col min="13850" max="14068" width="11.42578125" style="478"/>
    <col min="14069" max="14069" width="62" style="478" customWidth="1"/>
    <col min="14070" max="14105" width="11.7109375" style="478" customWidth="1"/>
    <col min="14106" max="14324" width="11.42578125" style="478"/>
    <col min="14325" max="14325" width="62" style="478" customWidth="1"/>
    <col min="14326" max="14361" width="11.7109375" style="478" customWidth="1"/>
    <col min="14362" max="14580" width="11.42578125" style="478"/>
    <col min="14581" max="14581" width="62" style="478" customWidth="1"/>
    <col min="14582" max="14617" width="11.7109375" style="478" customWidth="1"/>
    <col min="14618" max="14836" width="11.42578125" style="478"/>
    <col min="14837" max="14837" width="62" style="478" customWidth="1"/>
    <col min="14838" max="14873" width="11.7109375" style="478" customWidth="1"/>
    <col min="14874" max="15092" width="11.42578125" style="478"/>
    <col min="15093" max="15093" width="62" style="478" customWidth="1"/>
    <col min="15094" max="15129" width="11.7109375" style="478" customWidth="1"/>
    <col min="15130" max="15348" width="11.42578125" style="478"/>
    <col min="15349" max="15349" width="62" style="478" customWidth="1"/>
    <col min="15350" max="15385" width="11.7109375" style="478" customWidth="1"/>
    <col min="15386" max="15604" width="11.42578125" style="478"/>
    <col min="15605" max="15605" width="62" style="478" customWidth="1"/>
    <col min="15606" max="15641" width="11.7109375" style="478" customWidth="1"/>
    <col min="15642" max="15860" width="11.42578125" style="478"/>
    <col min="15861" max="15861" width="62" style="478" customWidth="1"/>
    <col min="15862" max="15897" width="11.7109375" style="478" customWidth="1"/>
    <col min="15898" max="16116" width="11.42578125" style="478"/>
    <col min="16117" max="16117" width="62" style="478" customWidth="1"/>
    <col min="16118" max="16153" width="11.7109375" style="478" customWidth="1"/>
    <col min="16154" max="16384" width="11.42578125" style="478"/>
  </cols>
  <sheetData>
    <row r="1" spans="1:42" ht="20.25" x14ac:dyDescent="0.3">
      <c r="A1" s="477" t="s">
        <v>152</v>
      </c>
    </row>
    <row r="2" spans="1:42" ht="20.25" x14ac:dyDescent="0.3">
      <c r="A2" s="477" t="s">
        <v>239</v>
      </c>
    </row>
    <row r="3" spans="1:42" ht="18.75" x14ac:dyDescent="0.3">
      <c r="A3" s="479" t="s">
        <v>296</v>
      </c>
    </row>
    <row r="4" spans="1:42" ht="18.75" x14ac:dyDescent="0.3">
      <c r="A4" s="480" t="s">
        <v>398</v>
      </c>
      <c r="B4" s="481"/>
      <c r="C4" s="482"/>
      <c r="D4" s="483"/>
      <c r="E4" s="482"/>
      <c r="F4" s="482"/>
      <c r="G4" s="483"/>
      <c r="H4" s="482"/>
      <c r="I4" s="482"/>
      <c r="J4" s="483"/>
      <c r="K4" s="481"/>
      <c r="L4" s="482"/>
      <c r="M4" s="483"/>
      <c r="N4" s="481"/>
      <c r="O4" s="482"/>
      <c r="P4" s="483"/>
      <c r="Q4" s="481"/>
      <c r="R4" s="482"/>
      <c r="S4" s="483"/>
      <c r="T4" s="481"/>
      <c r="U4" s="482"/>
      <c r="V4" s="483"/>
      <c r="W4" s="481"/>
      <c r="X4" s="482"/>
      <c r="Y4" s="483"/>
      <c r="Z4" s="481"/>
      <c r="AA4" s="482"/>
      <c r="AB4" s="483"/>
      <c r="AC4" s="481"/>
      <c r="AD4" s="484"/>
      <c r="AE4" s="483"/>
      <c r="AF4" s="485"/>
      <c r="AG4" s="485"/>
      <c r="AH4" s="485"/>
      <c r="AI4" s="485"/>
      <c r="AJ4" s="485"/>
      <c r="AK4" s="485"/>
      <c r="AL4" s="485"/>
      <c r="AM4" s="485"/>
      <c r="AN4" s="485"/>
      <c r="AO4" s="485"/>
      <c r="AP4" s="485"/>
    </row>
    <row r="5" spans="1:42" ht="18.75" x14ac:dyDescent="0.3">
      <c r="A5" s="486"/>
      <c r="B5" s="725" t="s">
        <v>155</v>
      </c>
      <c r="C5" s="726"/>
      <c r="D5" s="727"/>
      <c r="E5" s="652"/>
      <c r="F5" s="652"/>
      <c r="G5" s="653"/>
      <c r="H5" s="725" t="s">
        <v>156</v>
      </c>
      <c r="I5" s="726"/>
      <c r="J5" s="727"/>
      <c r="K5" s="725" t="s">
        <v>157</v>
      </c>
      <c r="L5" s="726"/>
      <c r="M5" s="727"/>
      <c r="N5" s="651" t="s">
        <v>158</v>
      </c>
      <c r="O5" s="652"/>
      <c r="P5" s="653"/>
      <c r="Q5" s="637"/>
      <c r="R5" s="638"/>
      <c r="S5" s="639"/>
      <c r="T5" s="725" t="s">
        <v>159</v>
      </c>
      <c r="U5" s="726"/>
      <c r="V5" s="727"/>
      <c r="W5" s="725" t="s">
        <v>65</v>
      </c>
      <c r="X5" s="726"/>
      <c r="Y5" s="727"/>
      <c r="Z5" s="725" t="s">
        <v>68</v>
      </c>
      <c r="AA5" s="726"/>
      <c r="AB5" s="727"/>
      <c r="AC5" s="735" t="s">
        <v>256</v>
      </c>
      <c r="AD5" s="736"/>
      <c r="AE5" s="737"/>
      <c r="AF5" s="588"/>
      <c r="AG5" s="588"/>
      <c r="AH5" s="731"/>
      <c r="AI5" s="731"/>
      <c r="AJ5" s="731"/>
      <c r="AK5" s="731"/>
      <c r="AL5" s="731"/>
      <c r="AM5" s="731"/>
      <c r="AN5" s="731"/>
      <c r="AO5" s="731"/>
      <c r="AP5" s="731"/>
    </row>
    <row r="6" spans="1:42" ht="18.75" x14ac:dyDescent="0.3">
      <c r="A6" s="487"/>
      <c r="B6" s="728" t="s">
        <v>161</v>
      </c>
      <c r="C6" s="729"/>
      <c r="D6" s="730"/>
      <c r="E6" s="728" t="s">
        <v>352</v>
      </c>
      <c r="F6" s="729"/>
      <c r="G6" s="730"/>
      <c r="H6" s="728" t="s">
        <v>161</v>
      </c>
      <c r="I6" s="729"/>
      <c r="J6" s="730"/>
      <c r="K6" s="728" t="s">
        <v>162</v>
      </c>
      <c r="L6" s="729"/>
      <c r="M6" s="730"/>
      <c r="N6" s="728" t="s">
        <v>61</v>
      </c>
      <c r="O6" s="729"/>
      <c r="P6" s="730"/>
      <c r="Q6" s="728" t="s">
        <v>63</v>
      </c>
      <c r="R6" s="729"/>
      <c r="S6" s="730"/>
      <c r="T6" s="728" t="s">
        <v>160</v>
      </c>
      <c r="U6" s="729"/>
      <c r="V6" s="730"/>
      <c r="W6" s="728" t="s">
        <v>367</v>
      </c>
      <c r="X6" s="729"/>
      <c r="Y6" s="730"/>
      <c r="Z6" s="728" t="s">
        <v>161</v>
      </c>
      <c r="AA6" s="729"/>
      <c r="AB6" s="730"/>
      <c r="AC6" s="732" t="s">
        <v>257</v>
      </c>
      <c r="AD6" s="733"/>
      <c r="AE6" s="734"/>
      <c r="AF6" s="588"/>
      <c r="AG6" s="588"/>
      <c r="AH6" s="731"/>
      <c r="AI6" s="731"/>
      <c r="AJ6" s="731"/>
      <c r="AK6" s="731"/>
      <c r="AL6" s="731"/>
      <c r="AM6" s="731"/>
      <c r="AN6" s="731"/>
      <c r="AO6" s="731"/>
      <c r="AP6" s="731"/>
    </row>
    <row r="7" spans="1:42" ht="18.75" x14ac:dyDescent="0.3">
      <c r="A7" s="487"/>
      <c r="B7" s="488"/>
      <c r="C7" s="488"/>
      <c r="D7" s="489" t="s">
        <v>76</v>
      </c>
      <c r="E7" s="488"/>
      <c r="F7" s="488"/>
      <c r="G7" s="489" t="s">
        <v>76</v>
      </c>
      <c r="H7" s="488"/>
      <c r="I7" s="488"/>
      <c r="J7" s="489" t="s">
        <v>76</v>
      </c>
      <c r="K7" s="488"/>
      <c r="L7" s="488"/>
      <c r="M7" s="489" t="s">
        <v>76</v>
      </c>
      <c r="N7" s="488"/>
      <c r="O7" s="488"/>
      <c r="P7" s="489" t="s">
        <v>76</v>
      </c>
      <c r="Q7" s="488"/>
      <c r="R7" s="488"/>
      <c r="S7" s="489" t="s">
        <v>76</v>
      </c>
      <c r="T7" s="488"/>
      <c r="U7" s="488"/>
      <c r="V7" s="489" t="s">
        <v>76</v>
      </c>
      <c r="W7" s="488"/>
      <c r="X7" s="488"/>
      <c r="Y7" s="489" t="s">
        <v>76</v>
      </c>
      <c r="Z7" s="488"/>
      <c r="AA7" s="488"/>
      <c r="AB7" s="489" t="s">
        <v>76</v>
      </c>
      <c r="AC7" s="488"/>
      <c r="AD7" s="488"/>
      <c r="AE7" s="489" t="s">
        <v>76</v>
      </c>
      <c r="AF7" s="588"/>
      <c r="AG7" s="588"/>
      <c r="AH7" s="588"/>
      <c r="AI7" s="588"/>
      <c r="AJ7" s="588"/>
      <c r="AK7" s="588"/>
      <c r="AL7" s="588"/>
      <c r="AM7" s="588"/>
      <c r="AN7" s="588"/>
      <c r="AO7" s="588"/>
      <c r="AP7" s="588"/>
    </row>
    <row r="8" spans="1:42" ht="15.75" x14ac:dyDescent="0.25">
      <c r="A8" s="490" t="s">
        <v>259</v>
      </c>
      <c r="B8" s="491">
        <v>2023</v>
      </c>
      <c r="C8" s="491">
        <v>2024</v>
      </c>
      <c r="D8" s="492" t="s">
        <v>78</v>
      </c>
      <c r="E8" s="491">
        <f>$B$8</f>
        <v>2023</v>
      </c>
      <c r="F8" s="491">
        <f>$C$8</f>
        <v>2024</v>
      </c>
      <c r="G8" s="492" t="s">
        <v>78</v>
      </c>
      <c r="H8" s="491">
        <f>$B$8</f>
        <v>2023</v>
      </c>
      <c r="I8" s="491">
        <f>$C$8</f>
        <v>2024</v>
      </c>
      <c r="J8" s="492" t="s">
        <v>78</v>
      </c>
      <c r="K8" s="491">
        <f>$B$8</f>
        <v>2023</v>
      </c>
      <c r="L8" s="491">
        <f>$C$8</f>
        <v>2024</v>
      </c>
      <c r="M8" s="492" t="s">
        <v>78</v>
      </c>
      <c r="N8" s="491">
        <f>$B$8</f>
        <v>2023</v>
      </c>
      <c r="O8" s="491">
        <f>$C$8</f>
        <v>2024</v>
      </c>
      <c r="P8" s="492" t="s">
        <v>78</v>
      </c>
      <c r="Q8" s="491">
        <f>$B$8</f>
        <v>2023</v>
      </c>
      <c r="R8" s="491">
        <f>$C$8</f>
        <v>2024</v>
      </c>
      <c r="S8" s="492" t="s">
        <v>78</v>
      </c>
      <c r="T8" s="491">
        <f>$B$8</f>
        <v>2023</v>
      </c>
      <c r="U8" s="491">
        <f>$C$8</f>
        <v>2024</v>
      </c>
      <c r="V8" s="492" t="s">
        <v>78</v>
      </c>
      <c r="W8" s="491">
        <f>$B$8</f>
        <v>2023</v>
      </c>
      <c r="X8" s="491">
        <f>$C$8</f>
        <v>2024</v>
      </c>
      <c r="Y8" s="492" t="s">
        <v>78</v>
      </c>
      <c r="Z8" s="491">
        <f>$B$8</f>
        <v>2023</v>
      </c>
      <c r="AA8" s="491">
        <f>$C$8</f>
        <v>2024</v>
      </c>
      <c r="AB8" s="492" t="s">
        <v>78</v>
      </c>
      <c r="AC8" s="491">
        <f>$B$8</f>
        <v>2023</v>
      </c>
      <c r="AD8" s="491">
        <f>$C$8</f>
        <v>2024</v>
      </c>
      <c r="AE8" s="492" t="s">
        <v>78</v>
      </c>
      <c r="AF8" s="494"/>
      <c r="AG8" s="493"/>
      <c r="AH8" s="494"/>
      <c r="AI8" s="494"/>
      <c r="AJ8" s="493"/>
      <c r="AK8" s="494"/>
      <c r="AL8" s="494"/>
      <c r="AM8" s="493"/>
      <c r="AN8" s="494"/>
      <c r="AO8" s="494"/>
      <c r="AP8" s="493"/>
    </row>
    <row r="9" spans="1:42" s="465" customFormat="1" ht="18.75" x14ac:dyDescent="0.3">
      <c r="A9" s="495"/>
      <c r="B9" s="497"/>
      <c r="C9" s="504"/>
      <c r="D9" s="504"/>
      <c r="E9" s="497"/>
      <c r="F9" s="504"/>
      <c r="G9" s="504"/>
      <c r="H9" s="497"/>
      <c r="I9" s="504"/>
      <c r="J9" s="504"/>
      <c r="K9" s="497"/>
      <c r="L9" s="504"/>
      <c r="M9" s="504"/>
      <c r="N9" s="497"/>
      <c r="O9" s="504"/>
      <c r="P9" s="504"/>
      <c r="Q9" s="613"/>
      <c r="R9" s="466"/>
      <c r="S9" s="504"/>
      <c r="T9" s="497"/>
      <c r="U9" s="504"/>
      <c r="V9" s="504"/>
      <c r="W9" s="497"/>
      <c r="X9" s="504"/>
      <c r="Y9" s="504"/>
      <c r="Z9" s="497"/>
      <c r="AA9" s="504"/>
      <c r="AB9" s="504"/>
      <c r="AC9" s="496"/>
      <c r="AD9" s="496"/>
      <c r="AE9" s="496"/>
    </row>
    <row r="10" spans="1:42" s="465" customFormat="1" ht="18.75" x14ac:dyDescent="0.3">
      <c r="A10" s="498" t="s">
        <v>357</v>
      </c>
      <c r="B10" s="497"/>
      <c r="C10" s="504"/>
      <c r="D10" s="504"/>
      <c r="E10" s="497"/>
      <c r="F10" s="504"/>
      <c r="G10" s="504"/>
      <c r="H10" s="497"/>
      <c r="I10" s="504"/>
      <c r="J10" s="504"/>
      <c r="K10" s="497"/>
      <c r="L10" s="504"/>
      <c r="M10" s="504"/>
      <c r="N10" s="497"/>
      <c r="O10" s="504"/>
      <c r="P10" s="504"/>
      <c r="Q10" s="613"/>
      <c r="R10" s="466"/>
      <c r="S10" s="504"/>
      <c r="T10" s="613"/>
      <c r="U10" s="466"/>
      <c r="V10" s="504"/>
      <c r="W10" s="613"/>
      <c r="X10" s="466"/>
      <c r="Y10" s="504"/>
      <c r="Z10" s="613"/>
      <c r="AA10" s="466"/>
      <c r="AB10" s="504"/>
      <c r="AC10" s="504"/>
      <c r="AD10" s="504"/>
      <c r="AE10" s="505"/>
    </row>
    <row r="11" spans="1:42" ht="37.5" x14ac:dyDescent="0.3">
      <c r="A11" s="663" t="s">
        <v>402</v>
      </c>
      <c r="B11" s="647">
        <v>0.62</v>
      </c>
      <c r="C11" s="504">
        <v>1.1399999999999999</v>
      </c>
      <c r="D11" s="505">
        <f>IF(B11=0, "    ---- ", IF(ABS(ROUND(100/B11*C11-100,1))&lt;999,ROUND(100/B11*C11-100,1),IF(ROUND(100/B11*C11-100,1)&gt;999,999,-999)))</f>
        <v>83.9</v>
      </c>
      <c r="E11" s="497">
        <v>0.01</v>
      </c>
      <c r="F11" s="654">
        <v>1</v>
      </c>
      <c r="G11" s="504"/>
      <c r="H11" s="497"/>
      <c r="I11" s="504"/>
      <c r="J11" s="504"/>
      <c r="K11" s="497">
        <v>0.61799999999999999</v>
      </c>
      <c r="L11" s="504">
        <v>0.88</v>
      </c>
      <c r="M11" s="504"/>
      <c r="N11" s="497">
        <v>2.4900000000000002</v>
      </c>
      <c r="O11" s="504">
        <v>3.05</v>
      </c>
      <c r="P11" s="504"/>
      <c r="Q11" s="613">
        <v>1.8</v>
      </c>
      <c r="R11" s="466">
        <v>1.4</v>
      </c>
      <c r="S11" s="504"/>
      <c r="T11" s="613">
        <v>2.31</v>
      </c>
      <c r="U11" s="466">
        <v>2.56</v>
      </c>
      <c r="V11" s="504"/>
      <c r="W11" s="613">
        <v>0.87695031760206499</v>
      </c>
      <c r="X11" s="466">
        <v>2.0027441924958644E-2</v>
      </c>
      <c r="Y11" s="504"/>
      <c r="Z11" s="613">
        <v>0.33</v>
      </c>
      <c r="AA11" s="466">
        <v>1.37</v>
      </c>
      <c r="AB11" s="504"/>
      <c r="AC11" s="505"/>
      <c r="AD11" s="505"/>
      <c r="AE11" s="505" t="str">
        <f>IF(AC11=0, "    ---- ", IF(ABS(ROUND(100/AC11*AD11-100,1))&lt;999,ROUND(100/AC11*AD11-100,1),IF(ROUND(100/AC11*AD11-100,1)&gt;999,999,-999)))</f>
        <v xml:space="preserve">    ---- </v>
      </c>
    </row>
    <row r="12" spans="1:42" ht="18.75" x14ac:dyDescent="0.3">
      <c r="A12" s="675" t="s">
        <v>399</v>
      </c>
      <c r="B12" s="647">
        <v>1.1000000000000001</v>
      </c>
      <c r="C12" s="630"/>
      <c r="D12" s="505">
        <f>IF(B12=0, "    ---- ", IF(ABS(ROUND(100/B12*C12-100,1))&lt;999,ROUND(100/B12*C12-100,1),IF(ROUND(100/B12*C12-100,1)&gt;999,999,-999)))</f>
        <v>-100</v>
      </c>
      <c r="E12" s="497">
        <v>1.6</v>
      </c>
      <c r="F12" s="630"/>
      <c r="G12" s="504"/>
      <c r="H12" s="497"/>
      <c r="I12" s="630"/>
      <c r="J12" s="504"/>
      <c r="K12" s="497">
        <v>0.624</v>
      </c>
      <c r="L12" s="630"/>
      <c r="M12" s="504"/>
      <c r="N12" s="497">
        <v>1.17</v>
      </c>
      <c r="O12" s="630"/>
      <c r="P12" s="504"/>
      <c r="Q12" s="613">
        <v>1.1000000000000001</v>
      </c>
      <c r="R12" s="630"/>
      <c r="S12" s="504"/>
      <c r="T12" s="505"/>
      <c r="U12" s="630"/>
      <c r="V12" s="504"/>
      <c r="W12" s="613">
        <v>2.0942553701412998</v>
      </c>
      <c r="X12" s="630"/>
      <c r="Y12" s="504"/>
      <c r="Z12" s="613">
        <v>-0.01</v>
      </c>
      <c r="AA12" s="630"/>
      <c r="AB12" s="504"/>
      <c r="AC12" s="505"/>
      <c r="AD12" s="88"/>
      <c r="AE12" s="505"/>
    </row>
    <row r="13" spans="1:42" ht="18.75" x14ac:dyDescent="0.3">
      <c r="A13" s="498"/>
      <c r="B13" s="647"/>
      <c r="C13" s="504"/>
      <c r="D13" s="504"/>
      <c r="E13" s="497"/>
      <c r="F13" s="504"/>
      <c r="G13" s="504"/>
      <c r="H13" s="497"/>
      <c r="I13" s="504"/>
      <c r="J13" s="504"/>
      <c r="K13" s="497"/>
      <c r="L13" s="504"/>
      <c r="M13" s="504"/>
      <c r="N13" s="497"/>
      <c r="O13" s="504"/>
      <c r="P13" s="504"/>
      <c r="Q13" s="613"/>
      <c r="R13" s="466"/>
      <c r="S13" s="504"/>
      <c r="T13" s="613"/>
      <c r="U13" s="466"/>
      <c r="V13" s="504"/>
      <c r="W13" s="613"/>
      <c r="X13" s="466"/>
      <c r="Y13" s="504"/>
      <c r="Z13" s="613"/>
      <c r="AA13" s="466"/>
      <c r="AB13" s="504"/>
      <c r="AC13" s="504"/>
      <c r="AD13" s="504"/>
      <c r="AE13" s="504"/>
    </row>
    <row r="14" spans="1:42" ht="18.75" x14ac:dyDescent="0.3">
      <c r="A14" s="498" t="s">
        <v>358</v>
      </c>
      <c r="B14" s="497">
        <v>19.329999999999998</v>
      </c>
      <c r="C14" s="504">
        <v>18.440000000000001</v>
      </c>
      <c r="D14" s="505">
        <f>IF(B14=0, "    ---- ", IF(ABS(ROUND(100/B14*C14-100,1))&lt;999,ROUND(100/B14*C14-100,1),IF(ROUND(100/B14*C14-100,1)&gt;999,999,-999)))</f>
        <v>-4.5999999999999996</v>
      </c>
      <c r="E14" s="497">
        <v>38.516990597236131</v>
      </c>
      <c r="F14" s="504">
        <v>34.799999999999997</v>
      </c>
      <c r="G14" s="505">
        <f>IF(E14=0, "    ---- ", IF(ABS(ROUND(100/E14*F14-100,1))&lt;999,ROUND(100/E14*F14-100,1),IF(ROUND(100/E14*F14-100,1)&gt;999,999,-999)))</f>
        <v>-9.6999999999999993</v>
      </c>
      <c r="H14" s="497">
        <v>27.1</v>
      </c>
      <c r="I14" s="504">
        <v>24.5</v>
      </c>
      <c r="J14" s="505">
        <f>IF(H14=0, "    ---- ", IF(ABS(ROUND(100/H14*I14-100,1))&lt;999,ROUND(100/H14*I14-100,1),IF(ROUND(100/H14*I14-100,1)&gt;999,999,-999)))</f>
        <v>-9.6</v>
      </c>
      <c r="K14" s="497">
        <v>6.7</v>
      </c>
      <c r="L14" s="504">
        <v>5.8</v>
      </c>
      <c r="M14" s="505">
        <f>IF(K14=0, "    ---- ", IF(ABS(ROUND(100/K14*L14-100,1))&lt;999,ROUND(100/K14*L14-100,1),IF(ROUND(100/K14*L14-100,1)&gt;999,999,-999)))</f>
        <v>-13.4</v>
      </c>
      <c r="N14" s="497">
        <f>22.6791511724038</f>
        <v>22.679151172403799</v>
      </c>
      <c r="O14" s="504">
        <v>25.2</v>
      </c>
      <c r="P14" s="505">
        <f>IF(N14=0, "    ---- ", IF(ABS(ROUND(100/N14*O14-100,1))&lt;999,ROUND(100/N14*O14-100,1),IF(ROUND(100/N14*O14-100,1)&gt;999,999,-999)))</f>
        <v>11.1</v>
      </c>
      <c r="Q14" s="640">
        <v>32.299999999999997</v>
      </c>
      <c r="R14" s="641"/>
      <c r="S14" s="505">
        <f>IF(Q14=0, "    ---- ", IF(ABS(ROUND(100/Q14*R14-100,1))&lt;999,ROUND(100/Q14*R14-100,1),IF(ROUND(100/Q14*R14-100,1)&gt;999,999,-999)))</f>
        <v>-100</v>
      </c>
      <c r="T14" s="497">
        <f>(1430+1240+10420+27647-1441)/(78562+7398)*100</f>
        <v>45.714285714285715</v>
      </c>
      <c r="U14" s="497">
        <f>(1430+11100+29966-1429)/(86192+5575)*100</f>
        <v>44.751381215469614</v>
      </c>
      <c r="V14" s="505">
        <f>IF(T14=0, "    ---- ", IF(ABS(ROUND(100/T14*U14-100,1))&lt;999,ROUND(100/T14*U14-100,1),IF(ROUND(100/T14*U14-100,1)&gt;999,999,-999)))</f>
        <v>-2.1</v>
      </c>
      <c r="W14" s="613">
        <v>35.081563488893714</v>
      </c>
      <c r="X14" s="466">
        <v>33.581171321992173</v>
      </c>
      <c r="Y14" s="505">
        <f>IF(W14=0, "    ---- ", IF(ABS(ROUND(100/W14*X14-100,1))&lt;999,ROUND(100/W14*X14-100,1),IF(ROUND(100/W14*X14-100,1)&gt;999,999,-999)))</f>
        <v>-4.3</v>
      </c>
      <c r="Z14" s="642">
        <v>10.7</v>
      </c>
      <c r="AA14" s="466">
        <v>11</v>
      </c>
      <c r="AB14" s="505">
        <f>IF(Z14=0, "    ---- ", IF(ABS(ROUND(100/Z14*AA14-100,1))&lt;999,ROUND(100/Z14*AA14-100,1),IF(ROUND(100/Z14*AA14-100,1)&gt;999,999,-999)))</f>
        <v>2.8</v>
      </c>
      <c r="AC14" s="505"/>
      <c r="AD14" s="505"/>
      <c r="AE14" s="505" t="str">
        <f>IF(AC14=0, "    ---- ", IF(ABS(ROUND(100/AC14*AD14-100,1))&lt;999,ROUND(100/AC14*AD14-100,1),IF(ROUND(100/AC14*AD14-100,1)&gt;999,999,-999)))</f>
        <v xml:space="preserve">    ---- </v>
      </c>
    </row>
    <row r="15" spans="1:42" ht="18.75" x14ac:dyDescent="0.3">
      <c r="A15" s="498"/>
      <c r="B15" s="497"/>
      <c r="C15" s="504"/>
      <c r="D15" s="504"/>
      <c r="E15" s="497"/>
      <c r="F15" s="504"/>
      <c r="G15" s="504"/>
      <c r="H15" s="497"/>
      <c r="I15" s="504"/>
      <c r="J15" s="504"/>
      <c r="K15" s="497"/>
      <c r="L15" s="504"/>
      <c r="M15" s="504"/>
      <c r="N15" s="497"/>
      <c r="O15" s="504"/>
      <c r="P15" s="504"/>
      <c r="Q15" s="613"/>
      <c r="R15" s="466"/>
      <c r="S15" s="504"/>
      <c r="T15" s="613"/>
      <c r="U15" s="466"/>
      <c r="V15" s="504"/>
      <c r="W15" s="613"/>
      <c r="X15" s="466"/>
      <c r="Y15" s="504"/>
      <c r="Z15" s="613"/>
      <c r="AA15" s="466"/>
      <c r="AB15" s="504"/>
      <c r="AC15" s="504"/>
      <c r="AD15" s="504"/>
      <c r="AE15" s="504"/>
    </row>
    <row r="16" spans="1:42" ht="18.75" x14ac:dyDescent="0.3">
      <c r="A16" s="675" t="s">
        <v>397</v>
      </c>
      <c r="B16" s="499">
        <v>1743</v>
      </c>
      <c r="C16" s="630"/>
      <c r="D16" s="505">
        <f>IF(B16=0, "    ---- ", IF(ABS(ROUND(100/B16*C16-100,1))&lt;999,ROUND(100/B16*C16-100,1),IF(ROUND(100/B16*C16-100,1)&gt;999,999,-999)))</f>
        <v>-100</v>
      </c>
      <c r="E16" s="499"/>
      <c r="F16" s="630"/>
      <c r="G16" s="505"/>
      <c r="H16" s="499"/>
      <c r="I16" s="630"/>
      <c r="J16" s="505"/>
      <c r="K16" s="499">
        <v>0.433</v>
      </c>
      <c r="L16" s="630"/>
      <c r="M16" s="505"/>
      <c r="N16" s="499">
        <v>102145.58787620999</v>
      </c>
      <c r="O16" s="630"/>
      <c r="P16" s="505"/>
      <c r="Q16" s="614">
        <v>1758</v>
      </c>
      <c r="R16" s="630"/>
      <c r="S16" s="505"/>
      <c r="T16" s="614"/>
      <c r="U16" s="630"/>
      <c r="V16" s="505"/>
      <c r="W16" s="180">
        <v>2376.3110000000001</v>
      </c>
      <c r="X16" s="630"/>
      <c r="Y16" s="505"/>
      <c r="Z16" s="614">
        <v>1620</v>
      </c>
      <c r="AA16" s="630"/>
      <c r="AB16" s="505"/>
      <c r="AC16" s="505">
        <f>B16+E16+H16+K16+N16+Q16+T16+W16+Z16</f>
        <v>109643.33187621</v>
      </c>
      <c r="AD16" s="88"/>
      <c r="AE16" s="505"/>
    </row>
    <row r="17" spans="1:31" ht="18.75" x14ac:dyDescent="0.3">
      <c r="A17" s="498"/>
      <c r="B17" s="499"/>
      <c r="C17" s="505"/>
      <c r="D17" s="505"/>
      <c r="E17" s="499"/>
      <c r="F17" s="505"/>
      <c r="G17" s="505"/>
      <c r="H17" s="499"/>
      <c r="I17" s="505"/>
      <c r="J17" s="505"/>
      <c r="K17" s="499"/>
      <c r="L17" s="505"/>
      <c r="M17" s="505"/>
      <c r="N17" s="499"/>
      <c r="O17" s="505"/>
      <c r="P17" s="505"/>
      <c r="Q17" s="614"/>
      <c r="R17" s="467"/>
      <c r="S17" s="505"/>
      <c r="T17" s="614"/>
      <c r="U17" s="467"/>
      <c r="V17" s="505"/>
      <c r="W17" s="88"/>
      <c r="X17" s="476"/>
      <c r="Y17" s="505"/>
      <c r="Z17" s="614"/>
      <c r="AA17" s="467"/>
      <c r="AB17" s="505"/>
      <c r="AC17" s="505"/>
      <c r="AD17" s="505"/>
      <c r="AE17" s="505"/>
    </row>
    <row r="18" spans="1:31" ht="18.75" x14ac:dyDescent="0.3">
      <c r="A18" s="498" t="s">
        <v>378</v>
      </c>
      <c r="B18" s="499"/>
      <c r="C18" s="505"/>
      <c r="D18" s="505" t="str">
        <f>IF(B18=0, "    ---- ", IF(ABS(ROUND(100/B18*C18-100,1))&lt;999,ROUND(100/B18*C18-100,1),IF(ROUND(100/B18*C18-100,1)&gt;999,999,-999)))</f>
        <v xml:space="preserve">    ---- </v>
      </c>
      <c r="E18" s="499"/>
      <c r="F18" s="505"/>
      <c r="G18" s="505" t="str">
        <f>IF(E18=0, "    ---- ", IF(ABS(ROUND(100/E18*F18-100,1))&lt;999,ROUND(100/E18*F18-100,1),IF(ROUND(100/E18*F18-100,1)&gt;999,999,-999)))</f>
        <v xml:space="preserve">    ---- </v>
      </c>
      <c r="H18" s="499"/>
      <c r="I18" s="505"/>
      <c r="J18" s="505" t="str">
        <f>IF(H18=0, "    ---- ", IF(ABS(ROUND(100/H18*I18-100,1))&lt;999,ROUND(100/H18*I18-100,1),IF(ROUND(100/H18*I18-100,1)&gt;999,999,-999)))</f>
        <v xml:space="preserve">    ---- </v>
      </c>
      <c r="K18" s="499"/>
      <c r="L18" s="505">
        <v>257</v>
      </c>
      <c r="M18" s="505" t="str">
        <f>IF(K18=0, "    ---- ", IF(ABS(ROUND(100/K18*L18-100,1))&lt;999,ROUND(100/K18*L18-100,1),IF(ROUND(100/K18*L18-100,1)&gt;999,999,-999)))</f>
        <v xml:space="preserve">    ---- </v>
      </c>
      <c r="N18" s="499"/>
      <c r="O18" s="505">
        <v>109280.93940820999</v>
      </c>
      <c r="P18" s="505" t="str">
        <f>IF(N18=0, "    ---- ", IF(ABS(ROUND(100/N18*O18-100,1))&lt;999,ROUND(100/N18*O18-100,1),IF(ROUND(100/N18*O18-100,1)&gt;999,999,-999)))</f>
        <v xml:space="preserve">    ---- </v>
      </c>
      <c r="Q18" s="614"/>
      <c r="R18" s="467">
        <v>5863</v>
      </c>
      <c r="S18" s="505" t="str">
        <f>IF(Q18=0, "    ---- ", IF(ABS(ROUND(100/Q18*R18-100,1))&lt;999,ROUND(100/Q18*R18-100,1),IF(ROUND(100/Q18*R18-100,1)&gt;999,999,-999)))</f>
        <v xml:space="preserve">    ---- </v>
      </c>
      <c r="T18" s="614"/>
      <c r="U18" s="467"/>
      <c r="V18" s="505" t="str">
        <f>IF(T18=0, "    ---- ", IF(ABS(ROUND(100/T18*U18-100,1))&lt;999,ROUND(100/T18*U18-100,1),IF(ROUND(100/T18*U18-100,1)&gt;999,999,-999)))</f>
        <v xml:space="preserve">    ---- </v>
      </c>
      <c r="W18" s="614"/>
      <c r="X18" s="467">
        <v>3329.721</v>
      </c>
      <c r="Y18" s="505" t="str">
        <f>IF(W18=0, "    ---- ", IF(ABS(ROUND(100/W18*X18-100,1))&lt;999,ROUND(100/W18*X18-100,1),IF(ROUND(100/W18*X18-100,1)&gt;999,999,-999)))</f>
        <v xml:space="preserve">    ---- </v>
      </c>
      <c r="Z18" s="614">
        <v>1685</v>
      </c>
      <c r="AA18" s="467">
        <f>12925.59308065+66.5747397999999</f>
        <v>12992.16782045</v>
      </c>
      <c r="AB18" s="505">
        <f>IF(Z18=0, "    ---- ", IF(ABS(ROUND(100/Z18*AA18-100,1))&lt;999,ROUND(100/Z18*AA18-100,1),IF(ROUND(100/Z18*AA18-100,1)&gt;999,999,-999)))</f>
        <v>671</v>
      </c>
      <c r="AC18" s="505">
        <f>B18+E18+H18+K18+N18+Q18+T18+W18+Z18</f>
        <v>1685</v>
      </c>
      <c r="AD18" s="505">
        <f>C18+F18+I18+L18+O18+R18+U18+X18+AA18</f>
        <v>131722.82822865999</v>
      </c>
      <c r="AE18" s="505">
        <f>IF(AC18=0, "    ---- ", IF(ABS(ROUND(100/AC18*AD18-100,1))&lt;999,ROUND(100/AC18*AD18-100,1),IF(ROUND(100/AC18*AD18-100,1)&gt;999,999,-999)))</f>
        <v>999</v>
      </c>
    </row>
    <row r="19" spans="1:31" ht="18.75" x14ac:dyDescent="0.3">
      <c r="A19" s="498"/>
      <c r="B19" s="499"/>
      <c r="C19" s="505"/>
      <c r="D19" s="505"/>
      <c r="E19" s="499"/>
      <c r="F19" s="505"/>
      <c r="G19" s="505"/>
      <c r="H19" s="499"/>
      <c r="I19" s="505"/>
      <c r="J19" s="505"/>
      <c r="K19" s="499"/>
      <c r="L19" s="505"/>
      <c r="M19" s="505"/>
      <c r="N19" s="499"/>
      <c r="O19" s="505"/>
      <c r="P19" s="505"/>
      <c r="Q19" s="614"/>
      <c r="R19" s="467"/>
      <c r="S19" s="505"/>
      <c r="T19" s="614"/>
      <c r="U19" s="467"/>
      <c r="V19" s="505"/>
      <c r="W19" s="614"/>
      <c r="X19" s="467"/>
      <c r="Y19" s="505"/>
      <c r="Z19" s="614"/>
      <c r="AA19" s="467"/>
      <c r="AB19" s="505"/>
      <c r="AC19" s="505"/>
      <c r="AD19" s="505"/>
      <c r="AE19" s="505"/>
    </row>
    <row r="20" spans="1:31" ht="18.75" x14ac:dyDescent="0.3">
      <c r="A20" s="500" t="s">
        <v>359</v>
      </c>
      <c r="B20" s="501">
        <v>-3524.8589469199701</v>
      </c>
      <c r="C20" s="506">
        <v>-5343.6760000000004</v>
      </c>
      <c r="D20" s="506">
        <f>IF(B20=0, "    ---- ", IF(ABS(ROUND(100/B20*C20-100,1))&lt;999,ROUND(100/B20*C20-100,1),IF(ROUND(100/B20*C20-100,1)&gt;999,999,-999)))</f>
        <v>51.6</v>
      </c>
      <c r="E20" s="655">
        <v>1.2</v>
      </c>
      <c r="F20" s="507">
        <v>0.8</v>
      </c>
      <c r="G20" s="506"/>
      <c r="H20" s="501"/>
      <c r="I20" s="506"/>
      <c r="J20" s="506"/>
      <c r="K20" s="501">
        <v>-20</v>
      </c>
      <c r="L20" s="506">
        <v>-17</v>
      </c>
      <c r="M20" s="506"/>
      <c r="N20" s="501">
        <v>-1122.6015930000001</v>
      </c>
      <c r="O20" s="506">
        <v>-1012</v>
      </c>
      <c r="P20" s="506"/>
      <c r="Q20" s="615">
        <v>-2083</v>
      </c>
      <c r="R20" s="468">
        <v>2624</v>
      </c>
      <c r="S20" s="506"/>
      <c r="T20" s="615">
        <v>-1441</v>
      </c>
      <c r="U20" s="468">
        <v>-1429</v>
      </c>
      <c r="V20" s="506"/>
      <c r="W20" s="615">
        <v>-57.101999999999997</v>
      </c>
      <c r="X20" s="468">
        <v>-63.18</v>
      </c>
      <c r="Y20" s="506"/>
      <c r="Z20" s="615">
        <v>-9817</v>
      </c>
      <c r="AA20" s="468">
        <v>-12438.291214000001</v>
      </c>
      <c r="AB20" s="506"/>
      <c r="AC20" s="506">
        <f>B20+E20+H20+K20+N20+Q20+T20+W20+Z20</f>
        <v>-18064.36253991997</v>
      </c>
      <c r="AD20" s="506">
        <f>C20+F20+I20+L20+O20+R20+U20+X20+AA20</f>
        <v>-17678.347214000001</v>
      </c>
      <c r="AE20" s="506">
        <f>IF(AC20=0, "    ---- ", IF(ABS(ROUND(100/AC20*AD20-100,1))&lt;999,ROUND(100/AC20*AD20-100,1),IF(ROUND(100/AC20*AD20-100,1)&gt;999,999,-999)))</f>
        <v>-2.1</v>
      </c>
    </row>
  </sheetData>
  <protectedRanges>
    <protectedRange sqref="AD12" name="Område1_9_6_1"/>
    <protectedRange sqref="R12 R16" name="Område1_9_6_1_1"/>
    <protectedRange sqref="R9:R10" name="Område1_13_3_1_1"/>
    <protectedRange sqref="R11 R13:R15 R17:R20" name="Område1_5_1_2_1"/>
    <protectedRange sqref="Q9:Q10" name="Område1_13_3_1_1_2_1"/>
    <protectedRange sqref="AA9:AA10" name="Område1_10_1_1_1_1"/>
    <protectedRange sqref="AA11 AA13:AA15 AA17 AA19:AA20" name="Område1_8_1_1_1_1_1"/>
    <protectedRange sqref="AA12 AA16" name="Område1_9_6_1_2"/>
    <protectedRange sqref="AA18" name="Område1_11_1_1_1"/>
    <protectedRange sqref="Z9:Z10" name="Område1_10_1_1_1_1_1"/>
    <protectedRange sqref="Z11:Z20" name="Område1_8_1_1_1_1_1_1"/>
    <protectedRange sqref="X12 X16" name="Område1_9_6_1_3"/>
    <protectedRange sqref="X9:X11 X13:X15 X17:X20" name="Område1_11_1_1_1_1"/>
    <protectedRange sqref="W9:W10 W15" name="Område1_11_1_1_1_2_1"/>
    <protectedRange sqref="W11:W13" name="Område1_11_1_1_1_1_1"/>
    <protectedRange sqref="W16:W20" name="Område1_11_1_1_1_2_1_1"/>
    <protectedRange sqref="W14" name="Område1_11_1_1_1_3"/>
    <protectedRange sqref="L9:L13 L15:L20" name="Område1_9_6_1_4"/>
    <protectedRange sqref="L14" name="Område1_4_2_6_1_1"/>
    <protectedRange sqref="K9:K13 K15:K20" name="Område1_9_6_1_2_1"/>
    <protectedRange sqref="K14" name="Område1_4_2_6_1_2"/>
    <protectedRange sqref="I12 I16" name="Område1_9_6_1_5"/>
    <protectedRange sqref="I9:I11 I15 I13 I17:I20" name="Område1_13_1_1_1"/>
    <protectedRange sqref="I14" name="Område1_4_1_2_1"/>
    <protectedRange sqref="H9:H13 H15:H20" name="Område1_13_1_1_1_2_1"/>
    <protectedRange sqref="H14" name="Område1_4_1_2_1_2_1"/>
    <protectedRange sqref="C12 C16" name="Område1_9_6_1_6"/>
    <protectedRange sqref="C9:C10" name="Område1_13_5_1_1"/>
    <protectedRange sqref="C11 C13:C15 C17:C20" name="Område1_2_1_2_1_1"/>
    <protectedRange sqref="B9:B10" name="Område1_13_5_1_1_2_1"/>
    <protectedRange sqref="B11:B20" name="Område1_2_1_2_1_1_2_1"/>
    <protectedRange sqref="F12 F16" name="Område1_9_6_1_7"/>
    <protectedRange sqref="F9:F10" name="Område1_13_5_2"/>
    <protectedRange sqref="F11 F13:F15 F17:F20" name="Område1_2_1_2_2"/>
    <protectedRange sqref="E9:E10" name="Område1_13_5_2_2_1"/>
    <protectedRange sqref="E11:E20" name="Område1_2_1_2_2_2_1"/>
    <protectedRange sqref="O12 O16" name="Område1_9_6_1_8"/>
    <protectedRange sqref="O9:O10" name="Område1_13_2_1_1"/>
    <protectedRange sqref="O11 O13:O15 O17:O20" name="Område1_3_1_2_1"/>
    <protectedRange sqref="N9:N10" name="Område1_13_2_1_1_2_1"/>
    <protectedRange sqref="N11:N20" name="Område1_3_1_2_1_2_1"/>
    <protectedRange sqref="U12 U16" name="Område1_9_6_1_9"/>
    <protectedRange sqref="U9:U10" name="Område1_13_4_1_1"/>
    <protectedRange sqref="U11 U15 U13 U17:U20" name="Område1_6_1_2_1"/>
    <protectedRange sqref="T9:T10" name="Område1_13_4_1_1_2_1"/>
    <protectedRange sqref="T11 T15:T20 T13" name="Område1_6_1_2_1_2_1"/>
    <protectedRange sqref="T14:U14" name="Område1_4_2_5_1_1"/>
  </protectedRanges>
  <mergeCells count="23">
    <mergeCell ref="N6:P6"/>
    <mergeCell ref="T5:V5"/>
    <mergeCell ref="T6:V6"/>
    <mergeCell ref="W6:Y6"/>
    <mergeCell ref="Z6:AB6"/>
    <mergeCell ref="Q6:S6"/>
    <mergeCell ref="W5:Y5"/>
    <mergeCell ref="Z5:AB5"/>
    <mergeCell ref="AN5:AP5"/>
    <mergeCell ref="AK5:AM5"/>
    <mergeCell ref="AC6:AE6"/>
    <mergeCell ref="AC5:AE5"/>
    <mergeCell ref="AK6:AM6"/>
    <mergeCell ref="AN6:AP6"/>
    <mergeCell ref="AH5:AJ5"/>
    <mergeCell ref="AH6:AJ6"/>
    <mergeCell ref="B5:D5"/>
    <mergeCell ref="K5:M5"/>
    <mergeCell ref="B6:D6"/>
    <mergeCell ref="E6:G6"/>
    <mergeCell ref="H6:J6"/>
    <mergeCell ref="K6:M6"/>
    <mergeCell ref="H5:J5"/>
  </mergeCells>
  <conditionalFormatting sqref="AD16">
    <cfRule type="expression" dxfId="19" priority="28">
      <formula>kvartal &lt; 4</formula>
    </cfRule>
  </conditionalFormatting>
  <conditionalFormatting sqref="AD12">
    <cfRule type="expression" dxfId="18" priority="19">
      <formula>kvartal &lt; 4</formula>
    </cfRule>
  </conditionalFormatting>
  <conditionalFormatting sqref="R12">
    <cfRule type="expression" dxfId="17" priority="18">
      <formula>kvartal &lt; 4</formula>
    </cfRule>
  </conditionalFormatting>
  <conditionalFormatting sqref="R16">
    <cfRule type="expression" dxfId="16" priority="17">
      <formula>kvartal &lt; 4</formula>
    </cfRule>
  </conditionalFormatting>
  <conditionalFormatting sqref="AA12">
    <cfRule type="expression" dxfId="15" priority="16">
      <formula>kvartal &lt; 4</formula>
    </cfRule>
  </conditionalFormatting>
  <conditionalFormatting sqref="AA16">
    <cfRule type="expression" dxfId="14" priority="15">
      <formula>kvartal &lt; 4</formula>
    </cfRule>
  </conditionalFormatting>
  <conditionalFormatting sqref="X12">
    <cfRule type="expression" dxfId="13" priority="14">
      <formula>kvartal &lt; 4</formula>
    </cfRule>
  </conditionalFormatting>
  <conditionalFormatting sqref="X16">
    <cfRule type="expression" dxfId="12" priority="13">
      <formula>kvartal &lt; 4</formula>
    </cfRule>
  </conditionalFormatting>
  <conditionalFormatting sqref="L12">
    <cfRule type="expression" dxfId="11" priority="12">
      <formula>kvartal &lt; 4</formula>
    </cfRule>
  </conditionalFormatting>
  <conditionalFormatting sqref="L16">
    <cfRule type="expression" dxfId="10" priority="11">
      <formula>kvartal &lt; 4</formula>
    </cfRule>
  </conditionalFormatting>
  <conditionalFormatting sqref="I12">
    <cfRule type="expression" dxfId="9" priority="10">
      <formula>kvartal &lt; 4</formula>
    </cfRule>
  </conditionalFormatting>
  <conditionalFormatting sqref="I16">
    <cfRule type="expression" dxfId="8" priority="9">
      <formula>kvartal &lt; 4</formula>
    </cfRule>
  </conditionalFormatting>
  <conditionalFormatting sqref="C12">
    <cfRule type="expression" dxfId="7" priority="8">
      <formula>kvartal &lt; 4</formula>
    </cfRule>
  </conditionalFormatting>
  <conditionalFormatting sqref="C16">
    <cfRule type="expression" dxfId="6" priority="7">
      <formula>kvartal &lt; 4</formula>
    </cfRule>
  </conditionalFormatting>
  <conditionalFormatting sqref="F16">
    <cfRule type="expression" dxfId="5" priority="6">
      <formula>kvartal &lt; 4</formula>
    </cfRule>
  </conditionalFormatting>
  <conditionalFormatting sqref="F12">
    <cfRule type="expression" dxfId="4" priority="5">
      <formula>kvartal &lt; 4</formula>
    </cfRule>
  </conditionalFormatting>
  <conditionalFormatting sqref="O12">
    <cfRule type="expression" dxfId="3" priority="4">
      <formula>kvartal &lt; 4</formula>
    </cfRule>
  </conditionalFormatting>
  <conditionalFormatting sqref="O16">
    <cfRule type="expression" dxfId="2" priority="3">
      <formula>kvartal &lt; 4</formula>
    </cfRule>
  </conditionalFormatting>
  <conditionalFormatting sqref="U12">
    <cfRule type="expression" dxfId="1" priority="2">
      <formula>kvartal &lt; 4</formula>
    </cfRule>
  </conditionalFormatting>
  <conditionalFormatting sqref="U16">
    <cfRule type="expression" dxfId="0" priority="1">
      <formula>kvartal &lt; 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heetViews>
  <sheetFormatPr baseColWidth="10" defaultColWidth="11.42578125" defaultRowHeight="12.75" x14ac:dyDescent="0.2"/>
  <cols>
    <col min="1" max="1" width="66.28515625" style="1" customWidth="1"/>
    <col min="2" max="2" width="4.28515625" style="50"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14"/>
      <c r="D2" s="314"/>
      <c r="E2" s="314"/>
    </row>
    <row r="3" spans="1:17" x14ac:dyDescent="0.2">
      <c r="A3" s="43" t="s">
        <v>51</v>
      </c>
    </row>
    <row r="4" spans="1:17" x14ac:dyDescent="0.2">
      <c r="C4" s="314"/>
      <c r="D4" s="314"/>
      <c r="E4" s="314"/>
      <c r="F4" s="314"/>
      <c r="G4" s="314"/>
      <c r="H4" s="314"/>
      <c r="I4" s="314"/>
      <c r="J4" s="314"/>
      <c r="K4" s="314"/>
    </row>
    <row r="6" spans="1:17" ht="15.75" x14ac:dyDescent="0.25">
      <c r="C6" s="321" t="s">
        <v>16</v>
      </c>
      <c r="D6" s="3"/>
      <c r="E6" s="321"/>
    </row>
    <row r="7" spans="1:17" ht="18.75" customHeight="1" x14ac:dyDescent="0.2">
      <c r="C7" s="3"/>
      <c r="D7" s="3"/>
      <c r="E7" s="50"/>
    </row>
    <row r="8" spans="1:17" ht="15.75" x14ac:dyDescent="0.25">
      <c r="B8" s="315">
        <v>1</v>
      </c>
      <c r="C8" s="316" t="s">
        <v>309</v>
      </c>
      <c r="E8" s="325"/>
    </row>
    <row r="9" spans="1:17" ht="31.5" x14ac:dyDescent="0.2">
      <c r="B9" s="315">
        <v>2</v>
      </c>
      <c r="C9" s="318" t="s">
        <v>247</v>
      </c>
      <c r="E9" s="8"/>
      <c r="Q9" s="3"/>
    </row>
    <row r="10" spans="1:17" ht="47.25" x14ac:dyDescent="0.2">
      <c r="B10" s="315">
        <v>3</v>
      </c>
      <c r="C10" s="316" t="s">
        <v>248</v>
      </c>
      <c r="E10" s="8"/>
    </row>
    <row r="11" spans="1:17" ht="31.5" x14ac:dyDescent="0.2">
      <c r="B11" s="315">
        <v>4</v>
      </c>
      <c r="C11" s="318" t="s">
        <v>400</v>
      </c>
      <c r="E11" s="8"/>
    </row>
    <row r="12" spans="1:17" ht="31.5" x14ac:dyDescent="0.2">
      <c r="B12" s="315">
        <v>5</v>
      </c>
      <c r="C12" s="316" t="s">
        <v>21</v>
      </c>
      <c r="E12" s="3"/>
    </row>
    <row r="13" spans="1:17" ht="15.75" x14ac:dyDescent="0.2">
      <c r="B13" s="315">
        <v>6</v>
      </c>
      <c r="C13" s="316" t="s">
        <v>310</v>
      </c>
      <c r="E13" s="3"/>
    </row>
    <row r="14" spans="1:17" ht="15.75" x14ac:dyDescent="0.2">
      <c r="B14" s="315">
        <v>7</v>
      </c>
      <c r="C14" s="316" t="s">
        <v>17</v>
      </c>
    </row>
    <row r="15" spans="1:17" ht="18.75" customHeight="1" x14ac:dyDescent="0.2">
      <c r="B15" s="315">
        <v>8</v>
      </c>
      <c r="C15" s="316" t="s">
        <v>18</v>
      </c>
    </row>
    <row r="16" spans="1:17" ht="18.75" customHeight="1" x14ac:dyDescent="0.2">
      <c r="B16" s="315">
        <v>9</v>
      </c>
      <c r="C16" s="316" t="s">
        <v>22</v>
      </c>
    </row>
    <row r="17" spans="2:9" ht="63" x14ac:dyDescent="0.25">
      <c r="B17" s="315">
        <v>10</v>
      </c>
      <c r="C17" s="316" t="s">
        <v>319</v>
      </c>
      <c r="E17" s="321"/>
    </row>
    <row r="18" spans="2:9" ht="15.75" x14ac:dyDescent="0.2">
      <c r="B18" s="315">
        <v>11</v>
      </c>
      <c r="C18" s="316" t="s">
        <v>19</v>
      </c>
      <c r="E18" s="8"/>
    </row>
    <row r="19" spans="2:9" ht="15.75" x14ac:dyDescent="0.2">
      <c r="B19" s="315">
        <v>12</v>
      </c>
      <c r="C19" s="316" t="s">
        <v>250</v>
      </c>
      <c r="E19" s="8"/>
    </row>
    <row r="20" spans="2:9" ht="15.75" x14ac:dyDescent="0.2">
      <c r="B20" s="315">
        <v>13</v>
      </c>
      <c r="C20" s="316" t="s">
        <v>20</v>
      </c>
      <c r="E20" s="3"/>
    </row>
    <row r="21" spans="2:9" ht="47.25" x14ac:dyDescent="0.2">
      <c r="B21" s="315">
        <v>14</v>
      </c>
      <c r="C21" s="316" t="s">
        <v>251</v>
      </c>
      <c r="E21" s="326"/>
    </row>
    <row r="22" spans="2:9" ht="31.5" x14ac:dyDescent="0.2">
      <c r="B22" s="315">
        <v>15</v>
      </c>
      <c r="C22" s="318" t="s">
        <v>299</v>
      </c>
      <c r="E22" s="3"/>
    </row>
    <row r="23" spans="2:9" ht="15.75" x14ac:dyDescent="0.25">
      <c r="B23" s="315">
        <v>16</v>
      </c>
      <c r="C23" s="320" t="s">
        <v>249</v>
      </c>
      <c r="D23" s="319"/>
      <c r="E23" s="314"/>
      <c r="F23" s="319"/>
      <c r="G23" s="2"/>
      <c r="H23" s="2"/>
      <c r="I23" s="2"/>
    </row>
    <row r="24" spans="2:9" ht="18.75" customHeight="1" x14ac:dyDescent="0.25">
      <c r="B24" s="317">
        <v>17</v>
      </c>
      <c r="C24" s="320" t="s">
        <v>252</v>
      </c>
    </row>
    <row r="25" spans="2:9" ht="18.75" customHeight="1" x14ac:dyDescent="0.2">
      <c r="B25" s="528">
        <v>18</v>
      </c>
      <c r="C25" s="738" t="s">
        <v>373</v>
      </c>
    </row>
    <row r="26" spans="2:9" ht="18.75" customHeight="1" x14ac:dyDescent="0.25">
      <c r="B26" s="529"/>
      <c r="C26" s="738"/>
    </row>
    <row r="27" spans="2:9" ht="18.75" customHeight="1" x14ac:dyDescent="0.2">
      <c r="C27" s="323"/>
    </row>
    <row r="28" spans="2:9" ht="18.75" customHeight="1" x14ac:dyDescent="0.2">
      <c r="C28" s="323"/>
    </row>
    <row r="29" spans="2:9" ht="18.75" customHeight="1" x14ac:dyDescent="0.2">
      <c r="C29" s="323"/>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24"/>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14"/>
      <c r="E50" s="314"/>
      <c r="F50" s="314"/>
      <c r="G50" s="314"/>
      <c r="H50" s="314"/>
      <c r="I50" s="314"/>
      <c r="J50" s="314"/>
      <c r="K50" s="314"/>
      <c r="L50" s="314"/>
      <c r="M50" s="314"/>
      <c r="N50" s="314"/>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mergeCells count="1">
    <mergeCell ref="C25:C26"/>
  </mergeCells>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07"/>
  <sheetViews>
    <sheetView showGridLines="0" showZeros="0" zoomScale="70" zoomScaleNormal="70" workbookViewId="0">
      <pane xSplit="1" ySplit="7" topLeftCell="B8" activePane="bottomRight" state="frozen"/>
      <selection activeCell="H73" sqref="H73"/>
      <selection pane="topRight" activeCell="H73" sqref="H73"/>
      <selection pane="bottomLeft" activeCell="H73" sqref="H73"/>
      <selection pane="bottomRight" activeCell="A4" sqref="A4"/>
    </sheetView>
  </sheetViews>
  <sheetFormatPr baseColWidth="10" defaultColWidth="11.42578125" defaultRowHeight="12.75" x14ac:dyDescent="0.2"/>
  <cols>
    <col min="1" max="1" width="49" style="71" customWidth="1"/>
    <col min="2" max="3" width="15.7109375" style="71" customWidth="1"/>
    <col min="4" max="4" width="8.7109375" style="71" customWidth="1"/>
    <col min="5" max="5" width="12.140625" style="71" bestFit="1" customWidth="1"/>
    <col min="6" max="6" width="4.7109375" style="71" customWidth="1"/>
    <col min="7" max="7" width="18.42578125" style="71" customWidth="1"/>
    <col min="8" max="8" width="17.7109375" style="71" customWidth="1"/>
    <col min="9" max="9" width="8.7109375" style="71" customWidth="1"/>
    <col min="10" max="10" width="12.140625" style="71" bestFit="1" customWidth="1"/>
    <col min="11" max="11" width="13.42578125" style="71" hidden="1" customWidth="1"/>
    <col min="12" max="12" width="14.7109375" style="172" hidden="1" customWidth="1"/>
    <col min="13" max="13" width="13.7109375" style="172" hidden="1" customWidth="1"/>
    <col min="14" max="15" width="15.7109375" style="172" hidden="1" customWidth="1"/>
    <col min="16" max="16" width="11.42578125" style="71" hidden="1" customWidth="1"/>
    <col min="17" max="19" width="11.42578125" style="71" customWidth="1"/>
    <col min="20" max="16384" width="11.42578125" style="71"/>
  </cols>
  <sheetData>
    <row r="1" spans="1:16" ht="20.25" x14ac:dyDescent="0.3">
      <c r="A1" s="64" t="s">
        <v>72</v>
      </c>
      <c r="B1" s="57" t="s">
        <v>52</v>
      </c>
      <c r="C1" s="58"/>
      <c r="D1" s="58"/>
      <c r="E1" s="58"/>
      <c r="F1" s="58"/>
      <c r="G1" s="58"/>
      <c r="H1" s="58"/>
      <c r="I1" s="58"/>
      <c r="J1" s="58"/>
      <c r="K1" s="58"/>
    </row>
    <row r="2" spans="1:16" ht="20.25" x14ac:dyDescent="0.3">
      <c r="A2" s="64" t="s">
        <v>73</v>
      </c>
      <c r="B2" s="58"/>
      <c r="C2" s="58"/>
      <c r="D2" s="58"/>
      <c r="E2" s="58"/>
      <c r="F2" s="58"/>
      <c r="G2" s="58"/>
      <c r="H2" s="58"/>
      <c r="I2" s="58"/>
      <c r="J2" s="58"/>
      <c r="K2" s="58"/>
    </row>
    <row r="3" spans="1:16" ht="18.75" x14ac:dyDescent="0.3">
      <c r="A3" s="685" t="s">
        <v>74</v>
      </c>
      <c r="B3" s="685"/>
      <c r="C3" s="58"/>
      <c r="D3" s="58"/>
      <c r="E3" s="58"/>
      <c r="F3" s="58"/>
      <c r="G3" s="58"/>
      <c r="H3" s="58"/>
      <c r="I3" s="58"/>
      <c r="J3" s="58"/>
      <c r="K3" s="58"/>
    </row>
    <row r="4" spans="1:16" ht="18.75" x14ac:dyDescent="0.3">
      <c r="A4" s="66" t="s">
        <v>398</v>
      </c>
      <c r="B4" s="67"/>
      <c r="C4" s="68"/>
      <c r="D4" s="68"/>
      <c r="E4" s="69"/>
      <c r="F4" s="70"/>
      <c r="G4" s="67"/>
      <c r="H4" s="68"/>
      <c r="I4" s="68"/>
      <c r="J4" s="69"/>
      <c r="K4" s="96"/>
      <c r="L4" s="195"/>
      <c r="M4" s="196"/>
      <c r="N4" s="197"/>
      <c r="O4" s="196"/>
    </row>
    <row r="5" spans="1:16" ht="22.5" x14ac:dyDescent="0.3">
      <c r="A5" s="72"/>
      <c r="B5" s="686" t="s">
        <v>75</v>
      </c>
      <c r="C5" s="687"/>
      <c r="D5" s="687"/>
      <c r="E5" s="688"/>
      <c r="F5" s="74"/>
      <c r="G5" s="686" t="s">
        <v>349</v>
      </c>
      <c r="H5" s="687"/>
      <c r="I5" s="687"/>
      <c r="J5" s="688"/>
      <c r="K5" s="73"/>
      <c r="L5" s="689" t="s">
        <v>124</v>
      </c>
      <c r="M5" s="684"/>
      <c r="N5" s="683" t="s">
        <v>125</v>
      </c>
      <c r="O5" s="684"/>
    </row>
    <row r="6" spans="1:16" ht="18.75" x14ac:dyDescent="0.3">
      <c r="A6" s="75"/>
      <c r="B6" s="76"/>
      <c r="C6" s="77"/>
      <c r="D6" s="77" t="s">
        <v>76</v>
      </c>
      <c r="E6" s="78" t="s">
        <v>29</v>
      </c>
      <c r="F6" s="79"/>
      <c r="G6" s="76"/>
      <c r="H6" s="77"/>
      <c r="I6" s="77" t="s">
        <v>76</v>
      </c>
      <c r="J6" s="78" t="s">
        <v>29</v>
      </c>
      <c r="K6" s="84"/>
      <c r="L6" s="198"/>
      <c r="M6" s="199"/>
      <c r="N6" s="200"/>
      <c r="O6" s="199"/>
    </row>
    <row r="7" spans="1:16" ht="15.75" x14ac:dyDescent="0.25">
      <c r="A7" s="80" t="s">
        <v>77</v>
      </c>
      <c r="B7" s="81">
        <v>2023</v>
      </c>
      <c r="C7" s="81">
        <v>2024</v>
      </c>
      <c r="D7" s="82" t="s">
        <v>78</v>
      </c>
      <c r="E7" s="83" t="s">
        <v>30</v>
      </c>
      <c r="F7" s="79"/>
      <c r="G7" s="81">
        <v>2023</v>
      </c>
      <c r="H7" s="81">
        <v>2024</v>
      </c>
      <c r="I7" s="82" t="s">
        <v>78</v>
      </c>
      <c r="J7" s="83" t="s">
        <v>30</v>
      </c>
      <c r="K7" s="84"/>
      <c r="L7" s="201">
        <v>2015</v>
      </c>
      <c r="M7" s="202">
        <v>2016</v>
      </c>
      <c r="N7" s="203">
        <v>2015</v>
      </c>
      <c r="O7" s="202">
        <v>2016</v>
      </c>
      <c r="P7" s="71" t="s">
        <v>128</v>
      </c>
    </row>
    <row r="8" spans="1:16" ht="18.75" x14ac:dyDescent="0.3">
      <c r="A8" s="85" t="s">
        <v>0</v>
      </c>
      <c r="B8" s="113"/>
      <c r="C8" s="87"/>
      <c r="D8" s="88"/>
      <c r="E8" s="386"/>
      <c r="F8" s="161"/>
      <c r="G8" s="113"/>
      <c r="H8" s="113"/>
      <c r="I8" s="87"/>
      <c r="J8" s="386"/>
      <c r="K8" s="123"/>
      <c r="L8" s="204" t="s">
        <v>0</v>
      </c>
      <c r="M8" s="205"/>
      <c r="N8" s="206"/>
      <c r="O8" s="205"/>
      <c r="P8" s="71" t="s">
        <v>133</v>
      </c>
    </row>
    <row r="9" spans="1:16" ht="18.75" x14ac:dyDescent="0.3">
      <c r="A9" s="177" t="s">
        <v>79</v>
      </c>
      <c r="B9" s="161">
        <f>'DNB Livsforsikring'!B7+'DNB Livsforsikring'!B22+'DNB Livsforsikring'!B36+'DNB Livsforsikring'!B47+'DNB Livsforsikring'!B66+'DNB Livsforsikring'!B134</f>
        <v>1174839.7120000001</v>
      </c>
      <c r="C9" s="161">
        <f>'DNB Livsforsikring'!C7+'DNB Livsforsikring'!C22+'DNB Livsforsikring'!C36+'DNB Livsforsikring'!C47+'DNB Livsforsikring'!C66+'DNB Livsforsikring'!C134</f>
        <v>1250013</v>
      </c>
      <c r="D9" s="88">
        <f t="shared" ref="D9:D30" si="0">IF(B9=0, "    ---- ", IF(ABS(ROUND(100/B9*C9-100,1))&lt;999,ROUND(100/B9*C9-100,1),IF(ROUND(100/B9*C9-100,1)&gt;999,999,-999)))</f>
        <v>6.4</v>
      </c>
      <c r="E9" s="386">
        <f t="shared" ref="E9:E31" si="1">100/C$32*C9</f>
        <v>6.6228296213563898</v>
      </c>
      <c r="F9" s="87"/>
      <c r="G9" s="161">
        <f>'DNB Livsforsikring'!B10+'DNB Livsforsikring'!B29+'DNB Livsforsikring'!B37+'DNB Livsforsikring'!B87+'DNB Livsforsikring'!B135</f>
        <v>185707519.94522351</v>
      </c>
      <c r="H9" s="161">
        <f>'DNB Livsforsikring'!C10+'DNB Livsforsikring'!C29+'DNB Livsforsikring'!C37+'DNB Livsforsikring'!C87+'DNB Livsforsikring'!C135</f>
        <v>182678854</v>
      </c>
      <c r="I9" s="88">
        <f t="shared" ref="I9:I27" si="2">IF(G9=0, "    ---- ", IF(ABS(ROUND(100/G9*H9-100,1))&lt;999,ROUND(100/G9*H9-100,1),IF(ROUND(100/G9*H9-100,1)&gt;999,999,-999)))</f>
        <v>-1.6</v>
      </c>
      <c r="J9" s="386">
        <f t="shared" ref="J9:J31" si="3">100/H$32*H9</f>
        <v>13.813500787290776</v>
      </c>
      <c r="K9" s="192" t="s">
        <v>130</v>
      </c>
      <c r="L9" s="207" t="e">
        <f ca="1">INDIRECT("'" &amp;#REF! &amp; "'!" &amp; $P$7)</f>
        <v>#REF!</v>
      </c>
      <c r="M9" s="205" t="e">
        <f ca="1">INDIRECT("'" &amp;#REF! &amp; "'!" &amp; $P$8)</f>
        <v>#REF!</v>
      </c>
      <c r="N9" s="207" t="e">
        <f ca="1">INDIRECT("'" &amp;#REF! &amp; "'!" &amp;#REF!)</f>
        <v>#REF!</v>
      </c>
      <c r="O9" s="205" t="e">
        <f ca="1">INDIRECT("'" &amp;#REF! &amp; "'!" &amp; $P$9)</f>
        <v>#REF!</v>
      </c>
      <c r="P9" s="71" t="s">
        <v>138</v>
      </c>
    </row>
    <row r="10" spans="1:16" ht="18.75" x14ac:dyDescent="0.3">
      <c r="A10" s="177" t="s">
        <v>80</v>
      </c>
      <c r="B10" s="161">
        <f>'Eika Forsikring AS'!B7+'Eika Forsikring AS'!B22+'Eika Forsikring AS'!B36+'Eika Forsikring AS'!B47+'Eika Forsikring AS'!B66+'Eika Forsikring AS'!B134</f>
        <v>189579</v>
      </c>
      <c r="C10" s="161">
        <f>'Eika Forsikring AS'!C7+'Eika Forsikring AS'!C22+'Eika Forsikring AS'!C36+'Eika Forsikring AS'!C47+'Eika Forsikring AS'!C66+'Eika Forsikring AS'!C134</f>
        <v>205089</v>
      </c>
      <c r="D10" s="88">
        <f t="shared" si="0"/>
        <v>8.1999999999999993</v>
      </c>
      <c r="E10" s="386">
        <f t="shared" si="1"/>
        <v>1.0866043026867405</v>
      </c>
      <c r="F10" s="87"/>
      <c r="G10" s="161">
        <f>'Eika Forsikring AS'!B10+'Eika Forsikring AS'!B29+'Eika Forsikring AS'!B37+'Eika Forsikring AS'!B87+'Eika Forsikring AS'!B135</f>
        <v>0</v>
      </c>
      <c r="H10" s="161">
        <f>'Eika Forsikring AS'!C10+'Eika Forsikring AS'!C29+'Eika Forsikring AS'!C37+'Eika Forsikring AS'!C87+'Eika Forsikring AS'!C135</f>
        <v>0</v>
      </c>
      <c r="I10" s="88"/>
      <c r="J10" s="386">
        <f t="shared" si="3"/>
        <v>0</v>
      </c>
      <c r="K10" s="71" t="s">
        <v>126</v>
      </c>
      <c r="L10" s="207">
        <f ca="1">INDIRECT("'" &amp; $A9 &amp; "'!" &amp; $P$7)</f>
        <v>0</v>
      </c>
      <c r="M10" s="205">
        <f ca="1">INDIRECT("'" &amp; $A9 &amp; "'!" &amp; $P$8)</f>
        <v>0</v>
      </c>
      <c r="N10" s="207" t="e">
        <f ca="1">INDIRECT("'" &amp; $A9 &amp; "'!" &amp;#REF!)</f>
        <v>#REF!</v>
      </c>
      <c r="O10" s="205">
        <f ca="1">INDIRECT("'" &amp; $A9 &amp; "'!" &amp; $P$9)</f>
        <v>0</v>
      </c>
    </row>
    <row r="11" spans="1:16" ht="18.75" x14ac:dyDescent="0.3">
      <c r="A11" s="177" t="s">
        <v>365</v>
      </c>
      <c r="B11" s="161">
        <f>'Euro Accident'!B7+'Euro Accident'!B22+'Euro Accident'!B36+'Euro Accident'!B47+'Euro Accident'!B66+'Euro Accident'!B134</f>
        <v>36616</v>
      </c>
      <c r="C11" s="161">
        <f>'Euro Accident'!C7+'Euro Accident'!C22+'Euro Accident'!C36+'Euro Accident'!C47+'Euro Accident'!C66+'Euro Accident'!C134</f>
        <v>51311</v>
      </c>
      <c r="D11" s="88">
        <f t="shared" ref="D11" si="4">IF(B11=0, "    ---- ", IF(ABS(ROUND(100/B11*C11-100,1))&lt;999,ROUND(100/B11*C11-100,1),IF(ROUND(100/B11*C11-100,1)&gt;999,999,-999)))</f>
        <v>40.1</v>
      </c>
      <c r="E11" s="386">
        <f t="shared" si="1"/>
        <v>0.27185638125476913</v>
      </c>
      <c r="F11" s="87"/>
      <c r="G11" s="161">
        <f>'Euro Accident'!B10+'Euro Accident'!B29+'Euro Accident'!B37+'Euro Accident'!B87+'Euro Accident'!B135</f>
        <v>0</v>
      </c>
      <c r="H11" s="161">
        <f>'Euro Accident'!C10+'Euro Accident'!C29+'Euro Accident'!C37+'Euro Accident'!C87+'Euro Accident'!C135</f>
        <v>0</v>
      </c>
      <c r="I11" s="88"/>
      <c r="J11" s="386">
        <f t="shared" si="3"/>
        <v>0</v>
      </c>
      <c r="L11" s="207"/>
      <c r="M11" s="205"/>
      <c r="N11" s="207"/>
      <c r="O11" s="205"/>
    </row>
    <row r="12" spans="1:16" ht="18.75" x14ac:dyDescent="0.3">
      <c r="A12" s="92" t="s">
        <v>352</v>
      </c>
      <c r="B12" s="161">
        <f>'Fremtind Livsforsikring'!B7+'Fremtind Livsforsikring'!B22+'Fremtind Livsforsikring'!B36+'Fremtind Livsforsikring'!B47+'Fremtind Livsforsikring'!B66+'Fremtind Livsforsikring'!B134</f>
        <v>931757.56291999994</v>
      </c>
      <c r="C12" s="161">
        <f>'Fremtind Livsforsikring'!C7+'Fremtind Livsforsikring'!C22+'Fremtind Livsforsikring'!C36+'Fremtind Livsforsikring'!C47+'Fremtind Livsforsikring'!C66+'Fremtind Livsforsikring'!C134</f>
        <v>998261.31835000007</v>
      </c>
      <c r="D12" s="88">
        <f t="shared" si="0"/>
        <v>7.1</v>
      </c>
      <c r="E12" s="386">
        <f t="shared" si="1"/>
        <v>5.2889966976524736</v>
      </c>
      <c r="F12" s="87"/>
      <c r="G12" s="161">
        <f>'Fremtind Livsforsikring'!B10+'Fremtind Livsforsikring'!B29+'Fremtind Livsforsikring'!B37+'Fremtind Livsforsikring'!B87+'Fremtind Livsforsikring'!B135</f>
        <v>4951045.9075499997</v>
      </c>
      <c r="H12" s="161">
        <f>'Fremtind Livsforsikring'!C10+'Fremtind Livsforsikring'!C29+'Fremtind Livsforsikring'!C37+'Fremtind Livsforsikring'!C87+'Fremtind Livsforsikring'!C135</f>
        <v>5524479.2054099999</v>
      </c>
      <c r="I12" s="88">
        <f t="shared" si="2"/>
        <v>11.6</v>
      </c>
      <c r="J12" s="386">
        <f t="shared" si="3"/>
        <v>0.41774073015206536</v>
      </c>
      <c r="K12" s="71" t="s">
        <v>131</v>
      </c>
      <c r="L12" s="207">
        <f ca="1">INDIRECT("'" &amp; $A10 &amp; "'!" &amp; $P$7)</f>
        <v>0</v>
      </c>
      <c r="M12" s="205">
        <f ca="1">INDIRECT("'" &amp; $A10 &amp; "'!" &amp; $P$8)</f>
        <v>0</v>
      </c>
      <c r="N12" s="207" t="e">
        <f ca="1">INDIRECT("'" &amp; $A10 &amp; "'!" &amp;#REF!)</f>
        <v>#REF!</v>
      </c>
      <c r="O12" s="205">
        <f ca="1">INDIRECT("'" &amp; $A10 &amp; "'!" &amp; $P$9)</f>
        <v>0</v>
      </c>
    </row>
    <row r="13" spans="1:16" ht="18.75" x14ac:dyDescent="0.3">
      <c r="A13" s="177" t="s">
        <v>81</v>
      </c>
      <c r="B13" s="162">
        <f>'Frende Livsforsikring'!B7+'Frende Livsforsikring'!B22+'Frende Livsforsikring'!B36+'Frende Livsforsikring'!B47+'Frende Livsforsikring'!B66+'Frende Livsforsikring'!B134</f>
        <v>561739</v>
      </c>
      <c r="C13" s="162">
        <f>'Frende Livsforsikring'!C7+'Frende Livsforsikring'!C22+'Frende Livsforsikring'!C36+'Frende Livsforsikring'!C47+'Frende Livsforsikring'!C66+'Frende Livsforsikring'!C134</f>
        <v>633168</v>
      </c>
      <c r="D13" s="88">
        <f t="shared" si="0"/>
        <v>12.7</v>
      </c>
      <c r="E13" s="386">
        <f t="shared" si="1"/>
        <v>3.3546561401321284</v>
      </c>
      <c r="F13" s="87"/>
      <c r="G13" s="161">
        <f>'Frende Livsforsikring'!B10+'Frende Livsforsikring'!B29+'Frende Livsforsikring'!B37+'Frende Livsforsikring'!B87+'Frende Livsforsikring'!B135</f>
        <v>1734604</v>
      </c>
      <c r="H13" s="161">
        <f>'Frende Livsforsikring'!C10+'Frende Livsforsikring'!C29+'Frende Livsforsikring'!C37+'Frende Livsforsikring'!C87+'Frende Livsforsikring'!C135</f>
        <v>2088315</v>
      </c>
      <c r="I13" s="88">
        <f t="shared" si="2"/>
        <v>20.399999999999999</v>
      </c>
      <c r="J13" s="386">
        <f t="shared" si="3"/>
        <v>0.15791067364923986</v>
      </c>
      <c r="L13" s="207"/>
      <c r="M13" s="205"/>
      <c r="N13" s="207"/>
      <c r="O13" s="205"/>
    </row>
    <row r="14" spans="1:16" ht="18.75" x14ac:dyDescent="0.3">
      <c r="A14" s="177" t="s">
        <v>82</v>
      </c>
      <c r="B14" s="161">
        <f>'Frende Skadeforsikring'!B7+'Frende Skadeforsikring'!B22+'Frende Skadeforsikring'!B36+'Frende Skadeforsikring'!B47+'Frende Skadeforsikring'!B66+'Frende Skadeforsikring'!B134</f>
        <v>6113.049</v>
      </c>
      <c r="C14" s="161">
        <f>'Frende Skadeforsikring'!C7+'Frende Skadeforsikring'!C22+'Frende Skadeforsikring'!C36+'Frende Skadeforsikring'!C47+'Frende Skadeforsikring'!C66+'Frende Skadeforsikring'!C134</f>
        <v>6049.5889999999999</v>
      </c>
      <c r="D14" s="88">
        <f t="shared" si="0"/>
        <v>-1</v>
      </c>
      <c r="E14" s="386">
        <f t="shared" si="1"/>
        <v>3.2051984440347243E-2</v>
      </c>
      <c r="F14" s="87"/>
      <c r="G14" s="161">
        <f>'Frende Skadeforsikring'!B10+'Frende Skadeforsikring'!B29+'Frende Skadeforsikring'!B37+'Frende Skadeforsikring'!B87+'Frende Skadeforsikring'!B135</f>
        <v>0</v>
      </c>
      <c r="H14" s="161">
        <f>'Frende Skadeforsikring'!C10+'Frende Skadeforsikring'!C29+'Frende Skadeforsikring'!C37+'Frende Skadeforsikring'!C87+'Frende Skadeforsikring'!C135</f>
        <v>0</v>
      </c>
      <c r="I14" s="88"/>
      <c r="J14" s="386">
        <f t="shared" si="3"/>
        <v>0</v>
      </c>
      <c r="K14" s="71" t="s">
        <v>127</v>
      </c>
      <c r="L14" s="207">
        <f t="shared" ref="L14:L30" ca="1" si="5">INDIRECT("'" &amp; $A13 &amp; "'!" &amp; $P$7)</f>
        <v>0</v>
      </c>
      <c r="M14" s="205">
        <f t="shared" ref="M14:M30" ca="1" si="6">INDIRECT("'" &amp; $A13 &amp; "'!" &amp; $P$8)</f>
        <v>0</v>
      </c>
      <c r="N14" s="207" t="e">
        <f ca="1">INDIRECT("'" &amp; $A13 &amp; "'!" &amp;#REF!)</f>
        <v>#REF!</v>
      </c>
      <c r="O14" s="205">
        <f t="shared" ref="O14:O30" ca="1" si="7">INDIRECT("'" &amp; $A13 &amp; "'!" &amp; $P$9)</f>
        <v>0</v>
      </c>
    </row>
    <row r="15" spans="1:16" ht="18.75" x14ac:dyDescent="0.3">
      <c r="A15" s="177" t="s">
        <v>83</v>
      </c>
      <c r="B15" s="161">
        <f>'Gjensidige Forsikring'!B7+'Gjensidige Forsikring'!B22+'Gjensidige Forsikring'!B36+'Gjensidige Forsikring'!B47+'Gjensidige Forsikring'!B66+'Gjensidige Forsikring'!B134</f>
        <v>1505481.132</v>
      </c>
      <c r="C15" s="161">
        <f>'Gjensidige Forsikring'!C7+'Gjensidige Forsikring'!C22+'Gjensidige Forsikring'!C36+'Gjensidige Forsikring'!C47+'Gjensidige Forsikring'!C66+'Gjensidige Forsikring'!C134</f>
        <v>1560765.828</v>
      </c>
      <c r="D15" s="88">
        <f t="shared" si="0"/>
        <v>3.7</v>
      </c>
      <c r="E15" s="386">
        <f t="shared" si="1"/>
        <v>8.2692629258089561</v>
      </c>
      <c r="F15" s="87"/>
      <c r="G15" s="161">
        <f>'Gjensidige Forsikring'!B10+'Gjensidige Forsikring'!B29+'Gjensidige Forsikring'!B37+'Gjensidige Forsikring'!B87+'Gjensidige Forsikring'!B135</f>
        <v>0</v>
      </c>
      <c r="H15" s="161">
        <f>'Gjensidige Forsikring'!C10+'Gjensidige Forsikring'!C29+'Gjensidige Forsikring'!C37+'Gjensidige Forsikring'!C87+'Gjensidige Forsikring'!C135</f>
        <v>0</v>
      </c>
      <c r="I15" s="88"/>
      <c r="J15" s="386">
        <f t="shared" si="3"/>
        <v>0</v>
      </c>
      <c r="K15" s="71" t="s">
        <v>132</v>
      </c>
      <c r="L15" s="207">
        <f t="shared" ca="1" si="5"/>
        <v>0</v>
      </c>
      <c r="M15" s="205">
        <f t="shared" ca="1" si="6"/>
        <v>0</v>
      </c>
      <c r="N15" s="207" t="e">
        <f ca="1">INDIRECT("'" &amp; $A14 &amp; "'!" &amp;#REF!)</f>
        <v>#REF!</v>
      </c>
      <c r="O15" s="205">
        <f t="shared" ca="1" si="7"/>
        <v>0</v>
      </c>
    </row>
    <row r="16" spans="1:16" ht="18.75" x14ac:dyDescent="0.3">
      <c r="A16" s="177" t="s">
        <v>84</v>
      </c>
      <c r="B16" s="161">
        <f>'Gjensidige Pensjon'!B7+'Gjensidige Pensjon'!B22+'Gjensidige Pensjon'!B36+'Gjensidige Pensjon'!B47+'Gjensidige Pensjon'!B66+'Gjensidige Pensjon'!B134</f>
        <v>291293</v>
      </c>
      <c r="C16" s="161">
        <f>'Gjensidige Pensjon'!C7+'Gjensidige Pensjon'!C22+'Gjensidige Pensjon'!C36+'Gjensidige Pensjon'!C47+'Gjensidige Pensjon'!C66+'Gjensidige Pensjon'!C134</f>
        <v>314987</v>
      </c>
      <c r="D16" s="88">
        <f t="shared" si="0"/>
        <v>8.1</v>
      </c>
      <c r="E16" s="386">
        <f t="shared" si="1"/>
        <v>1.6688668309387062</v>
      </c>
      <c r="F16" s="87"/>
      <c r="G16" s="161">
        <f>'Gjensidige Pensjon'!B10+'Gjensidige Pensjon'!B29+'Gjensidige Pensjon'!B37+'Gjensidige Pensjon'!B87+'Gjensidige Pensjon'!B135</f>
        <v>9094615</v>
      </c>
      <c r="H16" s="161">
        <f>'Gjensidige Pensjon'!C10+'Gjensidige Pensjon'!C29+'Gjensidige Pensjon'!C37+'Gjensidige Pensjon'!C87+'Gjensidige Pensjon'!C135</f>
        <v>10139234</v>
      </c>
      <c r="I16" s="88">
        <f t="shared" si="2"/>
        <v>11.5</v>
      </c>
      <c r="J16" s="386">
        <f t="shared" si="3"/>
        <v>0.76669145757573776</v>
      </c>
      <c r="K16" s="71" t="s">
        <v>128</v>
      </c>
      <c r="L16" s="207">
        <f t="shared" ca="1" si="5"/>
        <v>0</v>
      </c>
      <c r="M16" s="205">
        <f t="shared" ca="1" si="6"/>
        <v>0</v>
      </c>
      <c r="N16" s="207" t="e">
        <f ca="1">INDIRECT("'" &amp; $A15 &amp; "'!" &amp;#REF!)</f>
        <v>#REF!</v>
      </c>
      <c r="O16" s="205">
        <f t="shared" ca="1" si="7"/>
        <v>0</v>
      </c>
    </row>
    <row r="17" spans="1:21" ht="18.75" x14ac:dyDescent="0.3">
      <c r="A17" s="177" t="s">
        <v>85</v>
      </c>
      <c r="B17" s="161">
        <f>'If Skadeforsikring NUF'!B7+'If Skadeforsikring NUF'!B22+'If Skadeforsikring NUF'!B36+'If Skadeforsikring NUF'!B47+'If Skadeforsikring NUF'!B66+'If Skadeforsikring NUF'!B134</f>
        <v>224595.87164857</v>
      </c>
      <c r="C17" s="161">
        <f>'If Skadeforsikring NUF'!C7+'If Skadeforsikring NUF'!C22+'If Skadeforsikring NUF'!C36+'If Skadeforsikring NUF'!C47+'If Skadeforsikring NUF'!C66+'If Skadeforsikring NUF'!C134</f>
        <v>250285.496603765</v>
      </c>
      <c r="D17" s="88">
        <f t="shared" si="0"/>
        <v>11.4</v>
      </c>
      <c r="E17" s="386">
        <f t="shared" si="1"/>
        <v>1.3260647694890444</v>
      </c>
      <c r="F17" s="87"/>
      <c r="G17" s="161">
        <f>'If Skadeforsikring NUF'!B10+'If Skadeforsikring NUF'!B29+'If Skadeforsikring NUF'!B37+'If Skadeforsikring NUF'!B87+'If Skadeforsikring NUF'!B135</f>
        <v>0</v>
      </c>
      <c r="H17" s="161">
        <f>'If Skadeforsikring NUF'!C10+'If Skadeforsikring NUF'!C29+'If Skadeforsikring NUF'!C37+'If Skadeforsikring NUF'!C87+'If Skadeforsikring NUF'!C135</f>
        <v>0</v>
      </c>
      <c r="I17" s="88"/>
      <c r="J17" s="386">
        <f t="shared" si="3"/>
        <v>0</v>
      </c>
      <c r="K17" s="123"/>
      <c r="L17" s="207" t="e">
        <f ca="1">INDIRECT("'" &amp;#REF! &amp; "'!" &amp; $P$7)</f>
        <v>#REF!</v>
      </c>
      <c r="M17" s="205" t="e">
        <f ca="1">INDIRECT("'" &amp;#REF! &amp; "'!" &amp; $P$8)</f>
        <v>#REF!</v>
      </c>
      <c r="N17" s="207" t="e">
        <f ca="1">INDIRECT("'" &amp;#REF! &amp; "'!" &amp;#REF!)</f>
        <v>#REF!</v>
      </c>
      <c r="O17" s="205" t="e">
        <f ca="1">INDIRECT("'" &amp;#REF! &amp; "'!" &amp; $P$9)</f>
        <v>#REF!</v>
      </c>
    </row>
    <row r="18" spans="1:21" ht="18.75" x14ac:dyDescent="0.3">
      <c r="A18" s="177" t="s">
        <v>61</v>
      </c>
      <c r="B18" s="161">
        <f>KLP!B7+KLP!B22+KLP!B36+KLP!B47+KLP!B66+KLP!B134</f>
        <v>7553784.4308399996</v>
      </c>
      <c r="C18" s="161">
        <f>KLP!C7+KLP!C22+KLP!C36+KLP!C47+KLP!C66+KLP!C134</f>
        <v>7819124.7919600001</v>
      </c>
      <c r="D18" s="88">
        <f t="shared" si="0"/>
        <v>3.5</v>
      </c>
      <c r="E18" s="386">
        <f t="shared" si="1"/>
        <v>41.427354183736334</v>
      </c>
      <c r="F18" s="87"/>
      <c r="G18" s="161">
        <f>KLP!B10+KLP!B29+KLP!B37+KLP!B87+KLP!B135</f>
        <v>665564510.55555999</v>
      </c>
      <c r="H18" s="161">
        <f>KLP!C10+KLP!C29+KLP!C37+KLP!C87+KLP!C135</f>
        <v>742435451.03683996</v>
      </c>
      <c r="I18" s="88">
        <f t="shared" si="2"/>
        <v>11.5</v>
      </c>
      <c r="J18" s="386">
        <f t="shared" si="3"/>
        <v>56.140228947407188</v>
      </c>
      <c r="K18" s="123"/>
      <c r="L18" s="207" t="e">
        <f ca="1">INDIRECT("'" &amp;#REF! &amp; "'!" &amp; $P$7)</f>
        <v>#REF!</v>
      </c>
      <c r="M18" s="205" t="e">
        <f ca="1">INDIRECT("'" &amp;#REF! &amp; "'!" &amp; $P$8)</f>
        <v>#REF!</v>
      </c>
      <c r="N18" s="207" t="e">
        <f ca="1">INDIRECT("'" &amp;#REF! &amp; "'!" &amp;#REF!)</f>
        <v>#REF!</v>
      </c>
      <c r="O18" s="205" t="e">
        <f ca="1">INDIRECT("'" &amp;#REF! &amp; "'!" &amp; $P$9)</f>
        <v>#REF!</v>
      </c>
    </row>
    <row r="19" spans="1:21" ht="18.75" x14ac:dyDescent="0.3">
      <c r="A19" s="92" t="s">
        <v>86</v>
      </c>
      <c r="B19" s="161">
        <f>'KLP Skadeforsikring AS'!B7+'KLP Skadeforsikring AS'!B22+'KLP Skadeforsikring AS'!B36+'KLP Skadeforsikring AS'!B47+'KLP Skadeforsikring AS'!B66+'KLP Skadeforsikring AS'!B134</f>
        <v>193468.31199999998</v>
      </c>
      <c r="C19" s="161">
        <f>'KLP Skadeforsikring AS'!C7+'KLP Skadeforsikring AS'!C22+'KLP Skadeforsikring AS'!C36+'KLP Skadeforsikring AS'!C47+'KLP Skadeforsikring AS'!C66+'KLP Skadeforsikring AS'!C134</f>
        <v>212764.049</v>
      </c>
      <c r="D19" s="88">
        <f t="shared" si="0"/>
        <v>10</v>
      </c>
      <c r="E19" s="386">
        <f t="shared" si="1"/>
        <v>1.1272683132710799</v>
      </c>
      <c r="F19" s="87"/>
      <c r="G19" s="161">
        <f>'KLP Skadeforsikring AS'!B10+'KLP Skadeforsikring AS'!B29+'KLP Skadeforsikring AS'!B37+'KLP Skadeforsikring AS'!B87+'KLP Skadeforsikring AS'!B135</f>
        <v>114338.397</v>
      </c>
      <c r="H19" s="161">
        <f>'KLP Skadeforsikring AS'!C10+'KLP Skadeforsikring AS'!C29+'KLP Skadeforsikring AS'!C37+'KLP Skadeforsikring AS'!C87+'KLP Skadeforsikring AS'!C135</f>
        <v>148316.739</v>
      </c>
      <c r="I19" s="88">
        <f t="shared" si="2"/>
        <v>29.7</v>
      </c>
      <c r="J19" s="386">
        <f t="shared" si="3"/>
        <v>1.1215164459838906E-2</v>
      </c>
      <c r="K19" s="123"/>
      <c r="L19" s="207">
        <f ca="1">INDIRECT("'" &amp; $A31 &amp; "'!" &amp; $P$7)</f>
        <v>0</v>
      </c>
      <c r="M19" s="205">
        <f ca="1">INDIRECT("'" &amp; $A31 &amp; "'!" &amp; $P$8)</f>
        <v>0</v>
      </c>
      <c r="N19" s="207" t="e">
        <f ca="1">INDIRECT("'" &amp; $A31 &amp; "'!" &amp;#REF!)</f>
        <v>#REF!</v>
      </c>
      <c r="O19" s="205">
        <f ca="1">INDIRECT("'" &amp; $A31 &amp; "'!" &amp; $P$9)</f>
        <v>0</v>
      </c>
    </row>
    <row r="20" spans="1:21" ht="18.75" x14ac:dyDescent="0.3">
      <c r="A20" s="92" t="s">
        <v>360</v>
      </c>
      <c r="B20" s="161">
        <f>'Landkreditt Forsikring'!B7+'Landkreditt Forsikring'!B22+'Landkreditt Forsikring'!B36+'Landkreditt Forsikring'!B47+'Landkreditt Forsikring'!B66+'Landkreditt Forsikring'!B134</f>
        <v>20027</v>
      </c>
      <c r="C20" s="161">
        <f>'Landkreditt Forsikring'!C7+'Landkreditt Forsikring'!C22+'Landkreditt Forsikring'!C36+'Landkreditt Forsikring'!C47+'Landkreditt Forsikring'!C66+'Landkreditt Forsikring'!C134</f>
        <v>22470</v>
      </c>
      <c r="D20" s="88">
        <f t="shared" si="0"/>
        <v>12.2</v>
      </c>
      <c r="E20" s="386">
        <f t="shared" si="1"/>
        <v>0.11905074714573213</v>
      </c>
      <c r="F20" s="87"/>
      <c r="G20" s="161">
        <f>'Landkreditt Forsikring'!B10+'Landkreditt Forsikring'!B29+'Landkreditt Forsikring'!B37+'Landkreditt Forsikring'!B87+'Landkreditt Forsikring'!B135</f>
        <v>0</v>
      </c>
      <c r="H20" s="161">
        <f>'Landkreditt Forsikring'!C10+'Landkreditt Forsikring'!C29+'Landkreditt Forsikring'!C37+'Landkreditt Forsikring'!C87+'Landkreditt Forsikring'!C135</f>
        <v>0</v>
      </c>
      <c r="I20" s="88"/>
      <c r="J20" s="386">
        <f t="shared" si="3"/>
        <v>0</v>
      </c>
      <c r="K20" s="123"/>
      <c r="L20" s="207">
        <f t="shared" ca="1" si="5"/>
        <v>0</v>
      </c>
      <c r="M20" s="205">
        <f t="shared" ca="1" si="6"/>
        <v>0</v>
      </c>
      <c r="N20" s="207" t="e">
        <f ca="1">INDIRECT("'" &amp; $A19 &amp; "'!" &amp;#REF!)</f>
        <v>#REF!</v>
      </c>
      <c r="O20" s="205">
        <f t="shared" ca="1" si="7"/>
        <v>0</v>
      </c>
    </row>
    <row r="21" spans="1:21" ht="18.75" x14ac:dyDescent="0.3">
      <c r="A21" s="92" t="s">
        <v>369</v>
      </c>
      <c r="B21" s="161">
        <f>'Ly Forsikring'!B7+'Ly Forsikring'!B22+'Ly Forsikring'!B36+'Ly Forsikring'!B47+'Ly Forsikring'!B66+'Ly Forsikring'!B134</f>
        <v>12079</v>
      </c>
      <c r="C21" s="161">
        <f>'Ly Forsikring'!C7+'Ly Forsikring'!C22+'Ly Forsikring'!C36+'Ly Forsikring'!C47+'Ly Forsikring'!C66+'Ly Forsikring'!C134</f>
        <v>14299.8</v>
      </c>
      <c r="D21" s="88">
        <f t="shared" ref="D21" si="8">IF(B21=0, "    ---- ", IF(ABS(ROUND(100/B21*C21-100,1))&lt;999,ROUND(100/B21*C21-100,1),IF(ROUND(100/B21*C21-100,1)&gt;999,999,-999)))</f>
        <v>18.399999999999999</v>
      </c>
      <c r="E21" s="386">
        <f t="shared" si="1"/>
        <v>7.5763323277015598E-2</v>
      </c>
      <c r="F21" s="87"/>
      <c r="G21" s="161">
        <f>'Ly Forsikring'!B10+'Ly Forsikring'!B29+'Ly Forsikring'!B37+'Ly Forsikring'!B87+'Ly Forsikring'!B135</f>
        <v>0</v>
      </c>
      <c r="H21" s="161">
        <f>'Ly Forsikring'!C10+'Ly Forsikring'!C29+'Ly Forsikring'!C37+'Ly Forsikring'!C87+'Ly Forsikring'!C135</f>
        <v>0</v>
      </c>
      <c r="I21" s="88"/>
      <c r="J21" s="386">
        <f t="shared" si="3"/>
        <v>0</v>
      </c>
      <c r="K21" s="123"/>
      <c r="L21" s="207"/>
      <c r="M21" s="205"/>
      <c r="N21" s="207"/>
      <c r="O21" s="205"/>
    </row>
    <row r="22" spans="1:21" ht="18.75" x14ac:dyDescent="0.3">
      <c r="A22" s="92" t="s">
        <v>87</v>
      </c>
      <c r="B22" s="161">
        <f>'Nordea Liv '!B7+'Nordea Liv '!B22+'Nordea Liv '!B36+'Nordea Liv '!B47+'Nordea Liv '!B66+'Nordea Liv '!B134</f>
        <v>690329.4997849986</v>
      </c>
      <c r="C22" s="161">
        <f>'Nordea Liv '!C7+'Nordea Liv '!C22+'Nordea Liv '!C36+'Nordea Liv '!C47+'Nordea Liv '!C66+'Nordea Liv '!C134</f>
        <v>749011.92606698244</v>
      </c>
      <c r="D22" s="88">
        <f t="shared" si="0"/>
        <v>8.5</v>
      </c>
      <c r="E22" s="386">
        <f t="shared" si="1"/>
        <v>3.9684214249816709</v>
      </c>
      <c r="F22" s="87"/>
      <c r="G22" s="162">
        <f>'Nordea Liv '!B10+'Nordea Liv '!B29+'Nordea Liv '!B37+'Nordea Liv '!B87+'Nordea Liv '!B135</f>
        <v>54987610.000009887</v>
      </c>
      <c r="H22" s="162">
        <f>'Nordea Liv '!C10+'Nordea Liv '!C29+'Nordea Liv '!C37+'Nordea Liv '!C87+'Nordea Liv '!C135</f>
        <v>54599980.000004023</v>
      </c>
      <c r="I22" s="88">
        <f t="shared" si="2"/>
        <v>-0.7</v>
      </c>
      <c r="J22" s="386">
        <f t="shared" si="3"/>
        <v>4.128648993583659</v>
      </c>
      <c r="K22" s="123"/>
      <c r="L22" s="207">
        <f ca="1">INDIRECT("'" &amp; $A20 &amp; "'!" &amp; $P$7)</f>
        <v>0</v>
      </c>
      <c r="M22" s="205">
        <f ca="1">INDIRECT("'" &amp; $A20 &amp; "'!" &amp; $P$8)</f>
        <v>0</v>
      </c>
      <c r="N22" s="207" t="e">
        <f ca="1">INDIRECT("'" &amp; $A20 &amp; "'!" &amp;#REF!)</f>
        <v>#REF!</v>
      </c>
      <c r="O22" s="205">
        <f ca="1">INDIRECT("'" &amp; $A20 &amp; "'!" &amp; $P$9)</f>
        <v>0</v>
      </c>
    </row>
    <row r="23" spans="1:21" ht="18.75" x14ac:dyDescent="0.3">
      <c r="A23" s="92" t="s">
        <v>403</v>
      </c>
      <c r="B23" s="161">
        <f>'Oslo Forsikring'!B7+'Oslo Forsikring'!B22+'Oslo Forsikring'!B36+'Oslo Forsikring'!B47+'Oslo Forsikring'!B66+'Oslo Forsikring'!B134</f>
        <v>0</v>
      </c>
      <c r="C23" s="161">
        <f>'Oslo Forsikring'!C7+'Oslo Forsikring'!C22+'Oslo Forsikring'!C36+'Oslo Forsikring'!C47+'Oslo Forsikring'!C66+'Oslo Forsikring'!C134</f>
        <v>8485</v>
      </c>
      <c r="D23" s="88" t="str">
        <f t="shared" ref="D23" si="9">IF(B23=0, "    ---- ", IF(ABS(ROUND(100/B23*C23-100,1))&lt;999,ROUND(100/B23*C23-100,1),IF(ROUND(100/B23*C23-100,1)&gt;999,999,-999)))</f>
        <v xml:space="preserve">    ---- </v>
      </c>
      <c r="E23" s="386">
        <f t="shared" si="1"/>
        <v>4.4955299934647849E-2</v>
      </c>
      <c r="F23" s="87"/>
      <c r="G23" s="161">
        <f>'Oslo Forsikring'!B10+'Oslo Forsikring'!B29+'Oslo Forsikring'!B37+'Oslo Forsikring'!B87+'Oslo Forsikring'!B135</f>
        <v>0</v>
      </c>
      <c r="H23" s="161">
        <f>'Oslo Forsikring'!C10+'Oslo Forsikring'!C29+'Oslo Forsikring'!C37+'Oslo Forsikring'!C87+'Oslo Forsikring'!C135</f>
        <v>0</v>
      </c>
      <c r="I23" s="88"/>
      <c r="J23" s="386">
        <f t="shared" si="3"/>
        <v>0</v>
      </c>
      <c r="K23" s="123"/>
      <c r="L23" s="207"/>
      <c r="M23" s="205"/>
      <c r="N23" s="207"/>
      <c r="O23" s="205"/>
    </row>
    <row r="24" spans="1:21" ht="18.75" x14ac:dyDescent="0.3">
      <c r="A24" s="92" t="s">
        <v>88</v>
      </c>
      <c r="B24" s="161">
        <f>'Oslo Pensjonsforsikring'!B7+'Oslo Pensjonsforsikring'!B22+'Oslo Pensjonsforsikring'!B36+'Oslo Pensjonsforsikring'!B47+'Oslo Pensjonsforsikring'!B66+'Oslo Pensjonsforsikring'!B134</f>
        <v>1068666.4779999999</v>
      </c>
      <c r="C24" s="161">
        <f>'Oslo Pensjonsforsikring'!C7+'Oslo Pensjonsforsikring'!C22+'Oslo Pensjonsforsikring'!C36+'Oslo Pensjonsforsikring'!C47+'Oslo Pensjonsforsikring'!C66+'Oslo Pensjonsforsikring'!C134</f>
        <v>908134</v>
      </c>
      <c r="D24" s="88">
        <f t="shared" si="0"/>
        <v>-15</v>
      </c>
      <c r="E24" s="386">
        <f t="shared" si="1"/>
        <v>4.8114833648616964</v>
      </c>
      <c r="F24" s="87"/>
      <c r="G24" s="161">
        <f>'Oslo Pensjonsforsikring'!B10+'Oslo Pensjonsforsikring'!B29+'Oslo Pensjonsforsikring'!B37+'Oslo Pensjonsforsikring'!B87+'Oslo Pensjonsforsikring'!B135</f>
        <v>88090907</v>
      </c>
      <c r="H24" s="161">
        <f>'Oslo Pensjonsforsikring'!C10+'Oslo Pensjonsforsikring'!C29+'Oslo Pensjonsforsikring'!C37+'Oslo Pensjonsforsikring'!C87+'Oslo Pensjonsforsikring'!C135</f>
        <v>94317675</v>
      </c>
      <c r="I24" s="88">
        <f t="shared" si="2"/>
        <v>7.1</v>
      </c>
      <c r="J24" s="386">
        <f t="shared" si="3"/>
        <v>7.1319545165744005</v>
      </c>
      <c r="K24" s="123"/>
      <c r="L24" s="207">
        <f ca="1">INDIRECT("'" &amp; $A22 &amp; "'!" &amp; $P$7)</f>
        <v>0</v>
      </c>
      <c r="M24" s="205">
        <f ca="1">INDIRECT("'" &amp; $A22 &amp; "'!" &amp; $P$8)</f>
        <v>0</v>
      </c>
      <c r="N24" s="207" t="e">
        <f ca="1">INDIRECT("'" &amp; $A22 &amp; "'!" &amp;#REF!)</f>
        <v>#REF!</v>
      </c>
      <c r="O24" s="205">
        <f ca="1">INDIRECT("'" &amp; $A22 &amp; "'!" &amp; $P$9)</f>
        <v>0</v>
      </c>
    </row>
    <row r="25" spans="1:21" ht="18.75" x14ac:dyDescent="0.3">
      <c r="A25" s="92" t="s">
        <v>320</v>
      </c>
      <c r="B25" s="161">
        <f>'Protector Forsikring'!B7+'Protector Forsikring'!B22+'Protector Forsikring'!B36+'Protector Forsikring'!B47+'Protector Forsikring'!B66+'Protector Forsikring'!B134</f>
        <v>255125.81038457406</v>
      </c>
      <c r="C25" s="161">
        <f>'Protector Forsikring'!C7+'Protector Forsikring'!C22+'Protector Forsikring'!C36+'Protector Forsikring'!C47+'Protector Forsikring'!C66+'Protector Forsikring'!C134</f>
        <v>268907</v>
      </c>
      <c r="D25" s="88">
        <f t="shared" si="0"/>
        <v>5.4</v>
      </c>
      <c r="E25" s="386">
        <f t="shared" si="1"/>
        <v>1.424725378848126</v>
      </c>
      <c r="F25" s="87"/>
      <c r="G25" s="161">
        <f>'Protector Forsikring'!B10+'Protector Forsikring'!B29+'Protector Forsikring'!B37+'Protector Forsikring'!B87+'Protector Forsikring'!B135</f>
        <v>0</v>
      </c>
      <c r="H25" s="161">
        <f>'Protector Forsikring'!C10+'Protector Forsikring'!C29+'Protector Forsikring'!C37+'Protector Forsikring'!C87+'Protector Forsikring'!C135</f>
        <v>0</v>
      </c>
      <c r="I25" s="88"/>
      <c r="J25" s="386">
        <f t="shared" si="3"/>
        <v>0</v>
      </c>
      <c r="K25" s="123"/>
      <c r="L25" s="207">
        <f t="shared" ca="1" si="5"/>
        <v>0</v>
      </c>
      <c r="M25" s="205">
        <f t="shared" ca="1" si="6"/>
        <v>0</v>
      </c>
      <c r="N25" s="207" t="e">
        <f ca="1">INDIRECT("'" &amp; $A24 &amp; "'!" &amp;#REF!)</f>
        <v>#REF!</v>
      </c>
      <c r="O25" s="205">
        <f t="shared" ca="1" si="7"/>
        <v>0</v>
      </c>
    </row>
    <row r="26" spans="1:21" ht="18.75" x14ac:dyDescent="0.3">
      <c r="A26" s="177" t="s">
        <v>368</v>
      </c>
      <c r="B26" s="161">
        <f>'Sparebank 1'!B7+'Sparebank 1'!B22+'Sparebank 1'!B36+'Sparebank 1'!B47+'Sparebank 1'!B66+'Sparebank 1'!B134</f>
        <v>269626.87029000005</v>
      </c>
      <c r="C26" s="161">
        <f>'Sparebank 1'!C7+'Sparebank 1'!C22+'Sparebank 1'!C36+'Sparebank 1'!C47+'Sparebank 1'!C66+'Sparebank 1'!C134</f>
        <v>282541.22444999998</v>
      </c>
      <c r="D26" s="88">
        <f t="shared" si="0"/>
        <v>4.8</v>
      </c>
      <c r="E26" s="386">
        <f t="shared" si="1"/>
        <v>1.4969623440250333</v>
      </c>
      <c r="F26" s="87"/>
      <c r="G26" s="161">
        <f>'Sparebank 1'!B10+'Sparebank 1'!B29+'Sparebank 1'!B37+'Sparebank 1'!B87+'Sparebank 1'!B135</f>
        <v>19424412.876610003</v>
      </c>
      <c r="H26" s="161">
        <f>'Sparebank 1'!C10+'Sparebank 1'!C29+'Sparebank 1'!C37+'Sparebank 1'!C87+'Sparebank 1'!C135</f>
        <v>21904980.821390003</v>
      </c>
      <c r="I26" s="88">
        <f t="shared" si="2"/>
        <v>12.8</v>
      </c>
      <c r="J26" s="386">
        <f t="shared" si="3"/>
        <v>1.6563738122741898</v>
      </c>
      <c r="K26" s="123"/>
      <c r="L26" s="207">
        <f t="shared" ca="1" si="5"/>
        <v>0</v>
      </c>
      <c r="M26" s="205">
        <f t="shared" ca="1" si="6"/>
        <v>0</v>
      </c>
      <c r="N26" s="207" t="e">
        <f ca="1">INDIRECT("'" &amp; $A25 &amp; "'!" &amp;#REF!)</f>
        <v>#REF!</v>
      </c>
      <c r="O26" s="205">
        <f t="shared" ca="1" si="7"/>
        <v>0</v>
      </c>
    </row>
    <row r="27" spans="1:21" ht="18.75" x14ac:dyDescent="0.3">
      <c r="A27" s="92" t="s">
        <v>89</v>
      </c>
      <c r="B27" s="161">
        <f>'Storebrand Livsforsikring'!B7+'Storebrand Livsforsikring'!B22+'Storebrand Livsforsikring'!B36+'Storebrand Livsforsikring'!B47+'Storebrand Livsforsikring'!B66+'Storebrand Livsforsikring'!B134</f>
        <v>2787293.2384699997</v>
      </c>
      <c r="C27" s="161">
        <f>'Storebrand Livsforsikring'!C7+'Storebrand Livsforsikring'!C22+'Storebrand Livsforsikring'!C36+'Storebrand Livsforsikring'!C47+'Storebrand Livsforsikring'!C66+'Storebrand Livsforsikring'!C134</f>
        <v>2546560.0348999999</v>
      </c>
      <c r="D27" s="88">
        <f t="shared" si="0"/>
        <v>-8.6</v>
      </c>
      <c r="E27" s="386">
        <f t="shared" si="1"/>
        <v>13.492206266413293</v>
      </c>
      <c r="F27" s="87"/>
      <c r="G27" s="161">
        <f>'Storebrand Livsforsikring'!B10+'Storebrand Livsforsikring'!B29+'Storebrand Livsforsikring'!B37+'Storebrand Livsforsikring'!B87+'Storebrand Livsforsikring'!B135</f>
        <v>201474818.16530001</v>
      </c>
      <c r="H27" s="161">
        <f>'Storebrand Livsforsikring'!C10+'Storebrand Livsforsikring'!C29+'Storebrand Livsforsikring'!C37+'Storebrand Livsforsikring'!C87+'Storebrand Livsforsikring'!C135</f>
        <v>208594525.58670002</v>
      </c>
      <c r="I27" s="88">
        <f t="shared" si="2"/>
        <v>3.5</v>
      </c>
      <c r="J27" s="386">
        <f t="shared" si="3"/>
        <v>15.773148234313023</v>
      </c>
      <c r="K27" s="123"/>
      <c r="L27" s="207" t="e">
        <f t="shared" ca="1" si="5"/>
        <v>#REF!</v>
      </c>
      <c r="M27" s="205" t="e">
        <f t="shared" ca="1" si="6"/>
        <v>#REF!</v>
      </c>
      <c r="N27" s="207" t="e">
        <f ca="1">INDIRECT("'" &amp; $A26 &amp; "'!" &amp;#REF!)</f>
        <v>#REF!</v>
      </c>
      <c r="O27" s="205" t="e">
        <f t="shared" ca="1" si="7"/>
        <v>#REF!</v>
      </c>
    </row>
    <row r="28" spans="1:21" ht="18.75" x14ac:dyDescent="0.3">
      <c r="A28" s="92" t="s">
        <v>90</v>
      </c>
      <c r="B28" s="161">
        <f>'Telenor Forsikring'!B7+'Telenor Forsikring'!B22+'Telenor Forsikring'!B36+'Telenor Forsikring'!B47+'Telenor Forsikring'!B66+'Telenor Forsikring'!B134</f>
        <v>1972</v>
      </c>
      <c r="C28" s="161">
        <f>'Telenor Forsikring'!C7+'Telenor Forsikring'!C22+'Telenor Forsikring'!C36+'Telenor Forsikring'!C47+'Telenor Forsikring'!C66+'Telenor Forsikring'!C134</f>
        <v>2386</v>
      </c>
      <c r="D28" s="88">
        <f t="shared" si="0"/>
        <v>21</v>
      </c>
      <c r="E28" s="386">
        <f t="shared" si="1"/>
        <v>1.2641525709377698E-2</v>
      </c>
      <c r="F28" s="87"/>
      <c r="G28" s="161">
        <f>'Telenor Forsikring'!B10+'Telenor Forsikring'!B29+'Telenor Forsikring'!B37+'Telenor Forsikring'!B87+'Telenor Forsikring'!B135</f>
        <v>0</v>
      </c>
      <c r="H28" s="161">
        <f>'Telenor Forsikring'!C10+'Telenor Forsikring'!C29+'Telenor Forsikring'!C37+'Telenor Forsikring'!C87+'Telenor Forsikring'!C135</f>
        <v>0</v>
      </c>
      <c r="I28" s="88"/>
      <c r="J28" s="386">
        <f t="shared" si="3"/>
        <v>0</v>
      </c>
      <c r="K28" s="123"/>
      <c r="L28" s="207">
        <f t="shared" ca="1" si="5"/>
        <v>0</v>
      </c>
      <c r="M28" s="205">
        <f t="shared" ca="1" si="6"/>
        <v>0</v>
      </c>
      <c r="N28" s="207" t="e">
        <f ca="1">INDIRECT("'" &amp; $A27 &amp; "'!" &amp;#REF!)</f>
        <v>#REF!</v>
      </c>
      <c r="O28" s="205">
        <f t="shared" ca="1" si="7"/>
        <v>0</v>
      </c>
      <c r="R28" s="508"/>
    </row>
    <row r="29" spans="1:21" ht="18.75" x14ac:dyDescent="0.3">
      <c r="A29" s="92" t="s">
        <v>91</v>
      </c>
      <c r="B29" s="161">
        <f>'Tryg Forsikring'!B7+'Tryg Forsikring'!B22+'Tryg Forsikring'!B36+'Tryg Forsikring'!B47+'Tryg Forsikring'!B66+'Tryg Forsikring'!B134</f>
        <v>685373.375</v>
      </c>
      <c r="C29" s="161">
        <f>'Tryg Forsikring'!C7+'Tryg Forsikring'!C22+'Tryg Forsikring'!C36+'Tryg Forsikring'!C47+'Tryg Forsikring'!C66+'Tryg Forsikring'!C134</f>
        <v>751536</v>
      </c>
      <c r="D29" s="88">
        <f t="shared" si="0"/>
        <v>9.6999999999999993</v>
      </c>
      <c r="E29" s="386">
        <f t="shared" si="1"/>
        <v>3.9817944951898063</v>
      </c>
      <c r="F29" s="87"/>
      <c r="G29" s="161"/>
      <c r="H29" s="161"/>
      <c r="I29" s="88"/>
      <c r="J29" s="386">
        <f t="shared" si="3"/>
        <v>0</v>
      </c>
      <c r="K29" s="191"/>
      <c r="L29" s="207">
        <f t="shared" ca="1" si="5"/>
        <v>0</v>
      </c>
      <c r="M29" s="205">
        <f t="shared" ca="1" si="6"/>
        <v>0</v>
      </c>
      <c r="N29" s="207" t="e">
        <f ca="1">INDIRECT("'" &amp; $A28 &amp; "'!" &amp;#REF!)</f>
        <v>#REF!</v>
      </c>
      <c r="O29" s="205">
        <f t="shared" ca="1" si="7"/>
        <v>0</v>
      </c>
    </row>
    <row r="30" spans="1:21" ht="18.75" x14ac:dyDescent="0.3">
      <c r="A30" s="177" t="s">
        <v>363</v>
      </c>
      <c r="B30" s="161">
        <f>'WaterCircles F'!B7+'WaterCircles F'!B22+'WaterCircles F'!B36+'WaterCircles F'!B47+'WaterCircles F'!B66+'WaterCircles F'!B136</f>
        <v>2003</v>
      </c>
      <c r="C30" s="161">
        <f>'WaterCircles F'!C7+'WaterCircles F'!C22+'WaterCircles F'!C36+'WaterCircles F'!C47+'WaterCircles F'!C66+'WaterCircles F'!C136</f>
        <v>1726</v>
      </c>
      <c r="D30" s="88">
        <f t="shared" si="0"/>
        <v>-13.8</v>
      </c>
      <c r="E30" s="386">
        <f t="shared" si="1"/>
        <v>9.1447080362053266E-3</v>
      </c>
      <c r="F30" s="177"/>
      <c r="G30" s="87">
        <f>'WaterCircles F'!B10+'WaterCircles F'!B29+'WaterCircles F'!B37+'WaterCircles F'!B87+'WaterCircles F'!B135</f>
        <v>0</v>
      </c>
      <c r="H30" s="87">
        <f>'WaterCircles F'!C10+'WaterCircles F'!C29+'WaterCircles F'!C37+'WaterCircles F'!C87+'WaterCircles F'!C135</f>
        <v>0</v>
      </c>
      <c r="I30" s="88"/>
      <c r="J30" s="386">
        <f t="shared" si="3"/>
        <v>0</v>
      </c>
      <c r="K30" s="191"/>
      <c r="L30" s="207">
        <f t="shared" ca="1" si="5"/>
        <v>0</v>
      </c>
      <c r="M30" s="205">
        <f t="shared" ca="1" si="6"/>
        <v>0</v>
      </c>
      <c r="N30" s="207" t="e">
        <f ca="1">INDIRECT("'" &amp; $A29 &amp; "'!" &amp;#REF!)</f>
        <v>#REF!</v>
      </c>
      <c r="O30" s="205">
        <f t="shared" ca="1" si="7"/>
        <v>0</v>
      </c>
    </row>
    <row r="31" spans="1:21" ht="18.75" x14ac:dyDescent="0.3">
      <c r="A31" s="92" t="s">
        <v>370</v>
      </c>
      <c r="B31" s="161">
        <f>'Youplus Livsforsikring'!B7+'Youplus Livsforsikring'!B22+'Youplus Livsforsikring'!B36+'Youplus Livsforsikring'!B47+'Youplus Livsforsikring'!B66+'Youplus Livsforsikring'!B134</f>
        <v>1558</v>
      </c>
      <c r="C31" s="161">
        <f>'Youplus Livsforsikring'!C7+'Youplus Livsforsikring'!C22+'Youplus Livsforsikring'!C36+'Youplus Livsforsikring'!C47+'Youplus Livsforsikring'!C66+'Youplus Livsforsikring'!C134</f>
        <v>16428</v>
      </c>
      <c r="D31" s="88">
        <f>IF(B31=0, "    ---- ", IF(ABS(ROUND(100/B31*C31-100,1))&lt;999,ROUND(100/B31*C31-100,1),IF(ROUND(100/B31*C31-100,1)&gt;999,999,-999)))</f>
        <v>954.4</v>
      </c>
      <c r="E31" s="386">
        <f t="shared" si="1"/>
        <v>8.7038970810417782E-2</v>
      </c>
      <c r="F31" s="87"/>
      <c r="G31" s="161">
        <f>'Youplus Livsforsikring'!B10+'Youplus Livsforsikring'!B29+'Youplus Livsforsikring'!B37+'Youplus Livsforsikring'!B87+'Youplus Livsforsikring'!B135</f>
        <v>7107</v>
      </c>
      <c r="H31" s="161">
        <f>'Youplus Livsforsikring'!C10+'Youplus Livsforsikring'!C29+'Youplus Livsforsikring'!C37+'Youplus Livsforsikring'!C87+'Youplus Livsforsikring'!C135</f>
        <v>34208</v>
      </c>
      <c r="I31" s="88">
        <f>IF(G31=0, "    ---- ", IF(ABS(ROUND(100/G31*H31-100,1))&lt;999,ROUND(100/G31*H31-100,1),IF(ROUND(100/G31*H31-100,1)&gt;999,999,-999)))</f>
        <v>381.3</v>
      </c>
      <c r="J31" s="386">
        <f t="shared" si="3"/>
        <v>2.5866827198929268E-3</v>
      </c>
      <c r="K31" s="123"/>
      <c r="L31" s="207">
        <f ca="1">INDIRECT("'" &amp; $A18 &amp; "'!" &amp; $P$7)</f>
        <v>0</v>
      </c>
      <c r="M31" s="205">
        <f ca="1">INDIRECT("'" &amp; $A18 &amp; "'!" &amp; $P$8)</f>
        <v>0</v>
      </c>
      <c r="N31" s="207" t="e">
        <f ca="1">INDIRECT("'" &amp; $A18 &amp; "'!" &amp;#REF!)</f>
        <v>#REF!</v>
      </c>
      <c r="O31" s="205">
        <f ca="1">INDIRECT("'" &amp; $A18 &amp; "'!" &amp; $P$9)</f>
        <v>0</v>
      </c>
    </row>
    <row r="32" spans="1:21" s="95" customFormat="1" ht="18.75" x14ac:dyDescent="0.3">
      <c r="A32" s="121" t="s">
        <v>92</v>
      </c>
      <c r="B32" s="163">
        <f>SUM(B9:B31)</f>
        <v>18463321.342338141</v>
      </c>
      <c r="C32" s="225">
        <f>SUM(C9:C31)</f>
        <v>18874304.058330748</v>
      </c>
      <c r="D32" s="88">
        <f t="shared" ref="D32" si="10">IF(B32=0, "    ---- ", IF(ABS(ROUND(100/B32*C32-100,1))&lt;999,ROUND(100/B32*C32-100,1),IF(ROUND(100/B32*C32-100,1)&gt;999,999,-999)))</f>
        <v>2.2000000000000002</v>
      </c>
      <c r="E32" s="387">
        <f>SUM(E9:E31)</f>
        <v>99.999999999999986</v>
      </c>
      <c r="F32" s="93"/>
      <c r="G32" s="163">
        <f>SUM(G9:G31)</f>
        <v>1231151488.8472533</v>
      </c>
      <c r="H32" s="163">
        <f>SUM(H9:H31)</f>
        <v>1322466019.389344</v>
      </c>
      <c r="I32" s="88">
        <f t="shared" ref="I32" si="11">IF(G32=0, "    ---- ", IF(ABS(ROUND(100/G32*H32-100,1))&lt;999,ROUND(100/G32*H32-100,1),IF(ROUND(100/G32*H32-100,1)&gt;999,999,-999)))</f>
        <v>7.4</v>
      </c>
      <c r="J32" s="387">
        <f>SUM(J9:J31)</f>
        <v>100.00000000000001</v>
      </c>
      <c r="K32" s="193"/>
      <c r="L32" s="207" t="e">
        <f ca="1">SUM(L9:L30)</f>
        <v>#REF!</v>
      </c>
      <c r="M32" s="205" t="e">
        <f ca="1">SUM(M9:M30)</f>
        <v>#REF!</v>
      </c>
      <c r="N32" s="207" t="e">
        <f ca="1">SUM(N9:N30)</f>
        <v>#REF!</v>
      </c>
      <c r="O32" s="205" t="e">
        <f ca="1">SUM(O9:O30)</f>
        <v>#REF!</v>
      </c>
      <c r="U32" s="189"/>
    </row>
    <row r="33" spans="1:20" ht="18.75" x14ac:dyDescent="0.3">
      <c r="A33" s="70"/>
      <c r="B33" s="161"/>
      <c r="C33" s="123"/>
      <c r="D33" s="88"/>
      <c r="E33" s="386"/>
      <c r="F33" s="87"/>
      <c r="G33" s="161"/>
      <c r="H33" s="87"/>
      <c r="I33" s="88"/>
      <c r="J33" s="386"/>
      <c r="K33" s="191"/>
      <c r="L33" s="204" t="s">
        <v>1</v>
      </c>
      <c r="M33" s="205"/>
      <c r="N33" s="207"/>
      <c r="O33" s="205"/>
    </row>
    <row r="34" spans="1:20" ht="18.75" x14ac:dyDescent="0.3">
      <c r="A34" s="85" t="s">
        <v>1</v>
      </c>
      <c r="B34" s="161"/>
      <c r="C34" s="123"/>
      <c r="D34" s="88"/>
      <c r="E34" s="386"/>
      <c r="F34" s="87"/>
      <c r="G34" s="161"/>
      <c r="H34" s="87"/>
      <c r="I34" s="88"/>
      <c r="J34" s="386"/>
      <c r="K34" s="191"/>
      <c r="L34" s="208">
        <v>2015</v>
      </c>
      <c r="M34" s="209">
        <v>2016</v>
      </c>
      <c r="N34" s="208">
        <v>2015</v>
      </c>
      <c r="O34" s="209">
        <v>2016</v>
      </c>
      <c r="P34" s="71" t="s">
        <v>136</v>
      </c>
    </row>
    <row r="35" spans="1:20" ht="18.75" x14ac:dyDescent="0.3">
      <c r="A35" s="70" t="s">
        <v>79</v>
      </c>
      <c r="B35" s="114">
        <f>'DNB Livsforsikring'!F7+'DNB Livsforsikring'!F22+'DNB Livsforsikring'!F66+'DNB Livsforsikring'!F134</f>
        <v>3430435.716</v>
      </c>
      <c r="C35" s="114">
        <f>'DNB Livsforsikring'!G7+'DNB Livsforsikring'!G22+'DNB Livsforsikring'!G66+'DNB Livsforsikring'!G134</f>
        <v>3528916.9929999998</v>
      </c>
      <c r="D35" s="88">
        <f t="shared" ref="D35:D41" si="12">IF(B35=0, "    ---- ", IF(ABS(ROUND(100/B35*C35-100,1))&lt;999,ROUND(100/B35*C35-100,1),IF(ROUND(100/B35*C35-100,1)&gt;999,999,-999)))</f>
        <v>2.9</v>
      </c>
      <c r="E35" s="386">
        <f t="shared" ref="E35:E40" si="13">100/C$41*C35</f>
        <v>20.92466479489967</v>
      </c>
      <c r="F35" s="87"/>
      <c r="G35" s="161">
        <f>'DNB Livsforsikring'!F10+'DNB Livsforsikring'!F29+'DNB Livsforsikring'!F87+'DNB Livsforsikring'!F135</f>
        <v>146459867.64199999</v>
      </c>
      <c r="H35" s="161">
        <f>'DNB Livsforsikring'!G10+'DNB Livsforsikring'!G29+'DNB Livsforsikring'!G87+'DNB Livsforsikring'!G135</f>
        <v>179449570.928</v>
      </c>
      <c r="I35" s="88">
        <f t="shared" ref="I35:I41" si="14">IF(G35=0, "    ---- ", IF(ABS(ROUND(100/G35*H35-100,1))&lt;999,ROUND(100/G35*H35-100,1),IF(ROUND(100/G35*H35-100,1)&gt;999,999,-999)))</f>
        <v>22.5</v>
      </c>
      <c r="J35" s="386">
        <f t="shared" ref="J35:J40" si="15">100/H$41*H35</f>
        <v>25.304603473367013</v>
      </c>
      <c r="K35" s="71" t="s">
        <v>134</v>
      </c>
      <c r="L35" s="207">
        <f t="shared" ref="L35:L40" ca="1" si="16">INDIRECT("'" &amp; $A35 &amp; "'!" &amp; $P$34)</f>
        <v>0</v>
      </c>
      <c r="M35" s="205" t="e">
        <f ca="1">INDIRECT("'" &amp; $A35 &amp; "'!" &amp;#REF!)</f>
        <v>#REF!</v>
      </c>
      <c r="N35" s="207">
        <f t="shared" ref="N35:N40" ca="1" si="17">INDIRECT("'" &amp; $A35 &amp; "'!" &amp; $P$35)</f>
        <v>0</v>
      </c>
      <c r="O35" s="205" t="e">
        <f ca="1">INDIRECT("'"&amp;$A35&amp;"'!"&amp;#REF!)</f>
        <v>#REF!</v>
      </c>
      <c r="P35" s="71" t="s">
        <v>137</v>
      </c>
    </row>
    <row r="36" spans="1:20" ht="18.75" x14ac:dyDescent="0.3">
      <c r="A36" s="91" t="s">
        <v>84</v>
      </c>
      <c r="B36" s="114">
        <f>'Gjensidige Pensjon'!F7+'Gjensidige Pensjon'!F22+'Gjensidige Pensjon'!F66+'Gjensidige Pensjon'!F134</f>
        <v>1416253</v>
      </c>
      <c r="C36" s="114">
        <f>'Gjensidige Pensjon'!G7+'Gjensidige Pensjon'!G22+'Gjensidige Pensjon'!G66+'Gjensidige Pensjon'!G134</f>
        <v>1641372</v>
      </c>
      <c r="D36" s="88">
        <f t="shared" si="12"/>
        <v>15.9</v>
      </c>
      <c r="E36" s="386">
        <f t="shared" si="13"/>
        <v>9.7324927086302999</v>
      </c>
      <c r="F36" s="87"/>
      <c r="G36" s="161">
        <f>'Gjensidige Pensjon'!F10+'Gjensidige Pensjon'!F29+'Gjensidige Pensjon'!F87+'Gjensidige Pensjon'!F135</f>
        <v>51422836</v>
      </c>
      <c r="H36" s="161">
        <f>'Gjensidige Pensjon'!G10+'Gjensidige Pensjon'!G29+'Gjensidige Pensjon'!G87+'Gjensidige Pensjon'!G135</f>
        <v>65817579</v>
      </c>
      <c r="I36" s="88">
        <f t="shared" si="14"/>
        <v>28</v>
      </c>
      <c r="J36" s="386">
        <f t="shared" si="15"/>
        <v>9.2810906683095187</v>
      </c>
      <c r="K36" s="71" t="s">
        <v>135</v>
      </c>
      <c r="L36" s="207">
        <f t="shared" ca="1" si="16"/>
        <v>0</v>
      </c>
      <c r="M36" s="205" t="e">
        <f ca="1">INDIRECT("'" &amp; $A36 &amp; "'!" &amp;#REF!)</f>
        <v>#REF!</v>
      </c>
      <c r="N36" s="207">
        <f t="shared" ca="1" si="17"/>
        <v>0</v>
      </c>
      <c r="O36" s="205" t="e">
        <f ca="1">INDIRECT("'"&amp;$A36&amp;"'!"&amp;#REF!)</f>
        <v>#REF!</v>
      </c>
    </row>
    <row r="37" spans="1:20" ht="18.75" x14ac:dyDescent="0.3">
      <c r="A37" s="91" t="s">
        <v>61</v>
      </c>
      <c r="B37" s="114">
        <f>KLP!F7+KLP!F22+KLP!F66+KLP!F134</f>
        <v>18550.222000000002</v>
      </c>
      <c r="C37" s="114">
        <f>KLP!G7+KLP!G22+KLP!G66+KLP!G134</f>
        <v>22688.987000000001</v>
      </c>
      <c r="D37" s="88">
        <f t="shared" si="12"/>
        <v>22.3</v>
      </c>
      <c r="E37" s="386">
        <f t="shared" si="13"/>
        <v>0.13453403649124493</v>
      </c>
      <c r="F37" s="87"/>
      <c r="G37" s="161">
        <f>KLP!F10+KLP!F29+KLP!F87+KLP!F135</f>
        <v>2609059.09693</v>
      </c>
      <c r="H37" s="161">
        <f>KLP!G10+KLP!G29+KLP!G87+KLP!G135</f>
        <v>2764463.4104599999</v>
      </c>
      <c r="I37" s="88">
        <f t="shared" si="14"/>
        <v>6</v>
      </c>
      <c r="J37" s="386">
        <f t="shared" si="15"/>
        <v>0.38982344764919735</v>
      </c>
      <c r="K37" s="71" t="s">
        <v>129</v>
      </c>
      <c r="L37" s="207">
        <f t="shared" ca="1" si="16"/>
        <v>0</v>
      </c>
      <c r="M37" s="205" t="e">
        <f ca="1">INDIRECT("'" &amp; $A37 &amp; "'!" &amp;#REF!)</f>
        <v>#REF!</v>
      </c>
      <c r="N37" s="207">
        <f t="shared" ca="1" si="17"/>
        <v>0</v>
      </c>
      <c r="O37" s="205" t="e">
        <f ca="1">INDIRECT("'"&amp;$A37&amp;"'!"&amp;#REF!)</f>
        <v>#REF!</v>
      </c>
    </row>
    <row r="38" spans="1:20" ht="18.75" x14ac:dyDescent="0.3">
      <c r="A38" s="91" t="s">
        <v>87</v>
      </c>
      <c r="B38" s="114">
        <f>'Nordea Liv '!F7+'Nordea Liv '!F22+'Nordea Liv '!F66+'Nordea Liv '!F134</f>
        <v>4065856.8543600002</v>
      </c>
      <c r="C38" s="114">
        <f>'Nordea Liv '!G7+'Nordea Liv '!G22+'Nordea Liv '!G66+'Nordea Liv '!G134</f>
        <v>5311313.3681499995</v>
      </c>
      <c r="D38" s="88">
        <f t="shared" si="12"/>
        <v>30.6</v>
      </c>
      <c r="E38" s="386">
        <f t="shared" si="13"/>
        <v>31.493359597197045</v>
      </c>
      <c r="F38" s="87"/>
      <c r="G38" s="161">
        <f>'Nordea Liv '!F10+'Nordea Liv '!F29+'Nordea Liv '!F87+'Nordea Liv '!F135</f>
        <v>126457560</v>
      </c>
      <c r="H38" s="161">
        <f>'Nordea Liv '!G10+'Nordea Liv '!G29+'Nordea Liv '!G87+'Nordea Liv '!G135</f>
        <v>159130080</v>
      </c>
      <c r="I38" s="88">
        <f t="shared" si="14"/>
        <v>25.8</v>
      </c>
      <c r="J38" s="386">
        <f t="shared" si="15"/>
        <v>22.43930455927811</v>
      </c>
      <c r="K38" s="191"/>
      <c r="L38" s="207">
        <f t="shared" ca="1" si="16"/>
        <v>0</v>
      </c>
      <c r="M38" s="205" t="e">
        <f ca="1">INDIRECT("'" &amp; $A38 &amp; "'!" &amp;#REF!)</f>
        <v>#REF!</v>
      </c>
      <c r="N38" s="207">
        <f t="shared" ca="1" si="17"/>
        <v>0</v>
      </c>
      <c r="O38" s="205" t="e">
        <f ca="1">INDIRECT("'"&amp;$A38&amp;"'!"&amp;#REF!)</f>
        <v>#REF!</v>
      </c>
    </row>
    <row r="39" spans="1:20" ht="18.75" x14ac:dyDescent="0.3">
      <c r="A39" s="70" t="s">
        <v>368</v>
      </c>
      <c r="B39" s="114">
        <f>'Sparebank 1'!F7+'Sparebank 1'!F22+'Sparebank 1'!F66+'Sparebank 1'!F134</f>
        <v>1726963.1864399998</v>
      </c>
      <c r="C39" s="114">
        <f>'Sparebank 1'!G7+'Sparebank 1'!G22+'Sparebank 1'!G66+'Sparebank 1'!G134</f>
        <v>1839822.98065</v>
      </c>
      <c r="D39" s="88">
        <f t="shared" si="12"/>
        <v>6.5</v>
      </c>
      <c r="E39" s="386">
        <f t="shared" si="13"/>
        <v>10.909205070116093</v>
      </c>
      <c r="F39" s="87"/>
      <c r="G39" s="161">
        <f>'Sparebank 1'!F10+'Sparebank 1'!F29+'Sparebank 1'!F87+'Sparebank 1'!F135</f>
        <v>60413574.038189903</v>
      </c>
      <c r="H39" s="161">
        <f>'Sparebank 1'!G10+'Sparebank 1'!G29+'Sparebank 1'!G87+'Sparebank 1'!G135</f>
        <v>75514311.198369905</v>
      </c>
      <c r="I39" s="88">
        <f t="shared" si="14"/>
        <v>25</v>
      </c>
      <c r="J39" s="386">
        <f t="shared" si="15"/>
        <v>10.648449542439291</v>
      </c>
      <c r="K39" s="123"/>
      <c r="L39" s="207" t="e">
        <f t="shared" ca="1" si="16"/>
        <v>#REF!</v>
      </c>
      <c r="M39" s="205" t="e">
        <f ca="1">INDIRECT("'" &amp; $A39 &amp; "'!" &amp;#REF!)</f>
        <v>#REF!</v>
      </c>
      <c r="N39" s="207" t="e">
        <f t="shared" ca="1" si="17"/>
        <v>#REF!</v>
      </c>
      <c r="O39" s="205" t="e">
        <f ca="1">INDIRECT("'"&amp;$A39&amp;"'!"&amp;#REF!)</f>
        <v>#REF!</v>
      </c>
    </row>
    <row r="40" spans="1:20" ht="18.75" x14ac:dyDescent="0.3">
      <c r="A40" s="70" t="s">
        <v>89</v>
      </c>
      <c r="B40" s="114">
        <f>'Storebrand Livsforsikring'!F7+'Storebrand Livsforsikring'!F22+'Storebrand Livsforsikring'!F66+'Storebrand Livsforsikring'!F134</f>
        <v>4395415.7059800001</v>
      </c>
      <c r="C40" s="114">
        <f>'Storebrand Livsforsikring'!G7+'Storebrand Livsforsikring'!G22+'Storebrand Livsforsikring'!G66+'Storebrand Livsforsikring'!G134</f>
        <v>4520753.1736900005</v>
      </c>
      <c r="D40" s="88">
        <f t="shared" si="12"/>
        <v>2.9</v>
      </c>
      <c r="E40" s="386">
        <f t="shared" si="13"/>
        <v>26.805743792665659</v>
      </c>
      <c r="F40" s="87"/>
      <c r="G40" s="161">
        <f>'Storebrand Livsforsikring'!F10+'Storebrand Livsforsikring'!F29+'Storebrand Livsforsikring'!F87+'Storebrand Livsforsikring'!F135</f>
        <v>191251233.176</v>
      </c>
      <c r="H40" s="161">
        <f>'Storebrand Livsforsikring'!G10+'Storebrand Livsforsikring'!G29+'Storebrand Livsforsikring'!G87+'Storebrand Livsforsikring'!G135</f>
        <v>226481801.93450999</v>
      </c>
      <c r="I40" s="88">
        <f t="shared" si="14"/>
        <v>18.399999999999999</v>
      </c>
      <c r="J40" s="386">
        <f t="shared" si="15"/>
        <v>31.936728308956873</v>
      </c>
      <c r="K40" s="123"/>
      <c r="L40" s="207">
        <f t="shared" ca="1" si="16"/>
        <v>0</v>
      </c>
      <c r="M40" s="205" t="e">
        <f ca="1">INDIRECT("'" &amp; $A40 &amp; "'!" &amp;#REF!)</f>
        <v>#REF!</v>
      </c>
      <c r="N40" s="207">
        <f t="shared" ca="1" si="17"/>
        <v>0</v>
      </c>
      <c r="O40" s="205" t="e">
        <f ca="1">INDIRECT("'"&amp;$A40&amp;"'!"&amp;#REF!)</f>
        <v>#REF!</v>
      </c>
    </row>
    <row r="41" spans="1:20" s="95" customFormat="1" ht="18.75" x14ac:dyDescent="0.3">
      <c r="A41" s="85" t="s">
        <v>93</v>
      </c>
      <c r="B41" s="225">
        <f>SUM(B35:B40)</f>
        <v>15053474.684780002</v>
      </c>
      <c r="C41" s="225">
        <f>SUM(C35:C40)</f>
        <v>16864867.502489999</v>
      </c>
      <c r="D41" s="88">
        <f t="shared" si="12"/>
        <v>12</v>
      </c>
      <c r="E41" s="387">
        <f>SUM(E35:E40)</f>
        <v>100</v>
      </c>
      <c r="F41" s="93"/>
      <c r="G41" s="163">
        <f>SUM(G35:G40)</f>
        <v>578614129.95311987</v>
      </c>
      <c r="H41" s="163">
        <f>SUM(H35:H40)</f>
        <v>709157806.47133994</v>
      </c>
      <c r="I41" s="88">
        <f t="shared" si="14"/>
        <v>22.6</v>
      </c>
      <c r="J41" s="387">
        <f>SUM(J35:J40)</f>
        <v>100.00000000000001</v>
      </c>
      <c r="K41" s="123"/>
      <c r="L41" s="207" t="e">
        <f ca="1">SUM(L35:L40)</f>
        <v>#REF!</v>
      </c>
      <c r="M41" s="205" t="e">
        <f ca="1">SUM(M35:M40)</f>
        <v>#REF!</v>
      </c>
      <c r="N41" s="207" t="e">
        <f ca="1">SUM(N35:N40)</f>
        <v>#REF!</v>
      </c>
      <c r="O41" s="205" t="e">
        <f ca="1">SUM(O35:O40)</f>
        <v>#REF!</v>
      </c>
    </row>
    <row r="42" spans="1:20" ht="18.75" x14ac:dyDescent="0.3">
      <c r="A42" s="85"/>
      <c r="B42" s="114"/>
      <c r="C42" s="93"/>
      <c r="D42" s="94"/>
      <c r="E42" s="386"/>
      <c r="F42" s="93"/>
      <c r="G42" s="163"/>
      <c r="H42" s="93"/>
      <c r="I42" s="94"/>
      <c r="J42" s="387"/>
      <c r="K42" s="123"/>
      <c r="L42" s="204" t="s">
        <v>94</v>
      </c>
      <c r="M42" s="210"/>
      <c r="N42" s="211"/>
      <c r="O42" s="210"/>
    </row>
    <row r="43" spans="1:20" ht="18.75" x14ac:dyDescent="0.3">
      <c r="A43" s="70"/>
      <c r="B43" s="114"/>
      <c r="C43" s="87"/>
      <c r="D43" s="88"/>
      <c r="E43" s="386"/>
      <c r="F43" s="87"/>
      <c r="G43" s="161"/>
      <c r="H43" s="87"/>
      <c r="I43" s="88"/>
      <c r="J43" s="386"/>
      <c r="K43" s="123"/>
      <c r="L43" s="208">
        <v>2015</v>
      </c>
      <c r="M43" s="209">
        <v>2016</v>
      </c>
      <c r="N43" s="208">
        <v>2015</v>
      </c>
      <c r="O43" s="209">
        <v>2016</v>
      </c>
    </row>
    <row r="44" spans="1:20" ht="18.75" x14ac:dyDescent="0.3">
      <c r="A44" s="85" t="s">
        <v>94</v>
      </c>
      <c r="B44" s="114"/>
      <c r="C44" s="87"/>
      <c r="D44" s="88"/>
      <c r="E44" s="386"/>
      <c r="F44" s="87"/>
      <c r="G44" s="161"/>
      <c r="H44" s="87"/>
      <c r="I44" s="88"/>
      <c r="J44" s="386"/>
      <c r="K44" s="123"/>
      <c r="L44" s="207"/>
      <c r="M44" s="205"/>
      <c r="N44" s="207"/>
      <c r="O44" s="205"/>
      <c r="P44" s="191"/>
      <c r="Q44" s="191"/>
      <c r="R44" s="191"/>
      <c r="S44" s="166"/>
      <c r="T44" s="123"/>
    </row>
    <row r="45" spans="1:20" ht="18.75" x14ac:dyDescent="0.3">
      <c r="A45" s="70" t="s">
        <v>79</v>
      </c>
      <c r="B45" s="114">
        <f>B9+B35</f>
        <v>4605275.4280000003</v>
      </c>
      <c r="C45" s="87">
        <f>+C9+C35</f>
        <v>4778929.9929999998</v>
      </c>
      <c r="D45" s="88">
        <f t="shared" ref="D45:D66" si="18">IF(B45=0, "    ---- ", IF(ABS(ROUND(100/B45*C45-100,1))&lt;999,ROUND(100/B45*C45-100,1),IF(ROUND(100/B45*C45-100,1)&gt;999,999,-999)))</f>
        <v>3.8</v>
      </c>
      <c r="E45" s="386">
        <f t="shared" ref="E45:E65" si="19">100/C$68*C45</f>
        <v>13.371686539704035</v>
      </c>
      <c r="F45" s="87"/>
      <c r="G45" s="161">
        <f>+G9+G35</f>
        <v>332167387.58722353</v>
      </c>
      <c r="H45" s="161">
        <f>+H9+H35</f>
        <v>362128424.92799997</v>
      </c>
      <c r="I45" s="88">
        <f t="shared" ref="I45:I63" si="20">IF(G45=0, "    ---- ", IF(ABS(ROUND(100/G45*H45-100,1))&lt;999,ROUND(100/G45*H45-100,1),IF(ROUND(100/G45*H45-100,1)&gt;999,999,-999)))</f>
        <v>9</v>
      </c>
      <c r="J45" s="386">
        <f t="shared" ref="J45:J65" si="21">100/H$68*H45</f>
        <v>17.824580531023585</v>
      </c>
      <c r="K45" s="123"/>
      <c r="L45" s="207">
        <f ca="1">L10+L35</f>
        <v>0</v>
      </c>
      <c r="M45" s="205" t="e">
        <f ca="1">+M10+M35</f>
        <v>#REF!</v>
      </c>
      <c r="N45" s="207" t="e">
        <f ca="1">+N10+N35</f>
        <v>#REF!</v>
      </c>
      <c r="O45" s="205" t="e">
        <f ca="1">+O10+O35</f>
        <v>#REF!</v>
      </c>
      <c r="P45" s="191"/>
      <c r="Q45" s="191"/>
      <c r="R45" s="191"/>
      <c r="S45" s="166"/>
      <c r="T45" s="123"/>
    </row>
    <row r="46" spans="1:20" ht="18.75" x14ac:dyDescent="0.3">
      <c r="A46" s="70" t="s">
        <v>80</v>
      </c>
      <c r="B46" s="114">
        <f t="shared" ref="B46:C50" si="22">B10</f>
        <v>189579</v>
      </c>
      <c r="C46" s="87">
        <f t="shared" si="22"/>
        <v>205089</v>
      </c>
      <c r="D46" s="88">
        <f t="shared" si="18"/>
        <v>8.1999999999999993</v>
      </c>
      <c r="E46" s="386">
        <f t="shared" si="19"/>
        <v>0.57384933965517515</v>
      </c>
      <c r="F46" s="87"/>
      <c r="G46" s="161">
        <f t="shared" ref="G46:H50" si="23">G10</f>
        <v>0</v>
      </c>
      <c r="H46" s="161">
        <f t="shared" si="23"/>
        <v>0</v>
      </c>
      <c r="I46" s="88"/>
      <c r="J46" s="386">
        <f t="shared" si="21"/>
        <v>0</v>
      </c>
      <c r="K46" s="123"/>
      <c r="L46" s="207">
        <f ca="1">L12</f>
        <v>0</v>
      </c>
      <c r="M46" s="205">
        <f ca="1">M12</f>
        <v>0</v>
      </c>
      <c r="N46" s="207" t="e">
        <f ca="1">N12</f>
        <v>#REF!</v>
      </c>
      <c r="O46" s="205" t="e">
        <f ca="1">+O12+#REF!</f>
        <v>#REF!</v>
      </c>
      <c r="P46" s="191"/>
      <c r="Q46" s="191"/>
      <c r="R46" s="191"/>
      <c r="S46" s="166"/>
      <c r="T46" s="123"/>
    </row>
    <row r="47" spans="1:20" ht="18.75" x14ac:dyDescent="0.3">
      <c r="A47" s="70" t="s">
        <v>365</v>
      </c>
      <c r="B47" s="114">
        <f t="shared" si="22"/>
        <v>36616</v>
      </c>
      <c r="C47" s="114">
        <f t="shared" si="22"/>
        <v>51311</v>
      </c>
      <c r="D47" s="88">
        <f t="shared" ref="D47" si="24">IF(B47=0, "    ---- ", IF(ABS(ROUND(100/B47*C47-100,1))&lt;999,ROUND(100/B47*C47-100,1),IF(ROUND(100/B47*C47-100,1)&gt;999,999,-999)))</f>
        <v>40.1</v>
      </c>
      <c r="E47" s="386">
        <f t="shared" si="19"/>
        <v>0.14357075936323593</v>
      </c>
      <c r="F47" s="87"/>
      <c r="G47" s="161">
        <f t="shared" si="23"/>
        <v>0</v>
      </c>
      <c r="H47" s="161">
        <f t="shared" si="23"/>
        <v>0</v>
      </c>
      <c r="I47" s="88"/>
      <c r="J47" s="386">
        <f t="shared" si="21"/>
        <v>0</v>
      </c>
      <c r="K47" s="123"/>
      <c r="L47" s="207"/>
      <c r="M47" s="205"/>
      <c r="N47" s="207"/>
      <c r="O47" s="205"/>
      <c r="P47" s="191"/>
      <c r="Q47" s="191"/>
      <c r="R47" s="191"/>
      <c r="S47" s="166"/>
      <c r="T47" s="123"/>
    </row>
    <row r="48" spans="1:20" ht="18.75" x14ac:dyDescent="0.3">
      <c r="A48" s="91" t="s">
        <v>352</v>
      </c>
      <c r="B48" s="114">
        <f t="shared" si="22"/>
        <v>931757.56291999994</v>
      </c>
      <c r="C48" s="114">
        <f t="shared" si="22"/>
        <v>998261.31835000007</v>
      </c>
      <c r="D48" s="88">
        <f t="shared" ref="D48" si="25">IF(B48=0, "    ---- ", IF(ABS(ROUND(100/B48*C48-100,1))&lt;999,ROUND(100/B48*C48-100,1),IF(ROUND(100/B48*C48-100,1)&gt;999,999,-999)))</f>
        <v>7.1</v>
      </c>
      <c r="E48" s="386">
        <f t="shared" si="19"/>
        <v>2.7931853894575145</v>
      </c>
      <c r="F48" s="87"/>
      <c r="G48" s="161">
        <f t="shared" si="23"/>
        <v>4951045.9075499997</v>
      </c>
      <c r="H48" s="161">
        <f t="shared" si="23"/>
        <v>5524479.2054099999</v>
      </c>
      <c r="I48" s="88">
        <f t="shared" ref="I48" si="26">IF(G48=0, "    ---- ", IF(ABS(ROUND(100/G48*H48-100,1))&lt;999,ROUND(100/G48*H48-100,1),IF(ROUND(100/G48*H48-100,1)&gt;999,999,-999)))</f>
        <v>11.6</v>
      </c>
      <c r="J48" s="386">
        <f t="shared" si="21"/>
        <v>0.27192431665195654</v>
      </c>
      <c r="K48" s="123"/>
      <c r="L48" s="207"/>
      <c r="M48" s="205"/>
      <c r="N48" s="207"/>
      <c r="O48" s="205"/>
      <c r="P48" s="191"/>
      <c r="Q48" s="191"/>
      <c r="R48" s="191"/>
      <c r="S48" s="166"/>
      <c r="T48" s="123"/>
    </row>
    <row r="49" spans="1:20" ht="18.75" x14ac:dyDescent="0.3">
      <c r="A49" s="91" t="s">
        <v>81</v>
      </c>
      <c r="B49" s="114">
        <f t="shared" si="22"/>
        <v>561739</v>
      </c>
      <c r="C49" s="89">
        <f t="shared" si="22"/>
        <v>633168</v>
      </c>
      <c r="D49" s="90">
        <f t="shared" si="18"/>
        <v>12.7</v>
      </c>
      <c r="E49" s="388">
        <f t="shared" si="19"/>
        <v>1.7716359175323297</v>
      </c>
      <c r="F49" s="89"/>
      <c r="G49" s="162">
        <f t="shared" si="23"/>
        <v>1734604</v>
      </c>
      <c r="H49" s="162">
        <f t="shared" si="23"/>
        <v>2088315</v>
      </c>
      <c r="I49" s="88">
        <f t="shared" si="20"/>
        <v>20.399999999999999</v>
      </c>
      <c r="J49" s="386">
        <f t="shared" si="21"/>
        <v>0.10279043656693183</v>
      </c>
      <c r="K49" s="123"/>
      <c r="L49" s="207" t="e">
        <f ca="1">L14+#REF!</f>
        <v>#REF!</v>
      </c>
      <c r="M49" s="205" t="e">
        <f ca="1">M14+#REF!</f>
        <v>#REF!</v>
      </c>
      <c r="N49" s="207" t="e">
        <f ca="1">N14+#REF!</f>
        <v>#REF!</v>
      </c>
      <c r="O49" s="205" t="e">
        <f ca="1">O14+#REF!</f>
        <v>#REF!</v>
      </c>
      <c r="P49" s="194"/>
      <c r="Q49" s="194"/>
      <c r="R49" s="194"/>
      <c r="S49" s="166"/>
      <c r="T49" s="123"/>
    </row>
    <row r="50" spans="1:20" ht="18.75" x14ac:dyDescent="0.3">
      <c r="A50" s="91" t="s">
        <v>82</v>
      </c>
      <c r="B50" s="114">
        <f t="shared" si="22"/>
        <v>6113.049</v>
      </c>
      <c r="C50" s="89">
        <f t="shared" si="22"/>
        <v>6049.5889999999999</v>
      </c>
      <c r="D50" s="90">
        <f t="shared" si="18"/>
        <v>-1</v>
      </c>
      <c r="E50" s="388">
        <f t="shared" si="19"/>
        <v>1.6927054365837326E-2</v>
      </c>
      <c r="F50" s="89"/>
      <c r="G50" s="162">
        <f t="shared" si="23"/>
        <v>0</v>
      </c>
      <c r="H50" s="162">
        <f t="shared" si="23"/>
        <v>0</v>
      </c>
      <c r="I50" s="88"/>
      <c r="J50" s="386">
        <f t="shared" si="21"/>
        <v>0</v>
      </c>
      <c r="K50" s="123"/>
      <c r="L50" s="207">
        <f ca="1">L15</f>
        <v>0</v>
      </c>
      <c r="M50" s="205">
        <f ca="1">M15</f>
        <v>0</v>
      </c>
      <c r="N50" s="207" t="e">
        <f ca="1">N15</f>
        <v>#REF!</v>
      </c>
      <c r="O50" s="205">
        <f ca="1">O15</f>
        <v>0</v>
      </c>
      <c r="P50" s="194"/>
      <c r="Q50" s="194"/>
      <c r="R50" s="194"/>
      <c r="S50" s="166"/>
      <c r="T50" s="123"/>
    </row>
    <row r="51" spans="1:20" ht="18.75" x14ac:dyDescent="0.3">
      <c r="A51" s="70" t="s">
        <v>83</v>
      </c>
      <c r="B51" s="87">
        <f>B15</f>
        <v>1505481.132</v>
      </c>
      <c r="C51" s="87">
        <f>+C15</f>
        <v>1560765.828</v>
      </c>
      <c r="D51" s="88">
        <f t="shared" si="18"/>
        <v>3.7</v>
      </c>
      <c r="E51" s="386">
        <f t="shared" si="19"/>
        <v>4.3671013060386601</v>
      </c>
      <c r="F51" s="87"/>
      <c r="G51" s="161">
        <f>+G15</f>
        <v>0</v>
      </c>
      <c r="H51" s="161">
        <f>+H15</f>
        <v>0</v>
      </c>
      <c r="I51" s="88"/>
      <c r="J51" s="386">
        <f t="shared" si="21"/>
        <v>0</v>
      </c>
      <c r="K51" s="123"/>
      <c r="L51" s="207">
        <f ca="1">L16</f>
        <v>0</v>
      </c>
      <c r="M51" s="205">
        <f ca="1">+M16</f>
        <v>0</v>
      </c>
      <c r="N51" s="207" t="e">
        <f ca="1">+N16</f>
        <v>#REF!</v>
      </c>
      <c r="O51" s="205">
        <f ca="1">+O16</f>
        <v>0</v>
      </c>
      <c r="P51" s="191"/>
      <c r="Q51" s="191"/>
      <c r="R51" s="191"/>
      <c r="S51" s="166"/>
      <c r="T51" s="123"/>
    </row>
    <row r="52" spans="1:20" ht="18.75" x14ac:dyDescent="0.3">
      <c r="A52" s="70" t="s">
        <v>84</v>
      </c>
      <c r="B52" s="87">
        <f>B16+B36</f>
        <v>1707546</v>
      </c>
      <c r="C52" s="87">
        <f>C16+C36</f>
        <v>1956359</v>
      </c>
      <c r="D52" s="88">
        <f t="shared" si="18"/>
        <v>14.6</v>
      </c>
      <c r="E52" s="386">
        <f t="shared" si="19"/>
        <v>5.4739909028687981</v>
      </c>
      <c r="F52" s="87"/>
      <c r="G52" s="161">
        <f>G16+G36</f>
        <v>60517451</v>
      </c>
      <c r="H52" s="161">
        <f>H16+H36</f>
        <v>75956813</v>
      </c>
      <c r="I52" s="88">
        <f t="shared" si="20"/>
        <v>25.5</v>
      </c>
      <c r="J52" s="386">
        <f t="shared" si="21"/>
        <v>3.7387242674131076</v>
      </c>
      <c r="K52" s="123"/>
      <c r="L52" s="207" t="e">
        <f ca="1">#REF!+L36</f>
        <v>#REF!</v>
      </c>
      <c r="M52" s="205" t="e">
        <f ca="1">#REF!+M36</f>
        <v>#REF!</v>
      </c>
      <c r="N52" s="207" t="e">
        <f ca="1">#REF!+N36</f>
        <v>#REF!</v>
      </c>
      <c r="O52" s="205" t="e">
        <f ca="1">#REF!+O36</f>
        <v>#REF!</v>
      </c>
      <c r="P52" s="191"/>
      <c r="Q52" s="191"/>
      <c r="R52" s="191"/>
      <c r="S52" s="166"/>
      <c r="T52" s="123"/>
    </row>
    <row r="53" spans="1:20" ht="18.75" x14ac:dyDescent="0.3">
      <c r="A53" s="70" t="s">
        <v>85</v>
      </c>
      <c r="B53" s="87">
        <f>B17</f>
        <v>224595.87164857</v>
      </c>
      <c r="C53" s="87">
        <f>+C17</f>
        <v>250285.496603765</v>
      </c>
      <c r="D53" s="88">
        <f t="shared" si="18"/>
        <v>11.4</v>
      </c>
      <c r="E53" s="386">
        <f t="shared" si="19"/>
        <v>0.70031141090618287</v>
      </c>
      <c r="F53" s="87"/>
      <c r="G53" s="161">
        <f>+G17</f>
        <v>0</v>
      </c>
      <c r="H53" s="161">
        <f>+H17</f>
        <v>0</v>
      </c>
      <c r="I53" s="88"/>
      <c r="J53" s="386">
        <f t="shared" si="21"/>
        <v>0</v>
      </c>
      <c r="K53" s="123"/>
      <c r="L53" s="207" t="e">
        <f>#REF!</f>
        <v>#REF!</v>
      </c>
      <c r="M53" s="205" t="e">
        <f>+#REF!</f>
        <v>#REF!</v>
      </c>
      <c r="N53" s="207" t="e">
        <f>+#REF!</f>
        <v>#REF!</v>
      </c>
      <c r="O53" s="205" t="e">
        <f>+#REF!</f>
        <v>#REF!</v>
      </c>
      <c r="P53" s="191"/>
      <c r="Q53" s="191"/>
      <c r="R53" s="191"/>
      <c r="S53" s="166"/>
      <c r="T53" s="123"/>
    </row>
    <row r="54" spans="1:20" ht="18.75" x14ac:dyDescent="0.3">
      <c r="A54" s="70" t="s">
        <v>61</v>
      </c>
      <c r="B54" s="89">
        <f>B18+B37</f>
        <v>7572334.6528399996</v>
      </c>
      <c r="C54" s="89">
        <f>C18+C37</f>
        <v>7841813.7789599998</v>
      </c>
      <c r="D54" s="90">
        <f t="shared" si="18"/>
        <v>3.6</v>
      </c>
      <c r="E54" s="388">
        <f t="shared" si="19"/>
        <v>21.941789460941589</v>
      </c>
      <c r="F54" s="89"/>
      <c r="G54" s="162">
        <f>G18+G37</f>
        <v>668173569.65249002</v>
      </c>
      <c r="H54" s="162">
        <f>H18+H37</f>
        <v>745199914.44729996</v>
      </c>
      <c r="I54" s="88">
        <f t="shared" si="20"/>
        <v>11.5</v>
      </c>
      <c r="J54" s="386">
        <f t="shared" si="21"/>
        <v>36.680014526390039</v>
      </c>
      <c r="K54" s="123"/>
      <c r="L54" s="207">
        <f ca="1">L31+L37</f>
        <v>0</v>
      </c>
      <c r="M54" s="205" t="e">
        <f ca="1">M31+M37</f>
        <v>#REF!</v>
      </c>
      <c r="N54" s="207" t="e">
        <f ca="1">N31+N37</f>
        <v>#REF!</v>
      </c>
      <c r="O54" s="205" t="e">
        <f ca="1">O31+O37</f>
        <v>#REF!</v>
      </c>
      <c r="P54" s="194"/>
      <c r="Q54" s="194"/>
      <c r="R54" s="194"/>
      <c r="S54" s="166"/>
      <c r="T54" s="123"/>
    </row>
    <row r="55" spans="1:20" ht="18.75" x14ac:dyDescent="0.3">
      <c r="A55" s="70" t="s">
        <v>86</v>
      </c>
      <c r="B55" s="87">
        <f t="shared" ref="B55:C57" si="27">B19</f>
        <v>193468.31199999998</v>
      </c>
      <c r="C55" s="87">
        <f t="shared" si="27"/>
        <v>212764.049</v>
      </c>
      <c r="D55" s="88">
        <f t="shared" si="18"/>
        <v>10</v>
      </c>
      <c r="E55" s="386">
        <f t="shared" si="19"/>
        <v>0.59532451287495347</v>
      </c>
      <c r="F55" s="87"/>
      <c r="G55" s="161">
        <f t="shared" ref="G55:H57" si="28">G19</f>
        <v>114338.397</v>
      </c>
      <c r="H55" s="161">
        <f t="shared" si="28"/>
        <v>148316.739</v>
      </c>
      <c r="I55" s="88">
        <f t="shared" si="20"/>
        <v>29.7</v>
      </c>
      <c r="J55" s="386">
        <f t="shared" si="21"/>
        <v>7.3004036038594204E-3</v>
      </c>
      <c r="K55" s="123"/>
      <c r="L55" s="207">
        <f ca="1">L20</f>
        <v>0</v>
      </c>
      <c r="M55" s="205">
        <f ca="1">M20</f>
        <v>0</v>
      </c>
      <c r="N55" s="207" t="e">
        <f ca="1">N20</f>
        <v>#REF!</v>
      </c>
      <c r="O55" s="205">
        <f ca="1">O20</f>
        <v>0</v>
      </c>
      <c r="P55" s="191"/>
      <c r="Q55" s="191"/>
      <c r="R55" s="191"/>
      <c r="S55" s="166"/>
      <c r="T55" s="123"/>
    </row>
    <row r="56" spans="1:20" ht="18.75" x14ac:dyDescent="0.3">
      <c r="A56" s="92" t="s">
        <v>360</v>
      </c>
      <c r="B56" s="87">
        <f t="shared" si="27"/>
        <v>20027</v>
      </c>
      <c r="C56" s="87">
        <f t="shared" si="27"/>
        <v>22470</v>
      </c>
      <c r="D56" s="88">
        <f t="shared" si="18"/>
        <v>12.2</v>
      </c>
      <c r="E56" s="386">
        <f t="shared" si="19"/>
        <v>6.2872190424897417E-2</v>
      </c>
      <c r="F56" s="87"/>
      <c r="G56" s="161">
        <f t="shared" si="28"/>
        <v>0</v>
      </c>
      <c r="H56" s="161">
        <f t="shared" si="28"/>
        <v>0</v>
      </c>
      <c r="I56" s="88"/>
      <c r="J56" s="386">
        <f t="shared" si="21"/>
        <v>0</v>
      </c>
      <c r="K56" s="123"/>
      <c r="L56" s="207">
        <f ca="1">L22</f>
        <v>0</v>
      </c>
      <c r="M56" s="205">
        <f ca="1">M22</f>
        <v>0</v>
      </c>
      <c r="N56" s="207" t="e">
        <f ca="1">N22</f>
        <v>#REF!</v>
      </c>
      <c r="O56" s="205">
        <f ca="1">O22</f>
        <v>0</v>
      </c>
      <c r="P56" s="191"/>
      <c r="Q56" s="191"/>
      <c r="R56" s="191"/>
      <c r="S56" s="166"/>
      <c r="T56" s="123"/>
    </row>
    <row r="57" spans="1:20" ht="18.75" x14ac:dyDescent="0.3">
      <c r="A57" s="92" t="s">
        <v>369</v>
      </c>
      <c r="B57" s="87">
        <f t="shared" si="27"/>
        <v>12079</v>
      </c>
      <c r="C57" s="87">
        <f t="shared" si="27"/>
        <v>14299.8</v>
      </c>
      <c r="D57" s="88">
        <f t="shared" ref="D57" si="29">IF(B57=0, "    ---- ", IF(ABS(ROUND(100/B57*C57-100,1))&lt;999,ROUND(100/B57*C57-100,1),IF(ROUND(100/B57*C57-100,1)&gt;999,999,-999)))</f>
        <v>18.399999999999999</v>
      </c>
      <c r="E57" s="386">
        <f t="shared" si="19"/>
        <v>4.0011559796971428E-2</v>
      </c>
      <c r="F57" s="87"/>
      <c r="G57" s="161">
        <f t="shared" si="28"/>
        <v>0</v>
      </c>
      <c r="H57" s="161">
        <f t="shared" si="28"/>
        <v>0</v>
      </c>
      <c r="I57" s="88"/>
      <c r="J57" s="386">
        <f t="shared" si="21"/>
        <v>0</v>
      </c>
      <c r="K57" s="123"/>
      <c r="L57" s="207"/>
      <c r="M57" s="205"/>
      <c r="N57" s="207"/>
      <c r="O57" s="205"/>
      <c r="P57" s="191"/>
      <c r="Q57" s="191"/>
      <c r="R57" s="191"/>
      <c r="S57" s="166"/>
      <c r="T57" s="123"/>
    </row>
    <row r="58" spans="1:20" ht="18.75" x14ac:dyDescent="0.3">
      <c r="A58" s="91" t="s">
        <v>63</v>
      </c>
      <c r="B58" s="87">
        <f>B22+B38</f>
        <v>4756186.3541449988</v>
      </c>
      <c r="C58" s="87">
        <f>+C22+C38</f>
        <v>6060325.2942169821</v>
      </c>
      <c r="D58" s="88">
        <f t="shared" si="18"/>
        <v>27.4</v>
      </c>
      <c r="E58" s="386">
        <f t="shared" si="19"/>
        <v>16.95709505717991</v>
      </c>
      <c r="F58" s="87"/>
      <c r="G58" s="161">
        <f>+G22+G38</f>
        <v>181445170.00000989</v>
      </c>
      <c r="H58" s="161">
        <f>+H22+H38</f>
        <v>213730060.00000402</v>
      </c>
      <c r="I58" s="88">
        <f t="shared" si="20"/>
        <v>17.8</v>
      </c>
      <c r="J58" s="386">
        <f t="shared" si="21"/>
        <v>10.520159159359077</v>
      </c>
      <c r="K58" s="123"/>
      <c r="L58" s="207">
        <f ca="1">L24+L38</f>
        <v>0</v>
      </c>
      <c r="M58" s="205" t="e">
        <f ca="1">+M24+M38</f>
        <v>#REF!</v>
      </c>
      <c r="N58" s="207" t="e">
        <f ca="1">+N24+N38</f>
        <v>#REF!</v>
      </c>
      <c r="O58" s="205" t="e">
        <f ca="1">+O24+O38</f>
        <v>#REF!</v>
      </c>
      <c r="P58" s="191"/>
      <c r="Q58" s="191"/>
      <c r="R58" s="191"/>
      <c r="S58" s="166"/>
      <c r="T58" s="123"/>
    </row>
    <row r="59" spans="1:20" ht="18.75" x14ac:dyDescent="0.3">
      <c r="A59" s="91" t="s">
        <v>403</v>
      </c>
      <c r="B59" s="87">
        <f t="shared" ref="B59:C61" si="30">B23</f>
        <v>0</v>
      </c>
      <c r="C59" s="87">
        <f t="shared" si="30"/>
        <v>8485</v>
      </c>
      <c r="D59" s="88" t="str">
        <f t="shared" ref="D59" si="31">IF(B59=0, "    ---- ", IF(ABS(ROUND(100/B59*C59-100,1))&lt;999,ROUND(100/B59*C59-100,1),IF(ROUND(100/B59*C59-100,1)&gt;999,999,-999)))</f>
        <v xml:space="preserve">    ---- </v>
      </c>
      <c r="E59" s="386">
        <f t="shared" si="19"/>
        <v>2.3741456864942348E-2</v>
      </c>
      <c r="F59" s="87"/>
      <c r="G59" s="161">
        <f t="shared" ref="G59:H61" si="32">G23</f>
        <v>0</v>
      </c>
      <c r="H59" s="161">
        <f t="shared" si="32"/>
        <v>0</v>
      </c>
      <c r="I59" s="88"/>
      <c r="J59" s="386">
        <f t="shared" si="21"/>
        <v>0</v>
      </c>
      <c r="K59" s="123"/>
      <c r="L59" s="207"/>
      <c r="M59" s="205"/>
      <c r="N59" s="207"/>
      <c r="O59" s="205"/>
      <c r="P59" s="191"/>
      <c r="Q59" s="191"/>
      <c r="R59" s="191"/>
      <c r="S59" s="166"/>
      <c r="T59" s="123"/>
    </row>
    <row r="60" spans="1:20" ht="18.75" customHeight="1" x14ac:dyDescent="0.3">
      <c r="A60" s="91" t="s">
        <v>88</v>
      </c>
      <c r="B60" s="87">
        <f t="shared" si="30"/>
        <v>1068666.4779999999</v>
      </c>
      <c r="C60" s="87">
        <f t="shared" si="30"/>
        <v>908134</v>
      </c>
      <c r="D60" s="88">
        <f t="shared" si="18"/>
        <v>-15</v>
      </c>
      <c r="E60" s="386">
        <f t="shared" si="19"/>
        <v>2.5410046185724875</v>
      </c>
      <c r="F60" s="87"/>
      <c r="G60" s="161">
        <f t="shared" si="32"/>
        <v>88090907</v>
      </c>
      <c r="H60" s="161">
        <f t="shared" si="32"/>
        <v>94317675</v>
      </c>
      <c r="I60" s="88">
        <f t="shared" si="20"/>
        <v>7.1</v>
      </c>
      <c r="J60" s="386">
        <f t="shared" si="21"/>
        <v>4.6424773031022584</v>
      </c>
      <c r="K60" s="123"/>
      <c r="L60" s="207">
        <f ca="1">L25</f>
        <v>0</v>
      </c>
      <c r="M60" s="205">
        <f ca="1">M25</f>
        <v>0</v>
      </c>
      <c r="N60" s="207" t="e">
        <f ca="1">N25</f>
        <v>#REF!</v>
      </c>
      <c r="O60" s="205">
        <f ca="1">O25</f>
        <v>0</v>
      </c>
      <c r="P60" s="191"/>
      <c r="Q60" s="191"/>
      <c r="R60" s="191"/>
      <c r="S60" s="166"/>
      <c r="T60" s="123"/>
    </row>
    <row r="61" spans="1:20" ht="18.75" customHeight="1" x14ac:dyDescent="0.3">
      <c r="A61" s="91" t="s">
        <v>320</v>
      </c>
      <c r="B61" s="87">
        <f t="shared" si="30"/>
        <v>255125.81038457406</v>
      </c>
      <c r="C61" s="87">
        <f t="shared" si="30"/>
        <v>268907</v>
      </c>
      <c r="D61" s="88">
        <f t="shared" ref="D61" si="33">IF(B61=0, "    ---- ", IF(ABS(ROUND(100/B61*C61-100,1))&lt;999,ROUND(100/B61*C61-100,1),IF(ROUND(100/B61*C61-100,1)&gt;999,999,-999)))</f>
        <v>5.4</v>
      </c>
      <c r="E61" s="386">
        <f t="shared" si="19"/>
        <v>0.75241531422287</v>
      </c>
      <c r="F61" s="87"/>
      <c r="G61" s="161">
        <f t="shared" si="32"/>
        <v>0</v>
      </c>
      <c r="H61" s="161">
        <f t="shared" si="32"/>
        <v>0</v>
      </c>
      <c r="I61" s="88"/>
      <c r="J61" s="386">
        <f t="shared" si="21"/>
        <v>0</v>
      </c>
      <c r="K61" s="123"/>
      <c r="L61" s="207"/>
      <c r="M61" s="205"/>
      <c r="N61" s="207"/>
      <c r="O61" s="205"/>
      <c r="P61" s="191"/>
      <c r="Q61" s="191"/>
      <c r="R61" s="191"/>
      <c r="S61" s="166"/>
      <c r="T61" s="123"/>
    </row>
    <row r="62" spans="1:20" ht="18.75" customHeight="1" x14ac:dyDescent="0.3">
      <c r="A62" s="70" t="s">
        <v>368</v>
      </c>
      <c r="B62" s="87">
        <f>B26+B39</f>
        <v>1996590.0567299998</v>
      </c>
      <c r="C62" s="87">
        <f>+C26+C39</f>
        <v>2122364.2050999999</v>
      </c>
      <c r="D62" s="88">
        <f t="shared" si="18"/>
        <v>6.3</v>
      </c>
      <c r="E62" s="386">
        <f t="shared" si="19"/>
        <v>5.9384818181590227</v>
      </c>
      <c r="F62" s="87"/>
      <c r="G62" s="161">
        <f>+G26+G39</f>
        <v>79837986.914799899</v>
      </c>
      <c r="H62" s="161">
        <f>+H26+H39</f>
        <v>97419292.019759908</v>
      </c>
      <c r="I62" s="88">
        <f t="shared" si="20"/>
        <v>22</v>
      </c>
      <c r="J62" s="386">
        <f t="shared" si="21"/>
        <v>4.795144198433924</v>
      </c>
      <c r="K62" s="123"/>
      <c r="L62" s="207" t="e">
        <f ca="1">L27+L39</f>
        <v>#REF!</v>
      </c>
      <c r="M62" s="205" t="e">
        <f t="shared" ref="M62:O63" ca="1" si="34">+M27+M39</f>
        <v>#REF!</v>
      </c>
      <c r="N62" s="207" t="e">
        <f t="shared" ca="1" si="34"/>
        <v>#REF!</v>
      </c>
      <c r="O62" s="205" t="e">
        <f t="shared" ca="1" si="34"/>
        <v>#REF!</v>
      </c>
      <c r="P62" s="191"/>
      <c r="Q62" s="191"/>
      <c r="R62" s="191"/>
      <c r="S62" s="166"/>
      <c r="T62" s="123"/>
    </row>
    <row r="63" spans="1:20" ht="18.75" customHeight="1" x14ac:dyDescent="0.3">
      <c r="A63" s="91" t="s">
        <v>89</v>
      </c>
      <c r="B63" s="87">
        <f>B40+B27</f>
        <v>7182708.9444500003</v>
      </c>
      <c r="C63" s="87">
        <f>+C27+C40</f>
        <v>7067313.2085900009</v>
      </c>
      <c r="D63" s="88">
        <f t="shared" si="18"/>
        <v>-1.6</v>
      </c>
      <c r="E63" s="386">
        <f t="shared" si="19"/>
        <v>19.774697901329031</v>
      </c>
      <c r="F63" s="87"/>
      <c r="G63" s="161">
        <f>+G27+G40</f>
        <v>392726051.34130001</v>
      </c>
      <c r="H63" s="161">
        <f>+H27+H40</f>
        <v>435076327.52121001</v>
      </c>
      <c r="I63" s="88">
        <f t="shared" si="20"/>
        <v>10.8</v>
      </c>
      <c r="J63" s="386">
        <f t="shared" si="21"/>
        <v>21.415201081179131</v>
      </c>
      <c r="K63" s="123"/>
      <c r="L63" s="207">
        <f ca="1">L40+L28</f>
        <v>0</v>
      </c>
      <c r="M63" s="205" t="e">
        <f t="shared" ca="1" si="34"/>
        <v>#REF!</v>
      </c>
      <c r="N63" s="207" t="e">
        <f t="shared" ca="1" si="34"/>
        <v>#REF!</v>
      </c>
      <c r="O63" s="205" t="e">
        <f t="shared" ca="1" si="34"/>
        <v>#REF!</v>
      </c>
      <c r="P63" s="191"/>
      <c r="Q63" s="191"/>
      <c r="R63" s="191"/>
      <c r="S63" s="166"/>
      <c r="T63" s="123"/>
    </row>
    <row r="64" spans="1:20" ht="18.75" customHeight="1" x14ac:dyDescent="0.3">
      <c r="A64" s="91" t="s">
        <v>90</v>
      </c>
      <c r="B64" s="87">
        <f>B28</f>
        <v>1972</v>
      </c>
      <c r="C64" s="87">
        <f>+C28</f>
        <v>2386</v>
      </c>
      <c r="D64" s="88">
        <f t="shared" si="18"/>
        <v>21</v>
      </c>
      <c r="E64" s="386">
        <f t="shared" si="19"/>
        <v>6.6761480353273355E-3</v>
      </c>
      <c r="F64" s="87"/>
      <c r="G64" s="161">
        <f t="shared" ref="G64:H66" si="35">+G28</f>
        <v>0</v>
      </c>
      <c r="H64" s="161">
        <f t="shared" si="35"/>
        <v>0</v>
      </c>
      <c r="I64" s="88"/>
      <c r="J64" s="386">
        <f t="shared" si="21"/>
        <v>0</v>
      </c>
      <c r="K64" s="123"/>
      <c r="L64" s="207">
        <f ca="1">L29</f>
        <v>0</v>
      </c>
      <c r="M64" s="205">
        <f t="shared" ref="M64:O65" ca="1" si="36">+M29</f>
        <v>0</v>
      </c>
      <c r="N64" s="207" t="e">
        <f t="shared" ca="1" si="36"/>
        <v>#REF!</v>
      </c>
      <c r="O64" s="205">
        <f t="shared" ca="1" si="36"/>
        <v>0</v>
      </c>
      <c r="P64" s="191"/>
      <c r="Q64" s="191"/>
      <c r="R64" s="191"/>
      <c r="S64" s="166"/>
      <c r="T64" s="123"/>
    </row>
    <row r="65" spans="1:240" ht="18.75" customHeight="1" x14ac:dyDescent="0.3">
      <c r="A65" s="91" t="s">
        <v>91</v>
      </c>
      <c r="B65" s="87">
        <f>B29</f>
        <v>685373.375</v>
      </c>
      <c r="C65" s="87">
        <f>+C29</f>
        <v>751536</v>
      </c>
      <c r="D65" s="88">
        <f t="shared" si="18"/>
        <v>9.6999999999999993</v>
      </c>
      <c r="E65" s="386">
        <f t="shared" si="19"/>
        <v>2.1028355364114688</v>
      </c>
      <c r="F65" s="87"/>
      <c r="G65" s="161">
        <f t="shared" si="35"/>
        <v>0</v>
      </c>
      <c r="H65" s="161">
        <f t="shared" si="35"/>
        <v>0</v>
      </c>
      <c r="I65" s="88"/>
      <c r="J65" s="386">
        <f t="shared" si="21"/>
        <v>0</v>
      </c>
      <c r="K65" s="123"/>
      <c r="L65" s="207">
        <f ca="1">L30</f>
        <v>0</v>
      </c>
      <c r="M65" s="205">
        <f t="shared" ca="1" si="36"/>
        <v>0</v>
      </c>
      <c r="N65" s="207" t="e">
        <f t="shared" ca="1" si="36"/>
        <v>#REF!</v>
      </c>
      <c r="O65" s="205">
        <f t="shared" ca="1" si="36"/>
        <v>0</v>
      </c>
      <c r="P65" s="191"/>
      <c r="Q65" s="191"/>
      <c r="R65" s="191"/>
      <c r="S65" s="166"/>
      <c r="T65" s="123"/>
    </row>
    <row r="66" spans="1:240" ht="18.75" x14ac:dyDescent="0.3">
      <c r="A66" s="177" t="s">
        <v>363</v>
      </c>
      <c r="B66" s="87">
        <f>B30</f>
        <v>2003</v>
      </c>
      <c r="C66" s="87">
        <f>C30</f>
        <v>1726</v>
      </c>
      <c r="D66" s="88">
        <f t="shared" si="18"/>
        <v>-13.8</v>
      </c>
      <c r="E66" s="386">
        <f t="shared" ref="E66" si="37">100/C$32*C66</f>
        <v>9.1447080362053266E-3</v>
      </c>
      <c r="F66" s="177"/>
      <c r="G66" s="161">
        <f t="shared" si="35"/>
        <v>0</v>
      </c>
      <c r="H66" s="161">
        <f t="shared" si="35"/>
        <v>0</v>
      </c>
      <c r="I66" s="177"/>
      <c r="J66" s="386">
        <f t="shared" ref="J66" si="38">100/H$32*H66</f>
        <v>0</v>
      </c>
      <c r="K66" s="191"/>
      <c r="L66" s="207">
        <f t="shared" ref="L66" ca="1" si="39">INDIRECT("'" &amp; $A65 &amp; "'!" &amp; $P$7)</f>
        <v>0</v>
      </c>
      <c r="M66" s="205">
        <f t="shared" ref="M66" ca="1" si="40">INDIRECT("'" &amp; $A65 &amp; "'!" &amp; $P$8)</f>
        <v>0</v>
      </c>
      <c r="N66" s="207" t="e">
        <f ca="1">INDIRECT("'" &amp; $A65 &amp; "'!" &amp;#REF!)</f>
        <v>#REF!</v>
      </c>
      <c r="O66" s="205">
        <f t="shared" ref="O66" ca="1" si="41">INDIRECT("'" &amp; $A65 &amp; "'!" &amp; $P$9)</f>
        <v>0</v>
      </c>
    </row>
    <row r="67" spans="1:240" ht="18.75" x14ac:dyDescent="0.3">
      <c r="A67" s="91" t="s">
        <v>370</v>
      </c>
      <c r="B67" s="87">
        <f>B31</f>
        <v>1558</v>
      </c>
      <c r="C67" s="87">
        <f>+C31</f>
        <v>16428</v>
      </c>
      <c r="D67" s="88">
        <f>IF(B67=0, "    ---- ", IF(ABS(ROUND(100/B67*C67-100,1))&lt;999,ROUND(100/B67*C67-100,1),IF(ROUND(100/B67*C67-100,1)&gt;999,999,-999)))</f>
        <v>954.4</v>
      </c>
      <c r="E67" s="386">
        <f>100/C$68*C67</f>
        <v>4.5966370462848898E-2</v>
      </c>
      <c r="F67" s="87"/>
      <c r="G67" s="161">
        <f>G31</f>
        <v>7107</v>
      </c>
      <c r="H67" s="161">
        <f>H31</f>
        <v>34208</v>
      </c>
      <c r="I67" s="88">
        <f>IF(G67=0, "    ---- ", IF(ABS(ROUND(100/G67*H67-100,1))&lt;999,ROUND(100/G67*H67-100,1),IF(ROUND(100/G67*H67-100,1)&gt;999,999,-999)))</f>
        <v>381.3</v>
      </c>
      <c r="J67" s="386">
        <f>100/H$68*H67</f>
        <v>1.6837762761276935E-3</v>
      </c>
      <c r="K67" s="123"/>
      <c r="L67" s="207" t="e">
        <f ca="1">L19+#REF!</f>
        <v>#REF!</v>
      </c>
      <c r="M67" s="205" t="e">
        <f ca="1">+M19+#REF!</f>
        <v>#REF!</v>
      </c>
      <c r="N67" s="207" t="e">
        <f ca="1">N19+#REF!</f>
        <v>#REF!</v>
      </c>
      <c r="O67" s="205" t="e">
        <f ca="1">O19+#REF!</f>
        <v>#REF!</v>
      </c>
      <c r="P67" s="191"/>
      <c r="Q67" s="191"/>
      <c r="R67" s="191"/>
      <c r="S67" s="166"/>
      <c r="T67" s="123"/>
    </row>
    <row r="68" spans="1:240" s="95" customFormat="1" ht="18.75" customHeight="1" x14ac:dyDescent="0.3">
      <c r="A68" s="97" t="s">
        <v>2</v>
      </c>
      <c r="B68" s="98">
        <f>SUM(B45:B67)</f>
        <v>33516796.027118139</v>
      </c>
      <c r="C68" s="98">
        <f>SUM(C45:C67)</f>
        <v>35739171.560820743</v>
      </c>
      <c r="D68" s="99">
        <f>IF(B68=0, "    ---- ", IF(ABS(ROUND(100/B68*C68-100,1))&lt;999,ROUND(100/B68*C68-100,1),IF(ROUND(100/B68*C68-100,1)&gt;999,999,-999)))</f>
        <v>6.6</v>
      </c>
      <c r="E68" s="389">
        <f>SUM(E45:E67)</f>
        <v>100.00431527320428</v>
      </c>
      <c r="F68" s="93"/>
      <c r="G68" s="165">
        <f>SUM(G45:G67)</f>
        <v>1809765618.8003733</v>
      </c>
      <c r="H68" s="165">
        <f>SUM(H45:H67)</f>
        <v>2031623825.8606839</v>
      </c>
      <c r="I68" s="99">
        <f>IF(G68=0, "    ---- ", IF(ABS(ROUND(100/G68*H68-100,1))&lt;999,ROUND(100/G68*H68-100,1),IF(ROUND(100/G68*H68-100,1)&gt;999,999,-999)))</f>
        <v>12.3</v>
      </c>
      <c r="J68" s="389">
        <f>SUM(J45:J67)</f>
        <v>99.999999999999986</v>
      </c>
      <c r="K68" s="164"/>
      <c r="L68" s="212" t="e">
        <f ca="1">SUM(L45:L65)</f>
        <v>#REF!</v>
      </c>
      <c r="M68" s="213" t="e">
        <f ca="1">SUM(M45:M65)</f>
        <v>#REF!</v>
      </c>
      <c r="N68" s="212" t="e">
        <f ca="1">SUM(N45:N65)</f>
        <v>#REF!</v>
      </c>
      <c r="O68" s="213" t="e">
        <f ca="1">SUM(O45:O65)</f>
        <v>#REF!</v>
      </c>
      <c r="P68" s="193"/>
      <c r="Q68" s="193"/>
      <c r="R68" s="193"/>
      <c r="S68" s="122"/>
      <c r="T68" s="164"/>
    </row>
    <row r="69" spans="1:240" ht="18.75" customHeight="1" x14ac:dyDescent="0.3">
      <c r="A69" s="96" t="s">
        <v>95</v>
      </c>
      <c r="B69" s="96"/>
      <c r="C69" s="96"/>
      <c r="D69" s="96"/>
      <c r="E69" s="96"/>
      <c r="F69" s="96"/>
      <c r="G69" s="96"/>
      <c r="H69" s="96"/>
      <c r="I69" s="96"/>
      <c r="J69" s="96"/>
      <c r="K69" s="96"/>
      <c r="L69" s="170"/>
      <c r="M69" s="170"/>
      <c r="N69" s="170"/>
      <c r="O69" s="170"/>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96"/>
      <c r="GB69" s="96"/>
      <c r="GC69" s="96"/>
      <c r="GD69" s="96"/>
      <c r="GE69" s="96"/>
      <c r="GF69" s="96"/>
      <c r="GG69" s="96"/>
      <c r="GH69" s="96"/>
      <c r="GI69" s="96"/>
      <c r="GJ69" s="96"/>
      <c r="GK69" s="96"/>
      <c r="GL69" s="96"/>
      <c r="GM69" s="96"/>
      <c r="GN69" s="96"/>
      <c r="GO69" s="96"/>
      <c r="GP69" s="96"/>
      <c r="GQ69" s="96"/>
      <c r="GR69" s="96"/>
      <c r="GS69" s="96"/>
      <c r="GT69" s="96"/>
      <c r="GU69" s="96"/>
      <c r="GV69" s="96"/>
      <c r="GW69" s="96"/>
      <c r="GX69" s="96"/>
      <c r="GY69" s="96"/>
      <c r="GZ69" s="96"/>
      <c r="HA69" s="96"/>
      <c r="HB69" s="96"/>
      <c r="HC69" s="96"/>
      <c r="HD69" s="96"/>
      <c r="HE69" s="96"/>
      <c r="HF69" s="96"/>
      <c r="HG69" s="96"/>
      <c r="HH69" s="96"/>
      <c r="HI69" s="96"/>
      <c r="HJ69" s="96"/>
      <c r="HK69" s="96"/>
      <c r="HL69" s="96"/>
      <c r="HM69" s="96"/>
      <c r="HN69" s="96"/>
      <c r="HO69" s="96"/>
      <c r="HP69" s="96"/>
      <c r="HQ69" s="96"/>
      <c r="HR69" s="96"/>
      <c r="HS69" s="96"/>
      <c r="HT69" s="96"/>
      <c r="HU69" s="96"/>
      <c r="HV69" s="96"/>
      <c r="HW69" s="96"/>
      <c r="HX69" s="96"/>
      <c r="HY69" s="96"/>
      <c r="HZ69" s="96"/>
      <c r="IA69" s="96"/>
      <c r="IB69" s="96"/>
      <c r="IC69" s="96"/>
      <c r="ID69" s="96"/>
      <c r="IE69" s="96"/>
      <c r="IF69" s="96"/>
    </row>
    <row r="70" spans="1:240" ht="18.75" customHeight="1" x14ac:dyDescent="0.3">
      <c r="A70" s="58"/>
      <c r="B70" s="58"/>
      <c r="C70" s="58"/>
      <c r="D70" s="58"/>
      <c r="E70" s="58"/>
      <c r="F70" s="58"/>
      <c r="G70" s="58"/>
      <c r="H70" s="58"/>
      <c r="I70" s="58"/>
      <c r="J70" s="58"/>
      <c r="K70" s="58"/>
    </row>
    <row r="71" spans="1:240" ht="18.75" customHeight="1" x14ac:dyDescent="0.3">
      <c r="A71" s="58"/>
      <c r="B71" s="58"/>
      <c r="C71" s="58"/>
      <c r="D71" s="58"/>
      <c r="E71" s="58"/>
      <c r="F71" s="58"/>
      <c r="G71" s="58"/>
      <c r="H71" s="58"/>
      <c r="I71" s="58"/>
      <c r="J71" s="58"/>
      <c r="K71" s="58"/>
    </row>
    <row r="72" spans="1:240" ht="18.75" customHeight="1" x14ac:dyDescent="0.3">
      <c r="A72" s="58"/>
      <c r="B72" s="61"/>
      <c r="C72" s="61"/>
      <c r="D72" s="58"/>
      <c r="E72" s="58"/>
      <c r="F72" s="58"/>
      <c r="G72" s="61"/>
      <c r="H72" s="61"/>
      <c r="I72" s="58"/>
      <c r="J72" s="58"/>
      <c r="K72" s="58"/>
    </row>
    <row r="73" spans="1:240" ht="18.75" customHeight="1" x14ac:dyDescent="0.3">
      <c r="A73" s="58"/>
      <c r="B73" s="58"/>
      <c r="C73" s="58"/>
      <c r="D73" s="58"/>
      <c r="E73" s="58"/>
      <c r="F73" s="58"/>
      <c r="G73" s="58"/>
      <c r="H73" s="58"/>
      <c r="I73" s="58"/>
      <c r="J73" s="58"/>
      <c r="K73" s="58"/>
    </row>
    <row r="74" spans="1:240" ht="18.75" customHeight="1" x14ac:dyDescent="0.3">
      <c r="A74" s="58"/>
      <c r="B74" s="58"/>
      <c r="C74" s="58"/>
      <c r="D74" s="58"/>
      <c r="E74" s="58"/>
      <c r="F74" s="58"/>
      <c r="G74" s="58"/>
      <c r="H74" s="58"/>
      <c r="I74" s="58"/>
      <c r="J74" s="58"/>
      <c r="K74" s="58"/>
    </row>
    <row r="75" spans="1:240" ht="18.75" customHeight="1" x14ac:dyDescent="0.3">
      <c r="A75" s="58"/>
      <c r="B75" s="58"/>
      <c r="C75" s="58"/>
      <c r="D75" s="58"/>
      <c r="E75" s="58"/>
      <c r="F75" s="58"/>
      <c r="G75" s="58"/>
      <c r="H75" s="58"/>
      <c r="I75" s="58"/>
      <c r="J75" s="58"/>
      <c r="K75" s="58"/>
    </row>
    <row r="76" spans="1:240" ht="18.75" customHeight="1" x14ac:dyDescent="0.3">
      <c r="A76" s="58"/>
      <c r="B76" s="58"/>
      <c r="C76" s="58"/>
      <c r="D76" s="58"/>
      <c r="E76" s="58"/>
      <c r="F76" s="58"/>
      <c r="G76" s="58"/>
      <c r="H76" s="58"/>
      <c r="I76" s="58"/>
      <c r="J76" s="58"/>
      <c r="K76" s="58"/>
    </row>
    <row r="77" spans="1:240" ht="18.75" x14ac:dyDescent="0.3">
      <c r="A77" s="58"/>
      <c r="B77" s="58"/>
      <c r="C77" s="58"/>
      <c r="D77" s="58"/>
      <c r="E77" s="58"/>
      <c r="F77" s="58"/>
      <c r="G77" s="58"/>
      <c r="H77" s="58"/>
      <c r="I77" s="58"/>
      <c r="J77" s="58"/>
      <c r="K77" s="58"/>
    </row>
    <row r="78" spans="1:240" ht="18.75" x14ac:dyDescent="0.3">
      <c r="A78" s="58"/>
      <c r="B78" s="58"/>
      <c r="C78" s="58"/>
      <c r="D78" s="58"/>
      <c r="E78" s="58"/>
      <c r="F78" s="58"/>
      <c r="G78" s="58"/>
      <c r="H78" s="58"/>
      <c r="I78" s="58"/>
      <c r="J78" s="58"/>
      <c r="K78" s="58"/>
    </row>
    <row r="79" spans="1:240" ht="18.75" x14ac:dyDescent="0.3">
      <c r="A79" s="58"/>
      <c r="B79" s="58"/>
      <c r="C79" s="58"/>
      <c r="D79" s="58"/>
      <c r="E79" s="58"/>
      <c r="F79" s="58"/>
      <c r="G79" s="58"/>
      <c r="H79" s="58"/>
      <c r="I79" s="58"/>
      <c r="J79" s="58"/>
      <c r="K79" s="58"/>
    </row>
    <row r="80" spans="1:240" ht="18.75" x14ac:dyDescent="0.3">
      <c r="A80" s="58"/>
      <c r="B80" s="58"/>
      <c r="C80" s="58"/>
      <c r="D80" s="58"/>
      <c r="E80" s="58"/>
      <c r="F80" s="58"/>
      <c r="G80" s="58"/>
      <c r="H80" s="58"/>
      <c r="I80" s="58"/>
      <c r="J80" s="58"/>
      <c r="K80" s="58"/>
    </row>
    <row r="81" spans="1:11" ht="18.75" x14ac:dyDescent="0.3">
      <c r="A81" s="58"/>
      <c r="B81" s="58"/>
      <c r="C81" s="58"/>
      <c r="D81" s="58"/>
      <c r="E81" s="58"/>
      <c r="F81" s="58"/>
      <c r="G81" s="58"/>
      <c r="H81" s="58"/>
      <c r="I81" s="58"/>
      <c r="J81" s="58"/>
      <c r="K81" s="58"/>
    </row>
    <row r="82" spans="1:11" ht="18.75" x14ac:dyDescent="0.3">
      <c r="A82" s="58"/>
      <c r="B82" s="58"/>
      <c r="C82" s="58"/>
      <c r="D82" s="58"/>
      <c r="E82" s="58"/>
      <c r="F82" s="58"/>
      <c r="G82" s="58"/>
      <c r="H82" s="58"/>
      <c r="I82" s="58"/>
      <c r="J82" s="58"/>
      <c r="K82" s="58"/>
    </row>
    <row r="83" spans="1:11" ht="18.75" x14ac:dyDescent="0.3">
      <c r="A83" s="58"/>
      <c r="B83" s="58"/>
      <c r="C83" s="58"/>
      <c r="D83" s="58"/>
      <c r="E83" s="58"/>
      <c r="F83" s="58"/>
      <c r="G83" s="58"/>
      <c r="H83" s="58"/>
      <c r="I83" s="58"/>
      <c r="J83" s="58"/>
      <c r="K83" s="58"/>
    </row>
    <row r="84" spans="1:11" ht="18.75" x14ac:dyDescent="0.3">
      <c r="A84" s="58"/>
      <c r="B84" s="58"/>
      <c r="C84" s="58"/>
      <c r="D84" s="58"/>
      <c r="E84" s="58"/>
      <c r="F84" s="58"/>
      <c r="G84" s="58"/>
      <c r="H84" s="58"/>
      <c r="I84" s="58"/>
      <c r="J84" s="58"/>
      <c r="K84" s="58"/>
    </row>
    <row r="85" spans="1:11" ht="18.75" x14ac:dyDescent="0.3">
      <c r="A85" s="58"/>
      <c r="B85" s="58"/>
      <c r="C85" s="58"/>
      <c r="D85" s="58"/>
      <c r="E85" s="58"/>
      <c r="F85" s="58"/>
      <c r="G85" s="58"/>
      <c r="H85" s="58"/>
      <c r="I85" s="58"/>
      <c r="J85" s="58"/>
      <c r="K85" s="58"/>
    </row>
    <row r="86" spans="1:11" ht="18.75" x14ac:dyDescent="0.3">
      <c r="A86" s="58"/>
      <c r="B86" s="58"/>
      <c r="C86" s="58"/>
      <c r="D86" s="58"/>
      <c r="E86" s="58"/>
      <c r="F86" s="58"/>
      <c r="G86" s="58"/>
      <c r="H86" s="58"/>
      <c r="I86" s="58"/>
      <c r="J86" s="58"/>
      <c r="K86" s="58"/>
    </row>
    <row r="87" spans="1:11" ht="18.75" x14ac:dyDescent="0.3">
      <c r="A87" s="58"/>
      <c r="B87" s="58"/>
      <c r="C87" s="58"/>
      <c r="D87" s="58"/>
      <c r="E87" s="58"/>
      <c r="F87" s="58"/>
      <c r="G87" s="58"/>
      <c r="H87" s="58"/>
      <c r="I87" s="58"/>
      <c r="J87" s="58"/>
      <c r="K87" s="58"/>
    </row>
    <row r="88" spans="1:11" ht="18.75" x14ac:dyDescent="0.3">
      <c r="A88" s="58"/>
      <c r="B88" s="58"/>
      <c r="C88" s="58"/>
      <c r="D88" s="58"/>
      <c r="E88" s="58"/>
      <c r="F88" s="58"/>
      <c r="G88" s="58"/>
      <c r="H88" s="58"/>
      <c r="I88" s="58"/>
      <c r="J88" s="58"/>
      <c r="K88" s="58"/>
    </row>
    <row r="89" spans="1:11" ht="18.75" x14ac:dyDescent="0.3">
      <c r="A89" s="58"/>
      <c r="B89" s="58"/>
      <c r="C89" s="58"/>
      <c r="D89" s="58"/>
      <c r="E89" s="58"/>
      <c r="F89" s="58"/>
      <c r="G89" s="58"/>
      <c r="H89" s="58"/>
      <c r="I89" s="58"/>
      <c r="J89" s="58"/>
      <c r="K89" s="58"/>
    </row>
    <row r="90" spans="1:11" ht="18.75" x14ac:dyDescent="0.3">
      <c r="A90" s="58"/>
      <c r="B90" s="58"/>
      <c r="C90" s="58"/>
      <c r="D90" s="58"/>
      <c r="E90" s="58"/>
      <c r="F90" s="58"/>
      <c r="G90" s="58"/>
      <c r="H90" s="58"/>
      <c r="I90" s="58"/>
      <c r="J90" s="58"/>
      <c r="K90" s="58"/>
    </row>
    <row r="91" spans="1:11" ht="18.75" x14ac:dyDescent="0.3">
      <c r="A91" s="58"/>
      <c r="B91" s="58"/>
      <c r="C91" s="58"/>
      <c r="D91" s="58"/>
      <c r="E91" s="58"/>
      <c r="F91" s="58"/>
      <c r="G91" s="58"/>
      <c r="H91" s="58"/>
      <c r="I91" s="58"/>
      <c r="J91" s="58"/>
      <c r="K91" s="58"/>
    </row>
    <row r="92" spans="1:11" ht="18.75" x14ac:dyDescent="0.3">
      <c r="A92" s="58"/>
      <c r="B92" s="58"/>
      <c r="C92" s="58"/>
      <c r="D92" s="58"/>
      <c r="E92" s="58"/>
      <c r="F92" s="58"/>
      <c r="G92" s="58"/>
      <c r="H92" s="58"/>
      <c r="I92" s="58"/>
      <c r="J92" s="58"/>
      <c r="K92" s="58"/>
    </row>
    <row r="93" spans="1:11" ht="18.75" x14ac:dyDescent="0.3">
      <c r="A93" s="58"/>
      <c r="B93" s="58"/>
      <c r="C93" s="58"/>
      <c r="D93" s="58"/>
      <c r="E93" s="58"/>
      <c r="F93" s="58"/>
      <c r="G93" s="58"/>
      <c r="H93" s="58"/>
      <c r="I93" s="58"/>
      <c r="J93" s="58"/>
      <c r="K93" s="58"/>
    </row>
    <row r="94" spans="1:11" ht="18.75" x14ac:dyDescent="0.3">
      <c r="A94" s="96"/>
      <c r="B94" s="96"/>
      <c r="C94" s="96"/>
      <c r="D94" s="96"/>
      <c r="E94" s="96"/>
      <c r="F94" s="96"/>
      <c r="G94" s="96"/>
      <c r="H94" s="96"/>
      <c r="I94" s="96"/>
      <c r="J94" s="96"/>
      <c r="K94" s="96"/>
    </row>
    <row r="95" spans="1:11" ht="18.75" x14ac:dyDescent="0.3">
      <c r="A95" s="100"/>
      <c r="B95" s="101"/>
      <c r="C95" s="101"/>
      <c r="D95" s="101"/>
      <c r="E95" s="58"/>
      <c r="F95" s="58"/>
      <c r="G95" s="58"/>
      <c r="H95" s="58"/>
      <c r="I95" s="58"/>
      <c r="J95" s="59"/>
      <c r="K95" s="59"/>
    </row>
    <row r="96" spans="1:11" ht="18.75" x14ac:dyDescent="0.3">
      <c r="A96" s="58"/>
      <c r="B96" s="58"/>
      <c r="C96" s="58"/>
      <c r="D96" s="58"/>
      <c r="E96" s="58"/>
      <c r="F96" s="58"/>
      <c r="G96" s="58"/>
      <c r="H96" s="58"/>
      <c r="I96" s="58"/>
      <c r="J96" s="58"/>
      <c r="K96" s="58"/>
    </row>
    <row r="97" spans="1:11" ht="18.75" x14ac:dyDescent="0.3">
      <c r="A97" s="58"/>
      <c r="B97" s="58"/>
      <c r="C97" s="58"/>
      <c r="D97" s="58"/>
      <c r="E97" s="58"/>
      <c r="F97" s="58"/>
      <c r="G97" s="58"/>
      <c r="H97" s="58"/>
      <c r="I97" s="58"/>
      <c r="J97" s="58"/>
      <c r="K97" s="58"/>
    </row>
    <row r="98" spans="1:11" ht="18.75" x14ac:dyDescent="0.3">
      <c r="A98" s="58"/>
      <c r="B98" s="58"/>
      <c r="C98" s="58"/>
      <c r="D98" s="58"/>
      <c r="E98" s="58"/>
      <c r="F98" s="58"/>
      <c r="G98" s="58"/>
      <c r="H98" s="58"/>
      <c r="I98" s="58"/>
      <c r="J98" s="58"/>
      <c r="K98" s="58"/>
    </row>
    <row r="99" spans="1:11" ht="18.75" x14ac:dyDescent="0.3">
      <c r="A99" s="58"/>
      <c r="B99" s="58"/>
      <c r="C99" s="58"/>
      <c r="D99" s="58"/>
      <c r="E99" s="58"/>
      <c r="F99" s="58"/>
      <c r="G99" s="58"/>
      <c r="H99" s="58"/>
      <c r="I99" s="58"/>
      <c r="J99" s="58"/>
      <c r="K99" s="58"/>
    </row>
    <row r="100" spans="1:11" ht="18.75" x14ac:dyDescent="0.3">
      <c r="A100" s="58"/>
      <c r="B100" s="58"/>
      <c r="C100" s="58"/>
      <c r="D100" s="58"/>
      <c r="E100" s="58"/>
      <c r="F100" s="58"/>
      <c r="G100" s="58"/>
      <c r="H100" s="58"/>
      <c r="I100" s="58"/>
      <c r="J100" s="58"/>
      <c r="K100" s="58"/>
    </row>
    <row r="101" spans="1:11" ht="18.75" x14ac:dyDescent="0.3">
      <c r="A101" s="58"/>
      <c r="B101" s="58"/>
      <c r="C101" s="58"/>
      <c r="D101" s="58"/>
      <c r="E101" s="58"/>
      <c r="F101" s="58"/>
      <c r="G101" s="58"/>
      <c r="H101" s="58"/>
      <c r="I101" s="58"/>
      <c r="J101" s="58"/>
      <c r="K101" s="58"/>
    </row>
    <row r="102" spans="1:11" ht="18.75" x14ac:dyDescent="0.3">
      <c r="A102" s="58"/>
      <c r="B102" s="58"/>
      <c r="C102" s="58"/>
      <c r="D102" s="58"/>
      <c r="E102" s="58"/>
      <c r="F102" s="58"/>
      <c r="G102" s="58"/>
      <c r="H102" s="58"/>
      <c r="I102" s="58"/>
      <c r="J102" s="58"/>
      <c r="K102" s="58"/>
    </row>
    <row r="103" spans="1:11" ht="18.75" x14ac:dyDescent="0.3">
      <c r="A103" s="58"/>
      <c r="B103" s="58"/>
      <c r="C103" s="58"/>
      <c r="D103" s="58"/>
      <c r="E103" s="58"/>
      <c r="F103" s="58"/>
      <c r="G103" s="58"/>
      <c r="H103" s="58"/>
      <c r="I103" s="58"/>
      <c r="J103" s="58"/>
      <c r="K103" s="58"/>
    </row>
    <row r="104" spans="1:11" ht="18.75" x14ac:dyDescent="0.3">
      <c r="A104" s="58"/>
      <c r="B104" s="58"/>
      <c r="C104" s="58"/>
      <c r="D104" s="58"/>
      <c r="E104" s="58"/>
      <c r="F104" s="58"/>
      <c r="G104" s="58"/>
      <c r="H104" s="58"/>
      <c r="I104" s="58"/>
      <c r="J104" s="58"/>
      <c r="K104" s="58"/>
    </row>
    <row r="105" spans="1:11" ht="18.75" x14ac:dyDescent="0.3">
      <c r="A105" s="58"/>
      <c r="B105" s="58"/>
      <c r="C105" s="58"/>
      <c r="D105" s="58"/>
      <c r="E105" s="58"/>
      <c r="F105" s="58"/>
      <c r="G105" s="58"/>
      <c r="H105" s="58"/>
      <c r="I105" s="58"/>
      <c r="J105" s="58"/>
      <c r="K105" s="58"/>
    </row>
    <row r="106" spans="1:11" ht="18.75" x14ac:dyDescent="0.3">
      <c r="A106" s="58"/>
      <c r="B106" s="58"/>
      <c r="C106" s="58"/>
      <c r="D106" s="58"/>
      <c r="E106" s="58"/>
      <c r="F106" s="58"/>
      <c r="G106" s="58"/>
      <c r="H106" s="58"/>
      <c r="I106" s="58"/>
      <c r="J106" s="58"/>
      <c r="K106" s="58"/>
    </row>
    <row r="107" spans="1:11" ht="18.75" x14ac:dyDescent="0.3">
      <c r="A107" s="58"/>
      <c r="B107" s="58"/>
      <c r="C107" s="58"/>
      <c r="D107" s="58"/>
      <c r="E107" s="58"/>
      <c r="F107" s="58"/>
      <c r="G107" s="58"/>
      <c r="H107" s="58"/>
      <c r="I107" s="58"/>
      <c r="J107" s="58"/>
      <c r="K107" s="58"/>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activeCell="H73" sqref="H73"/>
      <selection pane="topRight" activeCell="H73" sqref="H73"/>
      <selection pane="bottomLeft" activeCell="H73" sqref="H73"/>
      <selection pane="bottomRight" activeCell="A4" sqref="A4"/>
    </sheetView>
  </sheetViews>
  <sheetFormatPr baseColWidth="10" defaultColWidth="11.42578125" defaultRowHeight="18" x14ac:dyDescent="0.25"/>
  <cols>
    <col min="1" max="1" width="51" style="65" customWidth="1"/>
    <col min="2" max="3" width="17.85546875" style="65" bestFit="1" customWidth="1"/>
    <col min="4" max="4" width="9.28515625" style="65" bestFit="1" customWidth="1"/>
    <col min="5" max="5" width="4.7109375" style="65" customWidth="1"/>
    <col min="6" max="7" width="16.7109375" style="65" customWidth="1"/>
    <col min="8" max="8" width="9.28515625" style="65" bestFit="1" customWidth="1"/>
    <col min="9" max="9" width="4.7109375" style="65" customWidth="1"/>
    <col min="10" max="10" width="18.7109375" style="65" customWidth="1"/>
    <col min="11" max="11" width="18" style="65" bestFit="1" customWidth="1"/>
    <col min="12" max="12" width="9.28515625" style="65" bestFit="1" customWidth="1"/>
    <col min="13" max="13" width="11.42578125" style="65"/>
    <col min="14" max="15" width="17.28515625" style="65" bestFit="1" customWidth="1"/>
    <col min="16" max="16384" width="11.42578125" style="65"/>
  </cols>
  <sheetData>
    <row r="1" spans="1:13" ht="20.25" x14ac:dyDescent="0.3">
      <c r="A1" s="64" t="s">
        <v>72</v>
      </c>
      <c r="B1" s="57" t="s">
        <v>52</v>
      </c>
      <c r="C1" s="58"/>
      <c r="D1" s="58"/>
      <c r="E1" s="58"/>
      <c r="F1" s="58"/>
      <c r="G1" s="58"/>
      <c r="H1" s="58"/>
      <c r="I1" s="58"/>
      <c r="J1" s="58"/>
      <c r="K1" s="58"/>
      <c r="L1" s="58"/>
      <c r="M1" s="58"/>
    </row>
    <row r="2" spans="1:13" ht="20.25" x14ac:dyDescent="0.3">
      <c r="A2" s="64" t="s">
        <v>96</v>
      </c>
      <c r="B2" s="57"/>
      <c r="C2" s="58"/>
      <c r="D2" s="58"/>
      <c r="E2" s="58"/>
      <c r="F2" s="58"/>
      <c r="G2" s="58"/>
      <c r="H2" s="58"/>
      <c r="I2" s="58"/>
      <c r="J2" s="58"/>
      <c r="K2" s="58"/>
      <c r="L2" s="58"/>
      <c r="M2" s="58"/>
    </row>
    <row r="3" spans="1:13" ht="18.75" x14ac:dyDescent="0.3">
      <c r="A3" s="59" t="s">
        <v>97</v>
      </c>
      <c r="B3" s="58"/>
      <c r="C3" s="58"/>
      <c r="D3" s="58"/>
      <c r="E3" s="58"/>
      <c r="F3" s="58"/>
      <c r="G3" s="58"/>
      <c r="H3" s="58"/>
      <c r="I3" s="58"/>
      <c r="J3" s="58"/>
      <c r="K3" s="58"/>
      <c r="L3" s="58"/>
      <c r="M3" s="58"/>
    </row>
    <row r="4" spans="1:13" ht="18.75" x14ac:dyDescent="0.3">
      <c r="A4" s="66" t="s">
        <v>419</v>
      </c>
      <c r="B4" s="86"/>
      <c r="C4" s="102"/>
      <c r="D4" s="103"/>
      <c r="E4" s="96"/>
      <c r="F4" s="67"/>
      <c r="G4" s="68"/>
      <c r="H4" s="69"/>
      <c r="I4" s="96"/>
      <c r="J4" s="67"/>
      <c r="K4" s="68"/>
      <c r="L4" s="69"/>
      <c r="M4" s="58"/>
    </row>
    <row r="5" spans="1:13" ht="18.75" x14ac:dyDescent="0.3">
      <c r="A5" s="104"/>
      <c r="B5" s="686" t="s">
        <v>0</v>
      </c>
      <c r="C5" s="687"/>
      <c r="D5" s="688"/>
      <c r="E5" s="73"/>
      <c r="F5" s="686" t="s">
        <v>1</v>
      </c>
      <c r="G5" s="687"/>
      <c r="H5" s="688"/>
      <c r="I5" s="105"/>
      <c r="J5" s="686" t="s">
        <v>98</v>
      </c>
      <c r="K5" s="687"/>
      <c r="L5" s="688"/>
      <c r="M5" s="58"/>
    </row>
    <row r="6" spans="1:13" ht="18.75" x14ac:dyDescent="0.3">
      <c r="A6" s="106"/>
      <c r="B6" s="107"/>
      <c r="C6" s="108"/>
      <c r="D6" s="78" t="s">
        <v>99</v>
      </c>
      <c r="E6" s="84"/>
      <c r="F6" s="107"/>
      <c r="G6" s="108"/>
      <c r="H6" s="78" t="s">
        <v>99</v>
      </c>
      <c r="I6" s="109"/>
      <c r="J6" s="107"/>
      <c r="K6" s="108"/>
      <c r="L6" s="78" t="s">
        <v>99</v>
      </c>
      <c r="M6" s="58"/>
    </row>
    <row r="7" spans="1:13" ht="18.75" x14ac:dyDescent="0.3">
      <c r="A7" s="110" t="s">
        <v>100</v>
      </c>
      <c r="B7" s="111">
        <v>2023</v>
      </c>
      <c r="C7" s="169">
        <v>2024</v>
      </c>
      <c r="D7" s="83" t="s">
        <v>78</v>
      </c>
      <c r="E7" s="84"/>
      <c r="F7" s="81">
        <v>2023</v>
      </c>
      <c r="G7" s="111">
        <v>2024</v>
      </c>
      <c r="H7" s="83" t="s">
        <v>78</v>
      </c>
      <c r="I7" s="112"/>
      <c r="J7" s="168">
        <v>2023</v>
      </c>
      <c r="K7" s="169">
        <v>2024</v>
      </c>
      <c r="L7" s="83" t="s">
        <v>78</v>
      </c>
      <c r="M7" s="58"/>
    </row>
    <row r="8" spans="1:13" ht="22.5" x14ac:dyDescent="0.3">
      <c r="A8" s="176" t="s">
        <v>101</v>
      </c>
      <c r="B8" s="215"/>
      <c r="C8" s="185"/>
      <c r="D8" s="185"/>
      <c r="E8" s="166"/>
      <c r="F8" s="185"/>
      <c r="G8" s="185"/>
      <c r="H8" s="185"/>
      <c r="I8" s="186"/>
      <c r="J8" s="185"/>
      <c r="K8" s="185"/>
      <c r="L8" s="185"/>
      <c r="M8" s="58"/>
    </row>
    <row r="9" spans="1:13" ht="18.75" x14ac:dyDescent="0.3">
      <c r="A9" s="177" t="s">
        <v>102</v>
      </c>
      <c r="B9" s="88">
        <f>'Skjema total MA'!B7</f>
        <v>1889203.174898416</v>
      </c>
      <c r="C9" s="88">
        <f>'Skjema total MA'!C7</f>
        <v>1916181.7461182389</v>
      </c>
      <c r="D9" s="216">
        <f>IF(B9=0, "    ---- ", IF(ABS(ROUND(100/B9*C9-100,1))&lt;999,ROUND(100/B9*C9-100,1),IF(ROUND(100/B9*C9-100,1)&gt;999,999,-999)))</f>
        <v>1.4</v>
      </c>
      <c r="E9" s="166"/>
      <c r="F9" s="180">
        <f>'Skjema total MA'!E7</f>
        <v>2702858.6687699999</v>
      </c>
      <c r="G9" s="180">
        <f>'Skjema total MA'!F7</f>
        <v>3913241.6555799996</v>
      </c>
      <c r="H9" s="216">
        <f>IF(F9=0, "    ---- ", IF(ABS(ROUND(100/F9*G9-100,1))&lt;999,ROUND(100/F9*G9-100,1),IF(ROUND(100/F9*G9-100,1)&gt;999,999,-999)))</f>
        <v>44.8</v>
      </c>
      <c r="I9" s="166"/>
      <c r="J9" s="180">
        <f t="shared" ref="J9:K60" si="0">SUM(B9+F9)</f>
        <v>4592061.8436684161</v>
      </c>
      <c r="K9" s="180">
        <f t="shared" si="0"/>
        <v>5829423.4016982382</v>
      </c>
      <c r="L9" s="214">
        <f>IF(J9=0, "    ---- ", IF(ABS(ROUND(100/J9*K9-100,1))&lt;999,ROUND(100/J9*K9-100,1),IF(ROUND(100/J9*K9-100,1)&gt;999,999,-999)))</f>
        <v>26.9</v>
      </c>
      <c r="M9" s="58"/>
    </row>
    <row r="10" spans="1:13" ht="18.75" x14ac:dyDescent="0.3">
      <c r="A10" s="177" t="s">
        <v>103</v>
      </c>
      <c r="B10" s="88">
        <f>'Skjema total MA'!B22</f>
        <v>822367.65775933326</v>
      </c>
      <c r="C10" s="88">
        <f>'Skjema total MA'!C22</f>
        <v>883833.84994250839</v>
      </c>
      <c r="D10" s="216">
        <f t="shared" ref="D10:D17" si="1">IF(B10=0, "    ---- ", IF(ABS(ROUND(100/B10*C10-100,1))&lt;999,ROUND(100/B10*C10-100,1),IF(ROUND(100/B10*C10-100,1)&gt;999,999,-999)))</f>
        <v>7.5</v>
      </c>
      <c r="E10" s="166"/>
      <c r="F10" s="180">
        <f>'Skjema total MA'!E22</f>
        <v>232680.74925000002</v>
      </c>
      <c r="G10" s="180">
        <f>'Skjema total MA'!F22</f>
        <v>254221.83717000001</v>
      </c>
      <c r="H10" s="216">
        <f t="shared" ref="H10:H57" si="2">IF(F10=0, "    ---- ", IF(ABS(ROUND(100/F10*G10-100,1))&lt;999,ROUND(100/F10*G10-100,1),IF(ROUND(100/F10*G10-100,1)&gt;999,999,-999)))</f>
        <v>9.3000000000000007</v>
      </c>
      <c r="I10" s="166"/>
      <c r="J10" s="180">
        <f t="shared" si="0"/>
        <v>1055048.4070093334</v>
      </c>
      <c r="K10" s="180">
        <f t="shared" si="0"/>
        <v>1138055.6871125083</v>
      </c>
      <c r="L10" s="214">
        <f t="shared" ref="L10:L60" si="3">IF(J10=0, "    ---- ", IF(ABS(ROUND(100/J10*K10-100,1))&lt;999,ROUND(100/J10*K10-100,1),IF(ROUND(100/J10*K10-100,1)&gt;999,999,-999)))</f>
        <v>7.9</v>
      </c>
      <c r="M10" s="58"/>
    </row>
    <row r="11" spans="1:13" ht="18.75" x14ac:dyDescent="0.3">
      <c r="A11" s="177" t="s">
        <v>104</v>
      </c>
      <c r="B11" s="88">
        <f>'Skjema total MA'!B47</f>
        <v>3736795.0532203927</v>
      </c>
      <c r="C11" s="88">
        <f>'Skjema total MA'!C47</f>
        <v>4118428.1644899994</v>
      </c>
      <c r="D11" s="216">
        <f t="shared" si="1"/>
        <v>10.199999999999999</v>
      </c>
      <c r="E11" s="166"/>
      <c r="F11" s="180"/>
      <c r="G11" s="180"/>
      <c r="H11" s="216"/>
      <c r="I11" s="166"/>
      <c r="J11" s="180">
        <f t="shared" si="0"/>
        <v>3736795.0532203927</v>
      </c>
      <c r="K11" s="180">
        <f t="shared" si="0"/>
        <v>4118428.1644899994</v>
      </c>
      <c r="L11" s="214">
        <f t="shared" si="3"/>
        <v>10.199999999999999</v>
      </c>
      <c r="M11" s="58"/>
    </row>
    <row r="12" spans="1:13" ht="18.75" x14ac:dyDescent="0.3">
      <c r="A12" s="177" t="s">
        <v>105</v>
      </c>
      <c r="B12" s="88">
        <f>'Skjema total MA'!B66</f>
        <v>3124219.96612</v>
      </c>
      <c r="C12" s="88">
        <f>'Skjema total MA'!C66</f>
        <v>2949518.7670700001</v>
      </c>
      <c r="D12" s="216">
        <f t="shared" si="1"/>
        <v>-5.6</v>
      </c>
      <c r="E12" s="166"/>
      <c r="F12" s="180">
        <f>'Skjema total MA'!E66</f>
        <v>12099385.04476</v>
      </c>
      <c r="G12" s="180">
        <f>'Skjema total MA'!F66</f>
        <v>12674715.022740001</v>
      </c>
      <c r="H12" s="216">
        <f t="shared" si="2"/>
        <v>4.8</v>
      </c>
      <c r="I12" s="166"/>
      <c r="J12" s="180">
        <f t="shared" si="0"/>
        <v>15223605.010880001</v>
      </c>
      <c r="K12" s="180">
        <f t="shared" si="0"/>
        <v>15624233.789810002</v>
      </c>
      <c r="L12" s="214">
        <f t="shared" si="3"/>
        <v>2.6</v>
      </c>
      <c r="M12" s="58"/>
    </row>
    <row r="13" spans="1:13" ht="18.75" x14ac:dyDescent="0.3">
      <c r="A13" s="177" t="s">
        <v>420</v>
      </c>
      <c r="B13" s="88">
        <f>'Skjema total MA'!B68</f>
        <v>10743.69318</v>
      </c>
      <c r="C13" s="88">
        <f>'Skjema total MA'!C68</f>
        <v>9689.0630199999996</v>
      </c>
      <c r="D13" s="216">
        <f t="shared" si="1"/>
        <v>-9.8000000000000007</v>
      </c>
      <c r="E13" s="166"/>
      <c r="F13" s="180">
        <f>'Skjema total MA'!E68</f>
        <v>11503074.73161</v>
      </c>
      <c r="G13" s="180">
        <f>'Skjema total MA'!F68</f>
        <v>12155093.40521</v>
      </c>
      <c r="H13" s="216">
        <f t="shared" si="2"/>
        <v>5.7</v>
      </c>
      <c r="I13" s="166"/>
      <c r="J13" s="180">
        <f t="shared" si="0"/>
        <v>11513818.424790001</v>
      </c>
      <c r="K13" s="180">
        <f t="shared" si="0"/>
        <v>12164782.46823</v>
      </c>
      <c r="L13" s="214">
        <f t="shared" si="3"/>
        <v>5.7</v>
      </c>
      <c r="M13" s="58"/>
    </row>
    <row r="14" spans="1:13" s="117" customFormat="1" ht="18.75" x14ac:dyDescent="0.3">
      <c r="A14" s="178" t="s">
        <v>106</v>
      </c>
      <c r="B14" s="115">
        <f>'Skjema total MA'!B75+'Skjema total MA'!B76</f>
        <v>835438.15050271223</v>
      </c>
      <c r="C14" s="115">
        <f>'Skjema total MA'!C75+'Skjema total MA'!C76</f>
        <v>959833.18502373109</v>
      </c>
      <c r="D14" s="216">
        <f t="shared" si="1"/>
        <v>14.9</v>
      </c>
      <c r="E14" s="167"/>
      <c r="F14" s="181">
        <f>'Skjema total MA'!E75+'Skjema total MA'!E76</f>
        <v>596310.31315000006</v>
      </c>
      <c r="G14" s="181">
        <f>'Skjema total MA'!F75+'Skjema total MA'!F76</f>
        <v>519621.61753000005</v>
      </c>
      <c r="H14" s="216">
        <f t="shared" si="2"/>
        <v>-12.9</v>
      </c>
      <c r="I14" s="167"/>
      <c r="J14" s="180">
        <f t="shared" si="0"/>
        <v>1431748.4636527123</v>
      </c>
      <c r="K14" s="180">
        <f t="shared" si="0"/>
        <v>1479454.802553731</v>
      </c>
      <c r="L14" s="214">
        <f t="shared" si="3"/>
        <v>3.3</v>
      </c>
      <c r="M14" s="116"/>
    </row>
    <row r="15" spans="1:13" ht="22.5" x14ac:dyDescent="0.3">
      <c r="A15" s="177" t="s">
        <v>311</v>
      </c>
      <c r="B15" s="88">
        <f>'Skjema total MA'!B134</f>
        <v>8890376.6183399986</v>
      </c>
      <c r="C15" s="88">
        <f>'Skjema total MA'!C134</f>
        <v>9005792.8037100006</v>
      </c>
      <c r="D15" s="216">
        <f t="shared" si="1"/>
        <v>1.3</v>
      </c>
      <c r="E15" s="166"/>
      <c r="F15" s="180">
        <f>'Skjema total MA'!E134</f>
        <v>18550.222000000002</v>
      </c>
      <c r="G15" s="180">
        <f>'Skjema total MA'!F134</f>
        <v>22688.987000000001</v>
      </c>
      <c r="H15" s="216">
        <f t="shared" si="2"/>
        <v>22.3</v>
      </c>
      <c r="I15" s="166"/>
      <c r="J15" s="180">
        <f t="shared" si="0"/>
        <v>8908926.8403399978</v>
      </c>
      <c r="K15" s="180">
        <f t="shared" si="0"/>
        <v>9028481.7907100003</v>
      </c>
      <c r="L15" s="214">
        <f t="shared" si="3"/>
        <v>1.3</v>
      </c>
      <c r="M15" s="58"/>
    </row>
    <row r="16" spans="1:13" ht="18.75" x14ac:dyDescent="0.3">
      <c r="A16" s="177" t="s">
        <v>107</v>
      </c>
      <c r="B16" s="88">
        <f>'Skjema total MA'!B36</f>
        <v>358.87200000000001</v>
      </c>
      <c r="C16" s="88">
        <f>'Skjema total MA'!C36</f>
        <v>548.72699999999998</v>
      </c>
      <c r="D16" s="216">
        <f t="shared" si="1"/>
        <v>52.9</v>
      </c>
      <c r="E16" s="166"/>
      <c r="F16" s="180">
        <f>'Skjema total MA'!E36</f>
        <v>0</v>
      </c>
      <c r="G16" s="180">
        <f>'Skjema total MA'!F36</f>
        <v>0</v>
      </c>
      <c r="H16" s="216"/>
      <c r="I16" s="166"/>
      <c r="J16" s="180">
        <f t="shared" si="0"/>
        <v>358.87200000000001</v>
      </c>
      <c r="K16" s="180">
        <f t="shared" si="0"/>
        <v>548.72699999999998</v>
      </c>
      <c r="L16" s="214">
        <f t="shared" si="3"/>
        <v>52.9</v>
      </c>
      <c r="M16" s="58"/>
    </row>
    <row r="17" spans="1:23" s="119" customFormat="1" ht="18.75" customHeight="1" x14ac:dyDescent="0.3">
      <c r="A17" s="121" t="s">
        <v>108</v>
      </c>
      <c r="B17" s="94">
        <f>'Tabel 1.1'!B32</f>
        <v>18463321.342338141</v>
      </c>
      <c r="C17" s="182">
        <f>'Tabel 1.1'!C32</f>
        <v>18874304.058330748</v>
      </c>
      <c r="D17" s="216">
        <f t="shared" si="1"/>
        <v>2.2000000000000002</v>
      </c>
      <c r="E17" s="122"/>
      <c r="F17" s="182">
        <f>'Tabel 1.1'!B41</f>
        <v>15053474.684780002</v>
      </c>
      <c r="G17" s="182">
        <f>'Tabel 1.1'!C41</f>
        <v>16864867.502489999</v>
      </c>
      <c r="H17" s="216">
        <f t="shared" si="2"/>
        <v>12</v>
      </c>
      <c r="I17" s="122"/>
      <c r="J17" s="182">
        <f t="shared" si="0"/>
        <v>33516796.027118143</v>
      </c>
      <c r="K17" s="182">
        <f t="shared" si="0"/>
        <v>35739171.560820743</v>
      </c>
      <c r="L17" s="214">
        <f t="shared" si="3"/>
        <v>6.6</v>
      </c>
      <c r="M17" s="59"/>
      <c r="N17" s="118"/>
      <c r="O17" s="118"/>
      <c r="Q17" s="120"/>
      <c r="R17" s="120"/>
      <c r="S17" s="120"/>
      <c r="T17" s="120"/>
      <c r="U17" s="120"/>
      <c r="V17" s="120"/>
      <c r="W17" s="120"/>
    </row>
    <row r="18" spans="1:23" ht="18.75" customHeight="1" x14ac:dyDescent="0.3">
      <c r="A18" s="121"/>
      <c r="B18" s="88"/>
      <c r="C18" s="180"/>
      <c r="D18" s="180"/>
      <c r="E18" s="166"/>
      <c r="F18" s="180"/>
      <c r="G18" s="180"/>
      <c r="H18" s="216"/>
      <c r="I18" s="166"/>
      <c r="J18" s="180"/>
      <c r="K18" s="180"/>
      <c r="L18" s="214"/>
      <c r="M18" s="58"/>
    </row>
    <row r="19" spans="1:23" ht="18.75" customHeight="1" x14ac:dyDescent="0.3">
      <c r="A19" s="176" t="s">
        <v>312</v>
      </c>
      <c r="B19" s="184"/>
      <c r="C19" s="187"/>
      <c r="D19" s="180"/>
      <c r="E19" s="166"/>
      <c r="F19" s="187"/>
      <c r="G19" s="187"/>
      <c r="H19" s="216"/>
      <c r="I19" s="166"/>
      <c r="J19" s="180"/>
      <c r="K19" s="180"/>
      <c r="L19" s="214"/>
      <c r="M19" s="58"/>
    </row>
    <row r="20" spans="1:23" ht="18.75" customHeight="1" x14ac:dyDescent="0.3">
      <c r="A20" s="177" t="s">
        <v>102</v>
      </c>
      <c r="B20" s="88">
        <f>'Skjema total MA'!B10</f>
        <v>14743723.623452533</v>
      </c>
      <c r="C20" s="88">
        <f>'Skjema total MA'!C10</f>
        <v>13529692.333618596</v>
      </c>
      <c r="D20" s="216">
        <f>IF(B20=0, "    ---- ", IF(ABS(ROUND(100/B20*C20-100,1))&lt;999,ROUND(100/B20*C20-100,1),IF(ROUND(100/B20*C20-100,1)&gt;999,999,-999)))</f>
        <v>-8.1999999999999993</v>
      </c>
      <c r="E20" s="166"/>
      <c r="F20" s="180">
        <f>'Skjema total MA'!E10</f>
        <v>75526249.806690007</v>
      </c>
      <c r="G20" s="180">
        <f>'Skjema total MA'!F10</f>
        <v>90274205.698259994</v>
      </c>
      <c r="H20" s="216">
        <f t="shared" si="2"/>
        <v>19.5</v>
      </c>
      <c r="I20" s="166"/>
      <c r="J20" s="180">
        <f t="shared" si="0"/>
        <v>90269973.430142537</v>
      </c>
      <c r="K20" s="180">
        <f t="shared" si="0"/>
        <v>103803898.03187859</v>
      </c>
      <c r="L20" s="214">
        <f t="shared" si="3"/>
        <v>15</v>
      </c>
      <c r="M20" s="58"/>
    </row>
    <row r="21" spans="1:23" ht="18.75" customHeight="1" x14ac:dyDescent="0.3">
      <c r="A21" s="177" t="s">
        <v>103</v>
      </c>
      <c r="B21" s="88">
        <f>'Skjema total MA'!B29</f>
        <v>44128806.218797386</v>
      </c>
      <c r="C21" s="88">
        <f>'Skjema total MA'!C29</f>
        <v>44018626.137501307</v>
      </c>
      <c r="D21" s="216">
        <f t="shared" ref="D21:D27" si="4">IF(B21=0, "    ---- ", IF(ABS(ROUND(100/B21*C21-100,1))&lt;999,ROUND(100/B21*C21-100,1),IF(ROUND(100/B21*C21-100,1)&gt;999,999,-999)))</f>
        <v>-0.2</v>
      </c>
      <c r="E21" s="166"/>
      <c r="F21" s="180">
        <f>'Skjema total MA'!E29</f>
        <v>24814782.459380001</v>
      </c>
      <c r="G21" s="180">
        <f>'Skjema total MA'!F29</f>
        <v>28100932.139699999</v>
      </c>
      <c r="H21" s="216">
        <f t="shared" si="2"/>
        <v>13.2</v>
      </c>
      <c r="I21" s="166"/>
      <c r="J21" s="180">
        <f t="shared" si="0"/>
        <v>68943588.678177387</v>
      </c>
      <c r="K21" s="180">
        <f t="shared" si="0"/>
        <v>72119558.27720131</v>
      </c>
      <c r="L21" s="214">
        <f t="shared" si="3"/>
        <v>4.5999999999999996</v>
      </c>
      <c r="M21" s="58"/>
    </row>
    <row r="22" spans="1:23" ht="18.75" x14ac:dyDescent="0.3">
      <c r="A22" s="177" t="s">
        <v>105</v>
      </c>
      <c r="B22" s="88">
        <f>'Skjema total MA'!B87</f>
        <v>397806064.01605344</v>
      </c>
      <c r="C22" s="88">
        <f>'Skjema total MA'!C87</f>
        <v>403296727.56463414</v>
      </c>
      <c r="D22" s="216">
        <f t="shared" si="4"/>
        <v>1.4</v>
      </c>
      <c r="E22" s="166"/>
      <c r="F22" s="180">
        <f>'Skjema total MA'!E87</f>
        <v>475664038.5901199</v>
      </c>
      <c r="G22" s="180">
        <f>'Skjema total MA'!F87</f>
        <v>588018205.22291994</v>
      </c>
      <c r="H22" s="216">
        <f t="shared" si="2"/>
        <v>23.6</v>
      </c>
      <c r="I22" s="166"/>
      <c r="J22" s="180">
        <f t="shared" si="0"/>
        <v>873470102.60617328</v>
      </c>
      <c r="K22" s="180">
        <f t="shared" si="0"/>
        <v>991314932.78755403</v>
      </c>
      <c r="L22" s="214">
        <f t="shared" si="3"/>
        <v>13.5</v>
      </c>
      <c r="M22" s="58"/>
    </row>
    <row r="23" spans="1:23" ht="18.75" x14ac:dyDescent="0.3">
      <c r="A23" s="177" t="s">
        <v>420</v>
      </c>
      <c r="B23" s="88">
        <f>'Skjema total MA'!B89</f>
        <v>2234395.1493767696</v>
      </c>
      <c r="C23" s="88">
        <f>'Skjema total MA'!C89</f>
        <v>2341369.6937462203</v>
      </c>
      <c r="D23" s="216">
        <f t="shared" si="4"/>
        <v>4.8</v>
      </c>
      <c r="E23" s="166"/>
      <c r="F23" s="180">
        <f>'Skjema total MA'!E89</f>
        <v>469439958.41088986</v>
      </c>
      <c r="G23" s="180">
        <f>'Skjema total MA'!F89</f>
        <v>579321404.25250983</v>
      </c>
      <c r="H23" s="216">
        <f t="shared" si="2"/>
        <v>23.4</v>
      </c>
      <c r="I23" s="166"/>
      <c r="J23" s="180">
        <f t="shared" si="0"/>
        <v>471674353.56026661</v>
      </c>
      <c r="K23" s="180">
        <f t="shared" si="0"/>
        <v>581662773.94625604</v>
      </c>
      <c r="L23" s="214">
        <f t="shared" si="3"/>
        <v>23.3</v>
      </c>
      <c r="M23" s="58"/>
    </row>
    <row r="24" spans="1:23" ht="18.75" x14ac:dyDescent="0.3">
      <c r="A24" s="178" t="s">
        <v>106</v>
      </c>
      <c r="B24" s="88">
        <f>'Skjema total MA'!B96+'Skjema total MA'!B97</f>
        <v>13040736.431760002</v>
      </c>
      <c r="C24" s="88">
        <f>'Skjema total MA'!C96+'Skjema total MA'!C97</f>
        <v>16811937.282910001</v>
      </c>
      <c r="D24" s="216">
        <f t="shared" si="4"/>
        <v>28.9</v>
      </c>
      <c r="E24" s="166"/>
      <c r="F24" s="180">
        <f>'Skjema total MA'!E96+'Skjema total MA'!E97</f>
        <v>6224080.1792300008</v>
      </c>
      <c r="G24" s="180">
        <f>'Skjema total MA'!F96+'Skjema total MA'!F97</f>
        <v>8696800.9704100005</v>
      </c>
      <c r="H24" s="216">
        <f t="shared" si="2"/>
        <v>39.700000000000003</v>
      </c>
      <c r="I24" s="166"/>
      <c r="J24" s="180">
        <f t="shared" si="0"/>
        <v>19264816.610990003</v>
      </c>
      <c r="K24" s="180">
        <f t="shared" si="0"/>
        <v>25508738.253320001</v>
      </c>
      <c r="L24" s="214">
        <f t="shared" si="3"/>
        <v>32.4</v>
      </c>
      <c r="M24" s="58"/>
    </row>
    <row r="25" spans="1:23" ht="22.5" x14ac:dyDescent="0.3">
      <c r="A25" s="177" t="s">
        <v>311</v>
      </c>
      <c r="B25" s="88">
        <f>'Skjema total MA'!B135</f>
        <v>771616823.55249</v>
      </c>
      <c r="C25" s="88">
        <f>'Skjema total MA'!C135</f>
        <v>858986766.87336993</v>
      </c>
      <c r="D25" s="216">
        <f t="shared" si="4"/>
        <v>11.3</v>
      </c>
      <c r="E25" s="166"/>
      <c r="F25" s="180">
        <f>'Skjema total MA'!E135</f>
        <v>2609059.09693</v>
      </c>
      <c r="G25" s="180">
        <f>'Skjema total MA'!F135</f>
        <v>2764463.4104599999</v>
      </c>
      <c r="H25" s="216">
        <f t="shared" si="2"/>
        <v>6</v>
      </c>
      <c r="I25" s="166"/>
      <c r="J25" s="180">
        <f t="shared" si="0"/>
        <v>774225882.64942002</v>
      </c>
      <c r="K25" s="180">
        <f t="shared" si="0"/>
        <v>861751230.28382993</v>
      </c>
      <c r="L25" s="214">
        <f t="shared" si="3"/>
        <v>11.3</v>
      </c>
      <c r="M25" s="58"/>
    </row>
    <row r="26" spans="1:23" ht="18.75" x14ac:dyDescent="0.3">
      <c r="A26" s="177" t="s">
        <v>107</v>
      </c>
      <c r="B26" s="88">
        <f>'Skjema total MA'!B37</f>
        <v>2856071.43646</v>
      </c>
      <c r="C26" s="88">
        <f>'Skjema total MA'!C37</f>
        <v>2634206.4802200003</v>
      </c>
      <c r="D26" s="216">
        <f t="shared" si="4"/>
        <v>-7.8</v>
      </c>
      <c r="E26" s="166"/>
      <c r="F26" s="180">
        <f>'Skjema total MA'!E37</f>
        <v>0</v>
      </c>
      <c r="G26" s="180">
        <f>'Skjema total MA'!F37</f>
        <v>0</v>
      </c>
      <c r="H26" s="216"/>
      <c r="I26" s="166"/>
      <c r="J26" s="180">
        <f t="shared" si="0"/>
        <v>2856071.43646</v>
      </c>
      <c r="K26" s="180">
        <f t="shared" si="0"/>
        <v>2634206.4802200003</v>
      </c>
      <c r="L26" s="214">
        <f t="shared" si="3"/>
        <v>-7.8</v>
      </c>
      <c r="M26" s="58"/>
    </row>
    <row r="27" spans="1:23" s="119" customFormat="1" ht="18.75" x14ac:dyDescent="0.3">
      <c r="A27" s="121" t="s">
        <v>109</v>
      </c>
      <c r="B27" s="94">
        <f>'Tabel 1.1'!G32</f>
        <v>1231151488.8472533</v>
      </c>
      <c r="C27" s="182">
        <f>'Tabel 1.1'!H32</f>
        <v>1322466019.389344</v>
      </c>
      <c r="D27" s="216">
        <f t="shared" si="4"/>
        <v>7.4</v>
      </c>
      <c r="E27" s="122"/>
      <c r="F27" s="182">
        <f>'Tabel 1.1'!G41</f>
        <v>578614129.95311987</v>
      </c>
      <c r="G27" s="182">
        <f>'Tabel 1.1'!H41</f>
        <v>709157806.47133994</v>
      </c>
      <c r="H27" s="216">
        <f t="shared" si="2"/>
        <v>22.6</v>
      </c>
      <c r="I27" s="122"/>
      <c r="J27" s="182">
        <f t="shared" si="0"/>
        <v>1809765618.8003731</v>
      </c>
      <c r="K27" s="182">
        <f t="shared" si="0"/>
        <v>2031623825.8606839</v>
      </c>
      <c r="L27" s="214">
        <f t="shared" si="3"/>
        <v>12.3</v>
      </c>
      <c r="M27" s="59"/>
      <c r="N27" s="118"/>
      <c r="O27" s="118"/>
    </row>
    <row r="28" spans="1:23" ht="18.75" x14ac:dyDescent="0.3">
      <c r="A28" s="121"/>
      <c r="B28" s="88"/>
      <c r="C28" s="180"/>
      <c r="D28" s="216"/>
      <c r="E28" s="166"/>
      <c r="F28" s="180"/>
      <c r="G28" s="180"/>
      <c r="H28" s="216"/>
      <c r="I28" s="166"/>
      <c r="J28" s="180">
        <f t="shared" si="0"/>
        <v>0</v>
      </c>
      <c r="K28" s="180">
        <f t="shared" si="0"/>
        <v>0</v>
      </c>
      <c r="L28" s="214"/>
      <c r="M28" s="58"/>
    </row>
    <row r="29" spans="1:23" ht="22.5" x14ac:dyDescent="0.3">
      <c r="A29" s="176" t="s">
        <v>313</v>
      </c>
      <c r="B29" s="184"/>
      <c r="C29" s="187"/>
      <c r="D29" s="180"/>
      <c r="E29" s="166"/>
      <c r="F29" s="180"/>
      <c r="G29" s="180"/>
      <c r="H29" s="216"/>
      <c r="I29" s="166"/>
      <c r="J29" s="180"/>
      <c r="K29" s="180"/>
      <c r="L29" s="214"/>
      <c r="M29" s="58"/>
    </row>
    <row r="30" spans="1:23" ht="18.75" x14ac:dyDescent="0.3">
      <c r="A30" s="177" t="s">
        <v>102</v>
      </c>
      <c r="B30" s="88">
        <f>'Skjema total MA'!B11</f>
        <v>24653</v>
      </c>
      <c r="C30" s="88">
        <f>'Skjema total MA'!C11</f>
        <v>0</v>
      </c>
      <c r="D30" s="216">
        <f>IF(B30=0, "    ---- ", IF(ABS(ROUND(100/B30*C30-100,1))&lt;999,ROUND(100/B30*C30-100,1),IF(ROUND(100/B30*C30-100,1)&gt;999,999,-999)))</f>
        <v>-100</v>
      </c>
      <c r="E30" s="166"/>
      <c r="F30" s="180">
        <f>'Skjema total MA'!E11</f>
        <v>53338.788350000003</v>
      </c>
      <c r="G30" s="180">
        <f>'Skjema total MA'!F11</f>
        <v>104411.79521000001</v>
      </c>
      <c r="H30" s="216">
        <f t="shared" si="2"/>
        <v>95.8</v>
      </c>
      <c r="I30" s="166"/>
      <c r="J30" s="180">
        <f t="shared" si="0"/>
        <v>77991.788350000003</v>
      </c>
      <c r="K30" s="180">
        <f t="shared" si="0"/>
        <v>104411.79521000001</v>
      </c>
      <c r="L30" s="214">
        <f t="shared" si="3"/>
        <v>33.9</v>
      </c>
      <c r="M30" s="58"/>
    </row>
    <row r="31" spans="1:23" ht="18.75" x14ac:dyDescent="0.3">
      <c r="A31" s="177" t="s">
        <v>103</v>
      </c>
      <c r="B31" s="88">
        <f>'Skjema total MA'!B34</f>
        <v>8687.9259999999995</v>
      </c>
      <c r="C31" s="88">
        <f>'Skjema total MA'!C34</f>
        <v>5321.1620000000003</v>
      </c>
      <c r="D31" s="216">
        <f t="shared" ref="D31:D38" si="5">IF(B31=0, "    ---- ", IF(ABS(ROUND(100/B31*C31-100,1))&lt;999,ROUND(100/B31*C31-100,1),IF(ROUND(100/B31*C31-100,1)&gt;999,999,-999)))</f>
        <v>-38.799999999999997</v>
      </c>
      <c r="E31" s="166"/>
      <c r="F31" s="180">
        <f>'Skjema total MA'!E34</f>
        <v>9769.1812799999989</v>
      </c>
      <c r="G31" s="180">
        <f>'Skjema total MA'!F34</f>
        <v>-10032.075399999998</v>
      </c>
      <c r="H31" s="216">
        <f t="shared" si="2"/>
        <v>-202.7</v>
      </c>
      <c r="I31" s="166"/>
      <c r="J31" s="180">
        <f t="shared" si="0"/>
        <v>18457.107279999997</v>
      </c>
      <c r="K31" s="180">
        <f t="shared" si="0"/>
        <v>-4710.9133999999976</v>
      </c>
      <c r="L31" s="214">
        <f t="shared" si="3"/>
        <v>-125.5</v>
      </c>
      <c r="M31" s="58"/>
    </row>
    <row r="32" spans="1:23" ht="18.75" x14ac:dyDescent="0.3">
      <c r="A32" s="177" t="s">
        <v>105</v>
      </c>
      <c r="B32" s="88">
        <f>'Skjema total MA'!B111</f>
        <v>149135.51766000001</v>
      </c>
      <c r="C32" s="88">
        <f>'Skjema total MA'!C111</f>
        <v>221664.91381</v>
      </c>
      <c r="D32" s="216">
        <f t="shared" si="5"/>
        <v>48.6</v>
      </c>
      <c r="E32" s="166"/>
      <c r="F32" s="180">
        <f>'Skjema total MA'!E111</f>
        <v>12279847.38036</v>
      </c>
      <c r="G32" s="180">
        <f>'Skjema total MA'!F111</f>
        <v>13895686.955789998</v>
      </c>
      <c r="H32" s="216">
        <f t="shared" si="2"/>
        <v>13.2</v>
      </c>
      <c r="I32" s="166"/>
      <c r="J32" s="180">
        <f t="shared" si="0"/>
        <v>12428982.898019999</v>
      </c>
      <c r="K32" s="180">
        <f t="shared" si="0"/>
        <v>14117351.869599998</v>
      </c>
      <c r="L32" s="214">
        <f t="shared" si="3"/>
        <v>13.6</v>
      </c>
      <c r="M32" s="58"/>
    </row>
    <row r="33" spans="1:15" ht="22.5" x14ac:dyDescent="0.3">
      <c r="A33" s="177" t="s">
        <v>311</v>
      </c>
      <c r="B33" s="88">
        <f>'Skjema total MA'!B136</f>
        <v>899139.28700000001</v>
      </c>
      <c r="C33" s="88">
        <f>'Skjema total MA'!C136</f>
        <v>2390808.298</v>
      </c>
      <c r="D33" s="216">
        <f t="shared" si="5"/>
        <v>165.9</v>
      </c>
      <c r="E33" s="166"/>
      <c r="F33" s="180">
        <f>'Skjema total MA'!E136</f>
        <v>0</v>
      </c>
      <c r="G33" s="180">
        <f>'Skjema total MA'!F136</f>
        <v>-182.05500000000001</v>
      </c>
      <c r="H33" s="216" t="str">
        <f t="shared" si="2"/>
        <v xml:space="preserve">    ---- </v>
      </c>
      <c r="I33" s="166"/>
      <c r="J33" s="180">
        <f t="shared" si="0"/>
        <v>899139.28700000001</v>
      </c>
      <c r="K33" s="180">
        <f t="shared" si="0"/>
        <v>2390626.2429999998</v>
      </c>
      <c r="L33" s="214">
        <f t="shared" si="3"/>
        <v>165.9</v>
      </c>
      <c r="M33" s="58"/>
    </row>
    <row r="34" spans="1:15" ht="18.75" x14ac:dyDescent="0.3">
      <c r="A34" s="177" t="s">
        <v>107</v>
      </c>
      <c r="B34" s="88">
        <f>'Skjema total MA'!B38</f>
        <v>0</v>
      </c>
      <c r="C34" s="88">
        <f>'Skjema total MA'!C38</f>
        <v>0</v>
      </c>
      <c r="D34" s="216"/>
      <c r="E34" s="166"/>
      <c r="F34" s="180">
        <f>'Skjema total MA'!E38</f>
        <v>0</v>
      </c>
      <c r="G34" s="180">
        <f>'Skjema total MA'!F38</f>
        <v>0</v>
      </c>
      <c r="H34" s="216"/>
      <c r="I34" s="166"/>
      <c r="J34" s="180">
        <f t="shared" si="0"/>
        <v>0</v>
      </c>
      <c r="K34" s="180">
        <f t="shared" si="0"/>
        <v>0</v>
      </c>
      <c r="L34" s="214"/>
      <c r="M34" s="58"/>
    </row>
    <row r="35" spans="1:15" s="119" customFormat="1" ht="18.75" x14ac:dyDescent="0.3">
      <c r="A35" s="121" t="s">
        <v>110</v>
      </c>
      <c r="B35" s="94">
        <f>SUM(B30:B34)</f>
        <v>1081615.7306600001</v>
      </c>
      <c r="C35" s="182">
        <f>SUM(C30:C34)</f>
        <v>2617794.3738099998</v>
      </c>
      <c r="D35" s="216">
        <f t="shared" si="5"/>
        <v>142</v>
      </c>
      <c r="E35" s="122"/>
      <c r="F35" s="182">
        <f>SUM(F30:F34)</f>
        <v>12342955.349989999</v>
      </c>
      <c r="G35" s="182">
        <f>SUM(G30:G34)</f>
        <v>13989884.620599998</v>
      </c>
      <c r="H35" s="216">
        <f t="shared" si="2"/>
        <v>13.3</v>
      </c>
      <c r="I35" s="122"/>
      <c r="J35" s="182">
        <f t="shared" si="0"/>
        <v>13424571.08065</v>
      </c>
      <c r="K35" s="182">
        <f t="shared" si="0"/>
        <v>16607678.994409997</v>
      </c>
      <c r="L35" s="214">
        <f t="shared" si="3"/>
        <v>23.7</v>
      </c>
      <c r="M35" s="59"/>
    </row>
    <row r="36" spans="1:15" ht="18.75" x14ac:dyDescent="0.3">
      <c r="A36" s="121"/>
      <c r="B36" s="94"/>
      <c r="C36" s="182"/>
      <c r="D36" s="216"/>
      <c r="E36" s="122"/>
      <c r="F36" s="182"/>
      <c r="G36" s="182"/>
      <c r="H36" s="216"/>
      <c r="I36" s="122"/>
      <c r="J36" s="180"/>
      <c r="K36" s="180"/>
      <c r="L36" s="214"/>
      <c r="M36" s="58"/>
    </row>
    <row r="37" spans="1:15" ht="22.5" x14ac:dyDescent="0.3">
      <c r="A37" s="121" t="s">
        <v>314</v>
      </c>
      <c r="B37" s="94"/>
      <c r="C37" s="182"/>
      <c r="D37" s="180"/>
      <c r="E37" s="122"/>
      <c r="F37" s="182"/>
      <c r="G37" s="182"/>
      <c r="H37" s="216"/>
      <c r="I37" s="122"/>
      <c r="J37" s="180"/>
      <c r="K37" s="180"/>
      <c r="L37" s="214"/>
      <c r="M37" s="58"/>
    </row>
    <row r="38" spans="1:15" s="119" customFormat="1" ht="18.75" x14ac:dyDescent="0.3">
      <c r="A38" s="121" t="s">
        <v>104</v>
      </c>
      <c r="B38" s="94">
        <f>'Skjema total MA'!B53</f>
        <v>98708.926999999996</v>
      </c>
      <c r="C38" s="94">
        <f>'Skjema total MA'!C53</f>
        <v>102107.47899999999</v>
      </c>
      <c r="D38" s="216">
        <f t="shared" si="5"/>
        <v>3.4</v>
      </c>
      <c r="E38" s="122"/>
      <c r="F38" s="182"/>
      <c r="G38" s="182"/>
      <c r="H38" s="216"/>
      <c r="I38" s="122"/>
      <c r="J38" s="182">
        <f t="shared" si="0"/>
        <v>98708.926999999996</v>
      </c>
      <c r="K38" s="182">
        <f t="shared" si="0"/>
        <v>102107.47899999999</v>
      </c>
      <c r="L38" s="214">
        <f t="shared" si="3"/>
        <v>3.4</v>
      </c>
      <c r="M38" s="59"/>
    </row>
    <row r="39" spans="1:15" ht="18.75" x14ac:dyDescent="0.3">
      <c r="A39" s="121"/>
      <c r="B39" s="94"/>
      <c r="C39" s="182"/>
      <c r="D39" s="180"/>
      <c r="E39" s="122"/>
      <c r="F39" s="182"/>
      <c r="G39" s="182"/>
      <c r="H39" s="216"/>
      <c r="I39" s="122"/>
      <c r="J39" s="180"/>
      <c r="K39" s="180"/>
      <c r="L39" s="214"/>
      <c r="M39" s="58"/>
    </row>
    <row r="40" spans="1:15" ht="22.5" x14ac:dyDescent="0.3">
      <c r="A40" s="176" t="s">
        <v>315</v>
      </c>
      <c r="B40" s="184"/>
      <c r="C40" s="187"/>
      <c r="D40" s="180"/>
      <c r="E40" s="166"/>
      <c r="F40" s="180"/>
      <c r="G40" s="180"/>
      <c r="H40" s="216"/>
      <c r="I40" s="166"/>
      <c r="J40" s="180"/>
      <c r="K40" s="180"/>
      <c r="L40" s="214"/>
      <c r="M40" s="58"/>
    </row>
    <row r="41" spans="1:15" ht="18.75" x14ac:dyDescent="0.3">
      <c r="A41" s="177" t="s">
        <v>102</v>
      </c>
      <c r="B41" s="88">
        <f>'Skjema total MA'!B12</f>
        <v>0</v>
      </c>
      <c r="C41" s="88">
        <f>'Skjema total MA'!C12</f>
        <v>0</v>
      </c>
      <c r="D41" s="216"/>
      <c r="E41" s="166"/>
      <c r="F41" s="180">
        <f>'Skjema total MA'!E12</f>
        <v>50404.203399999999</v>
      </c>
      <c r="G41" s="180">
        <f>'Skjema total MA'!F12</f>
        <v>107010.88516999999</v>
      </c>
      <c r="H41" s="216">
        <f t="shared" si="2"/>
        <v>112.3</v>
      </c>
      <c r="I41" s="166"/>
      <c r="J41" s="180">
        <f t="shared" si="0"/>
        <v>50404.203399999999</v>
      </c>
      <c r="K41" s="180">
        <f t="shared" si="0"/>
        <v>107010.88516999999</v>
      </c>
      <c r="L41" s="214">
        <f t="shared" si="3"/>
        <v>112.3</v>
      </c>
      <c r="M41" s="58"/>
    </row>
    <row r="42" spans="1:15" ht="18.75" x14ac:dyDescent="0.3">
      <c r="A42" s="177" t="s">
        <v>103</v>
      </c>
      <c r="B42" s="88">
        <f>'Skjema total MA'!B35</f>
        <v>-21920</v>
      </c>
      <c r="C42" s="88">
        <f>'Skjema total MA'!C35</f>
        <v>-57567.2425</v>
      </c>
      <c r="D42" s="216">
        <f t="shared" ref="D42:D46" si="6">IF(B42=0, "    ---- ", IF(ABS(ROUND(100/B42*C42-100,1))&lt;999,ROUND(100/B42*C42-100,1),IF(ROUND(100/B42*C42-100,1)&gt;999,999,-999)))</f>
        <v>162.6</v>
      </c>
      <c r="E42" s="166"/>
      <c r="F42" s="180">
        <f>'Skjema total MA'!E35</f>
        <v>40988.69025</v>
      </c>
      <c r="G42" s="180">
        <f>'Skjema total MA'!F35</f>
        <v>58871.71516</v>
      </c>
      <c r="H42" s="216">
        <f t="shared" si="2"/>
        <v>43.6</v>
      </c>
      <c r="I42" s="166"/>
      <c r="J42" s="180">
        <f t="shared" si="0"/>
        <v>19068.69025</v>
      </c>
      <c r="K42" s="180">
        <f t="shared" si="0"/>
        <v>1304.4726599999995</v>
      </c>
      <c r="L42" s="214">
        <f t="shared" si="3"/>
        <v>-93.2</v>
      </c>
      <c r="M42" s="58"/>
    </row>
    <row r="43" spans="1:15" ht="18.75" x14ac:dyDescent="0.3">
      <c r="A43" s="177" t="s">
        <v>105</v>
      </c>
      <c r="B43" s="88">
        <f>'Skjema total MA'!B119</f>
        <v>141130.24180000013</v>
      </c>
      <c r="C43" s="88">
        <f>'Skjema total MA'!C119</f>
        <v>104825.06533000006</v>
      </c>
      <c r="D43" s="216">
        <f t="shared" si="6"/>
        <v>-25.7</v>
      </c>
      <c r="E43" s="166"/>
      <c r="F43" s="180">
        <f>'Skjema total MA'!E119</f>
        <v>12991227.805500001</v>
      </c>
      <c r="G43" s="180">
        <f>'Skjema total MA'!F119</f>
        <v>15328502.457100002</v>
      </c>
      <c r="H43" s="216">
        <f t="shared" si="2"/>
        <v>18</v>
      </c>
      <c r="I43" s="166"/>
      <c r="J43" s="180">
        <f t="shared" si="0"/>
        <v>13132358.047300002</v>
      </c>
      <c r="K43" s="180">
        <f t="shared" si="0"/>
        <v>15433327.522430003</v>
      </c>
      <c r="L43" s="214">
        <f t="shared" si="3"/>
        <v>17.5</v>
      </c>
      <c r="M43" s="58"/>
    </row>
    <row r="44" spans="1:15" ht="22.5" x14ac:dyDescent="0.3">
      <c r="A44" s="177" t="s">
        <v>311</v>
      </c>
      <c r="B44" s="88">
        <f>'Skjema total MA'!B137</f>
        <v>2125461.818</v>
      </c>
      <c r="C44" s="88">
        <f>'Skjema total MA'!C137</f>
        <v>2455531.2259999998</v>
      </c>
      <c r="D44" s="216">
        <f t="shared" si="6"/>
        <v>15.5</v>
      </c>
      <c r="E44" s="166"/>
      <c r="F44" s="180">
        <f>'Skjema total MA'!E137</f>
        <v>0</v>
      </c>
      <c r="G44" s="180">
        <f>'Skjema total MA'!F137</f>
        <v>0</v>
      </c>
      <c r="H44" s="216"/>
      <c r="I44" s="166"/>
      <c r="J44" s="180">
        <f t="shared" si="0"/>
        <v>2125461.818</v>
      </c>
      <c r="K44" s="180">
        <f t="shared" si="0"/>
        <v>2455531.2259999998</v>
      </c>
      <c r="L44" s="214">
        <f t="shared" si="3"/>
        <v>15.5</v>
      </c>
      <c r="M44" s="58"/>
    </row>
    <row r="45" spans="1:15" ht="18.75" x14ac:dyDescent="0.3">
      <c r="A45" s="177" t="s">
        <v>107</v>
      </c>
      <c r="B45" s="88">
        <f>'Skjema total MA'!B39</f>
        <v>7</v>
      </c>
      <c r="C45" s="88">
        <f>'Skjema total MA'!C39</f>
        <v>0</v>
      </c>
      <c r="D45" s="216">
        <f t="shared" si="6"/>
        <v>-100</v>
      </c>
      <c r="E45" s="166"/>
      <c r="F45" s="180"/>
      <c r="G45" s="180"/>
      <c r="H45" s="216"/>
      <c r="I45" s="166"/>
      <c r="J45" s="180">
        <f t="shared" si="0"/>
        <v>7</v>
      </c>
      <c r="K45" s="180">
        <f t="shared" si="0"/>
        <v>0</v>
      </c>
      <c r="L45" s="214">
        <f t="shared" si="3"/>
        <v>-100</v>
      </c>
      <c r="M45" s="58"/>
    </row>
    <row r="46" spans="1:15" s="119" customFormat="1" ht="18.75" x14ac:dyDescent="0.3">
      <c r="A46" s="121" t="s">
        <v>111</v>
      </c>
      <c r="B46" s="94">
        <f>SUM(B41:B45)</f>
        <v>2244679.0597999999</v>
      </c>
      <c r="C46" s="182">
        <f>SUM(C41:C45)</f>
        <v>2502789.0488299998</v>
      </c>
      <c r="D46" s="216">
        <f t="shared" si="6"/>
        <v>11.5</v>
      </c>
      <c r="E46" s="122"/>
      <c r="F46" s="182">
        <f>SUM(F41:F45)</f>
        <v>13082620.699150002</v>
      </c>
      <c r="G46" s="257">
        <f>SUM(G41:G45)</f>
        <v>15494385.057430003</v>
      </c>
      <c r="H46" s="216">
        <f t="shared" si="2"/>
        <v>18.399999999999999</v>
      </c>
      <c r="I46" s="122"/>
      <c r="J46" s="182">
        <f t="shared" si="0"/>
        <v>15327299.758950002</v>
      </c>
      <c r="K46" s="182">
        <f t="shared" si="0"/>
        <v>17997174.106260002</v>
      </c>
      <c r="L46" s="214">
        <f t="shared" si="3"/>
        <v>17.399999999999999</v>
      </c>
      <c r="M46" s="59"/>
      <c r="N46" s="118"/>
      <c r="O46" s="118"/>
    </row>
    <row r="47" spans="1:15" ht="18.75" x14ac:dyDescent="0.3">
      <c r="A47" s="121"/>
      <c r="B47" s="94"/>
      <c r="C47" s="182"/>
      <c r="D47" s="180"/>
      <c r="E47" s="122"/>
      <c r="F47" s="182"/>
      <c r="G47" s="182"/>
      <c r="H47" s="216"/>
      <c r="I47" s="122"/>
      <c r="J47" s="180"/>
      <c r="K47" s="180"/>
      <c r="L47" s="214"/>
      <c r="M47" s="58"/>
    </row>
    <row r="48" spans="1:15" ht="22.5" x14ac:dyDescent="0.3">
      <c r="A48" s="121" t="s">
        <v>316</v>
      </c>
      <c r="B48" s="94"/>
      <c r="C48" s="182"/>
      <c r="D48" s="180"/>
      <c r="E48" s="122"/>
      <c r="F48" s="182"/>
      <c r="G48" s="182"/>
      <c r="H48" s="216"/>
      <c r="I48" s="122"/>
      <c r="J48" s="180"/>
      <c r="K48" s="180"/>
      <c r="L48" s="214"/>
      <c r="M48" s="58"/>
    </row>
    <row r="49" spans="1:15" s="119" customFormat="1" ht="18.75" x14ac:dyDescent="0.3">
      <c r="A49" s="121" t="s">
        <v>104</v>
      </c>
      <c r="B49" s="94">
        <f>'Skjema total MA'!B56</f>
        <v>59547.007999999994</v>
      </c>
      <c r="C49" s="94">
        <f>'Skjema total MA'!C56</f>
        <v>96012.878999999986</v>
      </c>
      <c r="D49" s="216">
        <f t="shared" ref="D49" si="7">IF(B49=0, "    ---- ", IF(ABS(ROUND(100/B49*C49-100,1))&lt;999,ROUND(100/B49*C49-100,1),IF(ROUND(100/B49*C49-100,1)&gt;999,999,-999)))</f>
        <v>61.2</v>
      </c>
      <c r="E49" s="122"/>
      <c r="F49" s="182"/>
      <c r="G49" s="182"/>
      <c r="H49" s="216"/>
      <c r="I49" s="122"/>
      <c r="J49" s="182">
        <f>SUM(B49+F49)</f>
        <v>59547.007999999994</v>
      </c>
      <c r="K49" s="182">
        <f>SUM(C49+G49)</f>
        <v>96012.878999999986</v>
      </c>
      <c r="L49" s="214">
        <f t="shared" si="3"/>
        <v>61.2</v>
      </c>
      <c r="M49" s="59"/>
    </row>
    <row r="50" spans="1:15" ht="18.75" x14ac:dyDescent="0.3">
      <c r="A50" s="121"/>
      <c r="B50" s="88"/>
      <c r="C50" s="180"/>
      <c r="D50" s="180"/>
      <c r="E50" s="166"/>
      <c r="F50" s="180"/>
      <c r="G50" s="180"/>
      <c r="H50" s="216"/>
      <c r="I50" s="166"/>
      <c r="J50" s="180"/>
      <c r="K50" s="180"/>
      <c r="L50" s="214"/>
      <c r="M50" s="58"/>
    </row>
    <row r="51" spans="1:15" ht="21.75" x14ac:dyDescent="0.3">
      <c r="A51" s="176" t="s">
        <v>317</v>
      </c>
      <c r="B51" s="88"/>
      <c r="C51" s="180"/>
      <c r="D51" s="180"/>
      <c r="E51" s="166"/>
      <c r="F51" s="180"/>
      <c r="G51" s="180"/>
      <c r="H51" s="216"/>
      <c r="I51" s="166"/>
      <c r="J51" s="180"/>
      <c r="K51" s="180"/>
      <c r="L51" s="214"/>
      <c r="M51" s="58"/>
    </row>
    <row r="52" spans="1:15" ht="18.75" x14ac:dyDescent="0.3">
      <c r="A52" s="177" t="s">
        <v>102</v>
      </c>
      <c r="B52" s="88">
        <f>B30-B41</f>
        <v>24653</v>
      </c>
      <c r="C52" s="180">
        <f>C30-C41</f>
        <v>0</v>
      </c>
      <c r="D52" s="216">
        <f>IF(B52=0, "    ---- ", IF(ABS(ROUND(100/B52*C52-100,1))&lt;999,ROUND(100/B52*C52-100,1),IF(ROUND(100/B52*C52-100,1)&gt;999,999,-999)))</f>
        <v>-100</v>
      </c>
      <c r="E52" s="166"/>
      <c r="F52" s="180">
        <f>F30-F41</f>
        <v>2934.584950000004</v>
      </c>
      <c r="G52" s="180">
        <f>G30-G41</f>
        <v>-2599.089959999983</v>
      </c>
      <c r="H52" s="216">
        <f t="shared" si="2"/>
        <v>-188.6</v>
      </c>
      <c r="I52" s="166"/>
      <c r="J52" s="180">
        <f t="shared" si="0"/>
        <v>27587.584950000004</v>
      </c>
      <c r="K52" s="180">
        <f t="shared" si="0"/>
        <v>-2599.089959999983</v>
      </c>
      <c r="L52" s="214">
        <f t="shared" si="3"/>
        <v>-109.4</v>
      </c>
      <c r="M52" s="58"/>
    </row>
    <row r="53" spans="1:15" ht="18.75" x14ac:dyDescent="0.3">
      <c r="A53" s="177" t="s">
        <v>103</v>
      </c>
      <c r="B53" s="88">
        <f t="shared" ref="B53:C56" si="8">B31-B42</f>
        <v>30607.925999999999</v>
      </c>
      <c r="C53" s="180">
        <f t="shared" si="8"/>
        <v>62888.404500000004</v>
      </c>
      <c r="D53" s="216">
        <f t="shared" ref="D53:D60" si="9">IF(B53=0, "    ---- ", IF(ABS(ROUND(100/B53*C53-100,1))&lt;999,ROUND(100/B53*C53-100,1),IF(ROUND(100/B53*C53-100,1)&gt;999,999,-999)))</f>
        <v>105.5</v>
      </c>
      <c r="E53" s="166"/>
      <c r="F53" s="180">
        <f t="shared" ref="F53:G56" si="10">F31-F42</f>
        <v>-31219.508970000003</v>
      </c>
      <c r="G53" s="180">
        <f t="shared" si="10"/>
        <v>-68903.790559999994</v>
      </c>
      <c r="H53" s="216">
        <f t="shared" si="2"/>
        <v>120.7</v>
      </c>
      <c r="I53" s="166"/>
      <c r="J53" s="180">
        <f t="shared" si="0"/>
        <v>-611.58297000000312</v>
      </c>
      <c r="K53" s="180">
        <f t="shared" si="0"/>
        <v>-6015.3860599999898</v>
      </c>
      <c r="L53" s="214">
        <f t="shared" si="3"/>
        <v>883.6</v>
      </c>
      <c r="M53" s="58"/>
    </row>
    <row r="54" spans="1:15" ht="18.75" x14ac:dyDescent="0.3">
      <c r="A54" s="177" t="s">
        <v>105</v>
      </c>
      <c r="B54" s="88">
        <f t="shared" si="8"/>
        <v>8005.2758599998779</v>
      </c>
      <c r="C54" s="180">
        <f t="shared" si="8"/>
        <v>116839.84847999994</v>
      </c>
      <c r="D54" s="216">
        <f t="shared" si="9"/>
        <v>999</v>
      </c>
      <c r="E54" s="166"/>
      <c r="F54" s="180">
        <f t="shared" si="10"/>
        <v>-711380.42514000088</v>
      </c>
      <c r="G54" s="180">
        <f t="shared" si="10"/>
        <v>-1432815.5013100039</v>
      </c>
      <c r="H54" s="216">
        <f t="shared" si="2"/>
        <v>101.4</v>
      </c>
      <c r="I54" s="166"/>
      <c r="J54" s="180">
        <f t="shared" si="0"/>
        <v>-703375.14928000094</v>
      </c>
      <c r="K54" s="180">
        <f t="shared" si="0"/>
        <v>-1315975.652830004</v>
      </c>
      <c r="L54" s="214">
        <f t="shared" si="3"/>
        <v>87.1</v>
      </c>
      <c r="M54" s="58"/>
    </row>
    <row r="55" spans="1:15" ht="22.5" x14ac:dyDescent="0.3">
      <c r="A55" s="177" t="s">
        <v>311</v>
      </c>
      <c r="B55" s="88">
        <f t="shared" si="8"/>
        <v>-1226322.531</v>
      </c>
      <c r="C55" s="180">
        <f t="shared" si="8"/>
        <v>-64722.92799999984</v>
      </c>
      <c r="D55" s="216">
        <f t="shared" si="9"/>
        <v>-94.7</v>
      </c>
      <c r="E55" s="166"/>
      <c r="F55" s="180">
        <f t="shared" si="10"/>
        <v>0</v>
      </c>
      <c r="G55" s="180">
        <f t="shared" si="10"/>
        <v>-182.05500000000001</v>
      </c>
      <c r="H55" s="216" t="str">
        <f t="shared" si="2"/>
        <v xml:space="preserve">    ---- </v>
      </c>
      <c r="I55" s="166"/>
      <c r="J55" s="180">
        <f t="shared" si="0"/>
        <v>-1226322.531</v>
      </c>
      <c r="K55" s="180">
        <f t="shared" si="0"/>
        <v>-64904.98299999984</v>
      </c>
      <c r="L55" s="214">
        <f t="shared" si="3"/>
        <v>-94.7</v>
      </c>
      <c r="M55" s="58"/>
    </row>
    <row r="56" spans="1:15" ht="18.75" x14ac:dyDescent="0.3">
      <c r="A56" s="177" t="s">
        <v>107</v>
      </c>
      <c r="B56" s="88">
        <f t="shared" si="8"/>
        <v>-7</v>
      </c>
      <c r="C56" s="180">
        <f t="shared" si="8"/>
        <v>0</v>
      </c>
      <c r="D56" s="216">
        <f t="shared" si="9"/>
        <v>-100</v>
      </c>
      <c r="E56" s="166"/>
      <c r="F56" s="180">
        <f t="shared" si="10"/>
        <v>0</v>
      </c>
      <c r="G56" s="180">
        <f t="shared" si="10"/>
        <v>0</v>
      </c>
      <c r="H56" s="216"/>
      <c r="I56" s="166"/>
      <c r="J56" s="180">
        <f t="shared" si="0"/>
        <v>-7</v>
      </c>
      <c r="K56" s="180">
        <f t="shared" si="0"/>
        <v>0</v>
      </c>
      <c r="L56" s="214">
        <f t="shared" si="3"/>
        <v>-100</v>
      </c>
      <c r="M56" s="58"/>
    </row>
    <row r="57" spans="1:15" s="119" customFormat="1" ht="18.75" x14ac:dyDescent="0.3">
      <c r="A57" s="121" t="s">
        <v>112</v>
      </c>
      <c r="B57" s="94">
        <f>SUM(B52:B56)</f>
        <v>-1163063.32914</v>
      </c>
      <c r="C57" s="182">
        <f>SUM(C52:C56)</f>
        <v>115005.32498000009</v>
      </c>
      <c r="D57" s="216">
        <f>IF(B57=0, "    ---- ", IF(ABS(ROUND(100/B57*C57-100,1))&lt;999,ROUND(100/B57*C57-100,1),IF(ROUND(100/B57*C57-100,1)&gt;999,999,-999)))</f>
        <v>-109.9</v>
      </c>
      <c r="E57" s="122"/>
      <c r="F57" s="182">
        <f>SUM(F52:F56)</f>
        <v>-739665.34916000091</v>
      </c>
      <c r="G57" s="257">
        <f>SUM(G52:G56)</f>
        <v>-1504500.4368300037</v>
      </c>
      <c r="H57" s="216">
        <f t="shared" si="2"/>
        <v>103.4</v>
      </c>
      <c r="I57" s="122"/>
      <c r="J57" s="182">
        <f t="shared" si="0"/>
        <v>-1902728.678300001</v>
      </c>
      <c r="K57" s="180">
        <f t="shared" si="0"/>
        <v>-1389495.1118500037</v>
      </c>
      <c r="L57" s="214">
        <f t="shared" si="3"/>
        <v>-27</v>
      </c>
      <c r="M57" s="59"/>
      <c r="N57" s="118"/>
      <c r="O57" s="118"/>
    </row>
    <row r="58" spans="1:15" ht="18.75" x14ac:dyDescent="0.3">
      <c r="A58" s="121"/>
      <c r="B58" s="94"/>
      <c r="C58" s="182"/>
      <c r="D58" s="216"/>
      <c r="E58" s="122"/>
      <c r="F58" s="182"/>
      <c r="G58" s="182"/>
      <c r="H58" s="216"/>
      <c r="I58" s="122"/>
      <c r="J58" s="182"/>
      <c r="K58" s="180"/>
      <c r="L58" s="214"/>
      <c r="M58" s="58"/>
    </row>
    <row r="59" spans="1:15" ht="22.5" x14ac:dyDescent="0.3">
      <c r="A59" s="121" t="s">
        <v>318</v>
      </c>
      <c r="B59" s="94"/>
      <c r="C59" s="182"/>
      <c r="D59" s="216"/>
      <c r="E59" s="122"/>
      <c r="F59" s="182"/>
      <c r="G59" s="182"/>
      <c r="H59" s="216"/>
      <c r="I59" s="122"/>
      <c r="J59" s="182"/>
      <c r="K59" s="180"/>
      <c r="L59" s="214"/>
      <c r="M59" s="58"/>
    </row>
    <row r="60" spans="1:15" s="119" customFormat="1" ht="18.75" x14ac:dyDescent="0.3">
      <c r="A60" s="121" t="s">
        <v>104</v>
      </c>
      <c r="B60" s="94">
        <f>B38-B49</f>
        <v>39161.919000000002</v>
      </c>
      <c r="C60" s="182">
        <f>C38-C49</f>
        <v>6094.6000000000058</v>
      </c>
      <c r="D60" s="216">
        <f t="shared" si="9"/>
        <v>-84.4</v>
      </c>
      <c r="E60" s="122"/>
      <c r="F60" s="182">
        <f>F38-F49</f>
        <v>0</v>
      </c>
      <c r="G60" s="182">
        <f>G38-G49</f>
        <v>0</v>
      </c>
      <c r="H60" s="216"/>
      <c r="I60" s="122"/>
      <c r="J60" s="182">
        <f t="shared" si="0"/>
        <v>39161.919000000002</v>
      </c>
      <c r="K60" s="180">
        <f t="shared" si="0"/>
        <v>6094.6000000000058</v>
      </c>
      <c r="L60" s="214">
        <f t="shared" si="3"/>
        <v>-84.4</v>
      </c>
      <c r="M60" s="59"/>
    </row>
    <row r="61" spans="1:15" s="119" customFormat="1" ht="18.75" x14ac:dyDescent="0.3">
      <c r="A61" s="179"/>
      <c r="B61" s="99"/>
      <c r="C61" s="183"/>
      <c r="D61" s="188"/>
      <c r="E61" s="122"/>
      <c r="F61" s="183"/>
      <c r="G61" s="183"/>
      <c r="H61" s="188"/>
      <c r="I61" s="122"/>
      <c r="J61" s="188"/>
      <c r="K61" s="188"/>
      <c r="L61" s="188"/>
      <c r="M61" s="59"/>
    </row>
    <row r="62" spans="1:15" ht="18.75" x14ac:dyDescent="0.3">
      <c r="A62" s="96" t="s">
        <v>95</v>
      </c>
      <c r="C62" s="123"/>
      <c r="D62" s="123"/>
      <c r="E62" s="123"/>
      <c r="F62" s="123"/>
      <c r="G62" s="96"/>
      <c r="H62" s="58"/>
      <c r="I62" s="96"/>
      <c r="J62" s="96"/>
      <c r="K62" s="96"/>
      <c r="L62" s="58"/>
      <c r="M62" s="58"/>
    </row>
    <row r="63" spans="1:15" ht="18.75" x14ac:dyDescent="0.3">
      <c r="A63" s="96"/>
      <c r="C63" s="123"/>
      <c r="D63" s="123"/>
      <c r="E63" s="123"/>
      <c r="F63" s="123"/>
      <c r="G63" s="58"/>
      <c r="H63" s="58"/>
      <c r="I63" s="58"/>
      <c r="J63" s="58"/>
      <c r="K63" s="58"/>
      <c r="L63" s="58"/>
      <c r="M63" s="58"/>
    </row>
    <row r="64" spans="1:15" ht="18.75" x14ac:dyDescent="0.3">
      <c r="B64" s="58"/>
      <c r="C64" s="58"/>
      <c r="D64" s="58"/>
      <c r="E64" s="58"/>
      <c r="F64" s="58"/>
      <c r="G64" s="58"/>
      <c r="H64" s="58"/>
      <c r="I64" s="58"/>
      <c r="J64" s="58"/>
      <c r="K64" s="58"/>
      <c r="L64" s="58"/>
      <c r="M64" s="58"/>
    </row>
    <row r="65" spans="1:13" ht="18.75" x14ac:dyDescent="0.3">
      <c r="A65" s="58"/>
      <c r="C65" s="58"/>
      <c r="D65" s="58"/>
      <c r="E65" s="58"/>
      <c r="F65" s="58"/>
      <c r="G65" s="58"/>
      <c r="H65" s="58"/>
      <c r="I65" s="58"/>
      <c r="J65" s="58"/>
      <c r="K65" s="58"/>
      <c r="L65" s="58"/>
      <c r="M65" s="58"/>
    </row>
    <row r="66" spans="1:13" ht="18.75" x14ac:dyDescent="0.3">
      <c r="A66" s="58"/>
      <c r="B66" s="58"/>
      <c r="C66" s="58"/>
      <c r="D66" s="58"/>
      <c r="E66" s="58"/>
      <c r="F66" s="58"/>
      <c r="G66" s="58"/>
      <c r="H66" s="58"/>
      <c r="I66" s="58"/>
      <c r="J66" s="58"/>
      <c r="K66" s="58"/>
      <c r="L66" s="58"/>
      <c r="M66" s="58"/>
    </row>
    <row r="67" spans="1:13" ht="18.75" x14ac:dyDescent="0.3">
      <c r="A67" s="58"/>
      <c r="B67" s="58"/>
      <c r="C67" s="58"/>
      <c r="D67" s="58"/>
      <c r="E67" s="58"/>
      <c r="F67" s="58"/>
      <c r="G67" s="58"/>
      <c r="H67" s="58"/>
      <c r="I67" s="58"/>
      <c r="J67" s="58"/>
      <c r="K67" s="58"/>
      <c r="L67" s="58"/>
      <c r="M67" s="58"/>
    </row>
    <row r="68" spans="1:13" ht="18.75" x14ac:dyDescent="0.3">
      <c r="A68" s="58"/>
      <c r="B68" s="58"/>
      <c r="C68" s="58"/>
      <c r="D68" s="58"/>
      <c r="E68" s="58"/>
      <c r="F68" s="58"/>
      <c r="G68" s="58"/>
      <c r="H68" s="58"/>
      <c r="I68" s="58"/>
      <c r="J68" s="58"/>
      <c r="K68" s="58"/>
      <c r="L68" s="58"/>
      <c r="M68" s="58"/>
    </row>
    <row r="69" spans="1:13" ht="18.75" x14ac:dyDescent="0.3">
      <c r="A69" s="58"/>
      <c r="B69" s="58"/>
      <c r="C69" s="58"/>
      <c r="D69" s="58"/>
      <c r="E69" s="58"/>
      <c r="F69" s="58"/>
      <c r="G69" s="58"/>
      <c r="H69" s="58"/>
      <c r="I69" s="58"/>
      <c r="J69" s="58"/>
      <c r="K69" s="58"/>
      <c r="L69" s="58"/>
      <c r="M69" s="58"/>
    </row>
    <row r="70" spans="1:13" ht="18.75" x14ac:dyDescent="0.3">
      <c r="A70" s="58"/>
      <c r="B70" s="58"/>
      <c r="C70" s="58"/>
      <c r="D70" s="58"/>
      <c r="E70" s="58"/>
      <c r="F70" s="58"/>
      <c r="G70" s="58"/>
      <c r="H70" s="58"/>
      <c r="I70" s="58"/>
      <c r="J70" s="58"/>
      <c r="K70" s="58"/>
      <c r="L70" s="58"/>
      <c r="M70" s="58"/>
    </row>
    <row r="71" spans="1:13" ht="18.75" x14ac:dyDescent="0.3">
      <c r="A71" s="58"/>
      <c r="B71" s="58"/>
      <c r="C71" s="58"/>
      <c r="D71" s="58"/>
      <c r="E71" s="58"/>
      <c r="F71" s="58"/>
      <c r="G71" s="58"/>
      <c r="H71" s="58"/>
      <c r="I71" s="58"/>
      <c r="J71" s="58"/>
      <c r="K71" s="58"/>
      <c r="L71" s="58"/>
      <c r="M71" s="58"/>
    </row>
    <row r="72" spans="1:13" ht="18.75" x14ac:dyDescent="0.3">
      <c r="A72" s="58"/>
      <c r="B72" s="58"/>
      <c r="C72" s="58"/>
      <c r="D72" s="58"/>
      <c r="E72" s="58"/>
      <c r="F72" s="58"/>
      <c r="G72" s="58"/>
      <c r="H72" s="58"/>
      <c r="I72" s="58"/>
      <c r="J72" s="58"/>
      <c r="K72" s="58"/>
      <c r="L72" s="58"/>
      <c r="M72" s="58"/>
    </row>
    <row r="73" spans="1:13" ht="18.75" x14ac:dyDescent="0.3">
      <c r="A73" s="58"/>
      <c r="B73" s="58"/>
      <c r="C73" s="58"/>
      <c r="D73" s="58"/>
      <c r="E73" s="58"/>
      <c r="F73" s="58"/>
      <c r="G73" s="58"/>
      <c r="H73" s="58"/>
      <c r="I73" s="58"/>
      <c r="J73" s="58"/>
      <c r="K73" s="58"/>
      <c r="L73" s="58"/>
      <c r="M73" s="58"/>
    </row>
    <row r="74" spans="1:13" ht="18.75" x14ac:dyDescent="0.3">
      <c r="A74" s="58"/>
      <c r="B74" s="58"/>
      <c r="C74" s="58"/>
      <c r="D74" s="58"/>
      <c r="E74" s="58"/>
      <c r="F74" s="58"/>
      <c r="G74" s="58"/>
      <c r="H74" s="58"/>
      <c r="I74" s="58"/>
      <c r="J74" s="58"/>
      <c r="K74" s="58"/>
      <c r="L74" s="58"/>
      <c r="M74" s="58"/>
    </row>
    <row r="75" spans="1:13" ht="18.75" x14ac:dyDescent="0.3">
      <c r="A75" s="58"/>
      <c r="B75" s="58"/>
      <c r="C75" s="58"/>
      <c r="D75" s="58"/>
      <c r="E75" s="58"/>
      <c r="F75" s="58"/>
      <c r="G75" s="58"/>
      <c r="H75" s="58"/>
      <c r="I75" s="58"/>
      <c r="J75" s="58"/>
      <c r="K75" s="58"/>
      <c r="L75" s="58"/>
      <c r="M75" s="58"/>
    </row>
    <row r="76" spans="1:13" ht="18.75" x14ac:dyDescent="0.3">
      <c r="A76" s="58"/>
      <c r="B76" s="58"/>
      <c r="C76" s="58"/>
      <c r="D76" s="58"/>
      <c r="E76" s="58"/>
      <c r="F76" s="58"/>
      <c r="G76" s="58"/>
      <c r="H76" s="58"/>
      <c r="I76" s="58"/>
      <c r="J76" s="58"/>
      <c r="K76" s="58"/>
      <c r="L76" s="58"/>
      <c r="M76" s="58"/>
    </row>
    <row r="77" spans="1:13" ht="18.75" x14ac:dyDescent="0.3">
      <c r="A77" s="58"/>
      <c r="B77" s="58"/>
      <c r="C77" s="58"/>
      <c r="D77" s="58"/>
      <c r="E77" s="58"/>
      <c r="F77" s="58"/>
      <c r="G77" s="58"/>
      <c r="H77" s="58"/>
      <c r="I77" s="58"/>
      <c r="J77" s="58"/>
      <c r="K77" s="58"/>
      <c r="L77" s="58"/>
      <c r="M77" s="58"/>
    </row>
    <row r="78" spans="1:13" ht="18.75" x14ac:dyDescent="0.3">
      <c r="A78" s="58"/>
      <c r="B78" s="58"/>
      <c r="C78" s="58"/>
      <c r="D78" s="58"/>
      <c r="E78" s="58"/>
      <c r="F78" s="58"/>
      <c r="G78" s="58"/>
      <c r="H78" s="58"/>
      <c r="I78" s="58"/>
      <c r="J78" s="58"/>
      <c r="K78" s="58"/>
      <c r="L78" s="58"/>
      <c r="M78" s="58"/>
    </row>
    <row r="79" spans="1:13" ht="18.75" x14ac:dyDescent="0.3">
      <c r="A79" s="58"/>
      <c r="B79" s="58"/>
      <c r="C79" s="58"/>
      <c r="D79" s="58"/>
      <c r="E79" s="58"/>
      <c r="F79" s="58"/>
      <c r="G79" s="58"/>
      <c r="H79" s="58"/>
      <c r="I79" s="58"/>
      <c r="J79" s="58"/>
      <c r="K79" s="58"/>
      <c r="L79" s="58"/>
      <c r="M79" s="58"/>
    </row>
    <row r="80" spans="1:13" ht="18.75" x14ac:dyDescent="0.3">
      <c r="A80" s="58"/>
      <c r="B80" s="58"/>
      <c r="C80" s="58"/>
      <c r="D80" s="58"/>
      <c r="E80" s="58"/>
      <c r="F80" s="58"/>
      <c r="G80" s="58"/>
      <c r="H80" s="58"/>
      <c r="I80" s="58"/>
      <c r="J80" s="58"/>
      <c r="K80" s="58"/>
      <c r="L80" s="58"/>
      <c r="M80" s="58"/>
    </row>
    <row r="81" spans="1:13" ht="18.75" x14ac:dyDescent="0.3">
      <c r="A81" s="58"/>
      <c r="B81" s="58"/>
      <c r="C81" s="58"/>
      <c r="D81" s="58"/>
      <c r="E81" s="58"/>
      <c r="F81" s="58"/>
      <c r="G81" s="58"/>
      <c r="H81" s="58"/>
      <c r="I81" s="58"/>
      <c r="J81" s="58"/>
      <c r="K81" s="58"/>
      <c r="L81" s="58"/>
      <c r="M81" s="58"/>
    </row>
    <row r="82" spans="1:13" ht="18.75" x14ac:dyDescent="0.3">
      <c r="A82" s="58"/>
      <c r="B82" s="58"/>
      <c r="C82" s="58"/>
      <c r="D82" s="58"/>
      <c r="E82" s="58"/>
      <c r="F82" s="58"/>
      <c r="G82" s="58"/>
      <c r="H82" s="58"/>
      <c r="I82" s="58"/>
      <c r="J82" s="58"/>
      <c r="K82" s="58"/>
      <c r="L82" s="58"/>
      <c r="M82" s="58"/>
    </row>
    <row r="83" spans="1:13" ht="18.75" x14ac:dyDescent="0.3">
      <c r="A83" s="58"/>
      <c r="B83" s="58"/>
      <c r="C83" s="58"/>
      <c r="D83" s="58"/>
      <c r="E83" s="58"/>
      <c r="F83" s="58"/>
      <c r="G83" s="58"/>
      <c r="H83" s="58"/>
      <c r="I83" s="58"/>
      <c r="J83" s="58"/>
      <c r="K83" s="58"/>
      <c r="L83" s="58"/>
      <c r="M83" s="58"/>
    </row>
    <row r="84" spans="1:13" ht="18.75" x14ac:dyDescent="0.3">
      <c r="A84" s="58"/>
      <c r="B84" s="58"/>
      <c r="C84" s="58"/>
      <c r="D84" s="58"/>
      <c r="E84" s="58"/>
      <c r="F84" s="58"/>
      <c r="G84" s="58"/>
      <c r="H84" s="58"/>
      <c r="I84" s="58"/>
      <c r="J84" s="58"/>
      <c r="K84" s="58"/>
      <c r="L84" s="58"/>
      <c r="M84" s="58"/>
    </row>
    <row r="85" spans="1:13" ht="18.75" x14ac:dyDescent="0.3">
      <c r="A85" s="58"/>
      <c r="B85" s="58"/>
      <c r="C85" s="58"/>
      <c r="D85" s="58"/>
      <c r="E85" s="58"/>
      <c r="F85" s="58"/>
      <c r="G85" s="58"/>
      <c r="H85" s="58"/>
      <c r="I85" s="58"/>
      <c r="J85" s="58"/>
      <c r="K85" s="58"/>
      <c r="L85" s="58"/>
      <c r="M85" s="58"/>
    </row>
    <row r="86" spans="1:13" ht="18.75" x14ac:dyDescent="0.3">
      <c r="A86" s="58"/>
      <c r="B86" s="58"/>
      <c r="C86" s="58"/>
      <c r="D86" s="58"/>
      <c r="E86" s="58"/>
      <c r="F86" s="58"/>
      <c r="G86" s="58"/>
      <c r="H86" s="58"/>
      <c r="I86" s="58"/>
      <c r="J86" s="58"/>
      <c r="K86" s="58"/>
      <c r="L86" s="58"/>
      <c r="M86" s="58"/>
    </row>
    <row r="87" spans="1:13" ht="18.75" x14ac:dyDescent="0.3">
      <c r="A87" s="58"/>
      <c r="B87" s="58"/>
      <c r="C87" s="58"/>
      <c r="D87" s="58"/>
      <c r="E87" s="58"/>
      <c r="F87" s="58"/>
      <c r="G87" s="58"/>
      <c r="H87" s="58"/>
      <c r="I87" s="58"/>
      <c r="J87" s="58"/>
      <c r="K87" s="58"/>
      <c r="L87" s="58"/>
      <c r="M87" s="58"/>
    </row>
    <row r="88" spans="1:13" ht="18.75" x14ac:dyDescent="0.3">
      <c r="A88" s="58"/>
      <c r="B88" s="58"/>
      <c r="C88" s="58"/>
      <c r="D88" s="58"/>
      <c r="E88" s="58"/>
      <c r="F88" s="58"/>
      <c r="G88" s="58"/>
      <c r="H88" s="58"/>
      <c r="I88" s="58"/>
      <c r="J88" s="58"/>
      <c r="K88" s="58"/>
      <c r="L88" s="58"/>
      <c r="M88" s="58"/>
    </row>
    <row r="89" spans="1:13" ht="18.75" x14ac:dyDescent="0.3">
      <c r="A89" s="58"/>
      <c r="B89" s="58"/>
      <c r="C89" s="58"/>
      <c r="D89" s="58"/>
      <c r="E89" s="58"/>
      <c r="F89" s="58"/>
      <c r="G89" s="58"/>
      <c r="H89" s="58"/>
      <c r="I89" s="58"/>
      <c r="J89" s="58"/>
      <c r="K89" s="58"/>
      <c r="L89" s="58"/>
      <c r="M89" s="58"/>
    </row>
    <row r="90" spans="1:13" ht="18.75" x14ac:dyDescent="0.3">
      <c r="A90" s="58"/>
      <c r="B90" s="58"/>
      <c r="C90" s="58"/>
      <c r="D90" s="58"/>
      <c r="E90" s="58"/>
      <c r="F90" s="58"/>
      <c r="G90" s="58"/>
      <c r="H90" s="58"/>
      <c r="I90" s="58"/>
      <c r="J90" s="58"/>
      <c r="K90" s="58"/>
      <c r="L90" s="58"/>
      <c r="M90" s="58"/>
    </row>
    <row r="91" spans="1:13" ht="18.75" x14ac:dyDescent="0.3">
      <c r="A91" s="58"/>
      <c r="B91" s="58"/>
      <c r="C91" s="58"/>
      <c r="D91" s="58"/>
      <c r="E91" s="58"/>
      <c r="F91" s="58"/>
      <c r="G91" s="58"/>
      <c r="H91" s="58"/>
      <c r="I91" s="58"/>
      <c r="J91" s="58"/>
      <c r="K91" s="58"/>
      <c r="L91" s="58"/>
      <c r="M91" s="58"/>
    </row>
    <row r="92" spans="1:13" ht="18.75" x14ac:dyDescent="0.3">
      <c r="A92" s="58"/>
      <c r="B92" s="58"/>
      <c r="C92" s="58"/>
      <c r="D92" s="58"/>
      <c r="E92" s="58"/>
      <c r="F92" s="58"/>
      <c r="G92" s="58"/>
      <c r="H92" s="58"/>
      <c r="I92" s="58"/>
      <c r="J92" s="58"/>
      <c r="K92" s="58"/>
      <c r="L92" s="58"/>
      <c r="M92" s="58"/>
    </row>
    <row r="93" spans="1:13" ht="18.75" x14ac:dyDescent="0.3">
      <c r="A93" s="58"/>
      <c r="B93" s="58"/>
      <c r="C93" s="58"/>
      <c r="D93" s="58"/>
      <c r="E93" s="58"/>
      <c r="F93" s="58"/>
      <c r="G93" s="58"/>
      <c r="H93" s="58"/>
      <c r="I93" s="58"/>
      <c r="J93" s="58"/>
      <c r="K93" s="58"/>
      <c r="L93" s="58"/>
      <c r="M93" s="58"/>
    </row>
    <row r="94" spans="1:13" ht="18.75" x14ac:dyDescent="0.3">
      <c r="A94" s="58"/>
      <c r="B94" s="58"/>
      <c r="C94" s="58"/>
      <c r="D94" s="58"/>
      <c r="E94" s="58"/>
      <c r="F94" s="58"/>
      <c r="G94" s="58"/>
      <c r="H94" s="58"/>
      <c r="I94" s="58"/>
      <c r="J94" s="58"/>
      <c r="K94" s="58"/>
      <c r="L94" s="58"/>
      <c r="M94" s="58"/>
    </row>
    <row r="95" spans="1:13" ht="18.75" x14ac:dyDescent="0.3">
      <c r="A95" s="58"/>
      <c r="B95" s="58"/>
      <c r="C95" s="58"/>
      <c r="D95" s="58"/>
      <c r="E95" s="58"/>
      <c r="F95" s="58"/>
      <c r="G95" s="58"/>
      <c r="H95" s="58"/>
      <c r="I95" s="58"/>
      <c r="J95" s="58"/>
      <c r="K95" s="58"/>
      <c r="L95" s="58"/>
      <c r="M95" s="58"/>
    </row>
    <row r="96" spans="1:13" ht="18.75" x14ac:dyDescent="0.3">
      <c r="A96" s="58"/>
      <c r="B96" s="58"/>
      <c r="C96" s="58"/>
      <c r="D96" s="58"/>
      <c r="E96" s="58"/>
      <c r="F96" s="58"/>
      <c r="G96" s="58"/>
      <c r="H96" s="58"/>
      <c r="I96" s="58"/>
      <c r="J96" s="58"/>
      <c r="K96" s="58"/>
      <c r="L96" s="58"/>
      <c r="M96" s="58"/>
    </row>
    <row r="97" spans="1:13" ht="18.75" x14ac:dyDescent="0.3">
      <c r="A97" s="58"/>
      <c r="B97" s="58"/>
      <c r="C97" s="58"/>
      <c r="D97" s="58"/>
      <c r="E97" s="58"/>
      <c r="F97" s="58"/>
      <c r="G97" s="58"/>
      <c r="H97" s="58"/>
      <c r="I97" s="58"/>
      <c r="J97" s="58"/>
      <c r="K97" s="58"/>
      <c r="L97" s="58"/>
      <c r="M97" s="58"/>
    </row>
    <row r="98" spans="1:13" ht="18.75" x14ac:dyDescent="0.3">
      <c r="A98" s="58"/>
      <c r="B98" s="58"/>
      <c r="C98" s="58"/>
      <c r="D98" s="58"/>
      <c r="E98" s="58"/>
      <c r="F98" s="58"/>
      <c r="G98" s="58"/>
      <c r="H98" s="58"/>
      <c r="I98" s="58"/>
      <c r="J98" s="58"/>
      <c r="K98" s="58"/>
      <c r="L98" s="58"/>
      <c r="M98" s="58"/>
    </row>
    <row r="99" spans="1:13" ht="18.75" x14ac:dyDescent="0.3">
      <c r="A99" s="58"/>
      <c r="B99" s="58"/>
      <c r="C99" s="58"/>
      <c r="D99" s="58"/>
      <c r="E99" s="58"/>
      <c r="F99" s="58"/>
      <c r="G99" s="58"/>
      <c r="H99" s="58"/>
      <c r="I99" s="58"/>
      <c r="J99" s="58"/>
      <c r="K99" s="58"/>
      <c r="L99" s="58"/>
      <c r="M99" s="58"/>
    </row>
    <row r="100" spans="1:13" ht="18.75" x14ac:dyDescent="0.3">
      <c r="A100" s="58"/>
      <c r="B100" s="58"/>
      <c r="C100" s="58"/>
      <c r="D100" s="58"/>
      <c r="E100" s="58"/>
      <c r="F100" s="58"/>
      <c r="G100" s="58"/>
      <c r="H100" s="58"/>
      <c r="I100" s="58"/>
      <c r="J100" s="58"/>
      <c r="K100" s="58"/>
      <c r="L100" s="58"/>
      <c r="M100" s="58"/>
    </row>
    <row r="101" spans="1:13" ht="18.75" x14ac:dyDescent="0.3">
      <c r="A101" s="58"/>
      <c r="B101" s="58"/>
      <c r="C101" s="58"/>
      <c r="D101" s="58"/>
      <c r="E101" s="58"/>
      <c r="F101" s="58"/>
      <c r="G101" s="58"/>
      <c r="H101" s="58"/>
      <c r="I101" s="58"/>
      <c r="J101" s="58"/>
      <c r="K101" s="58"/>
      <c r="L101" s="58"/>
      <c r="M101" s="58"/>
    </row>
    <row r="102" spans="1:13" ht="18.75" x14ac:dyDescent="0.3">
      <c r="A102" s="58"/>
      <c r="B102" s="58"/>
      <c r="C102" s="58"/>
      <c r="D102" s="58"/>
      <c r="E102" s="58"/>
      <c r="F102" s="58"/>
      <c r="G102" s="58"/>
      <c r="H102" s="58"/>
      <c r="I102" s="58"/>
      <c r="J102" s="58"/>
      <c r="K102" s="58"/>
      <c r="L102" s="58"/>
      <c r="M102" s="58"/>
    </row>
    <row r="103" spans="1:13" ht="18.75" x14ac:dyDescent="0.3">
      <c r="A103" s="58"/>
      <c r="B103" s="58"/>
      <c r="C103" s="58"/>
      <c r="D103" s="58"/>
      <c r="E103" s="58"/>
      <c r="F103" s="58"/>
      <c r="G103" s="58"/>
      <c r="H103" s="58"/>
      <c r="I103" s="58"/>
      <c r="J103" s="58"/>
      <c r="K103" s="58"/>
      <c r="L103" s="58"/>
      <c r="M103" s="58"/>
    </row>
    <row r="104" spans="1:13" ht="18.75" x14ac:dyDescent="0.3">
      <c r="A104" s="58"/>
      <c r="B104" s="58"/>
      <c r="C104" s="58"/>
      <c r="D104" s="58"/>
      <c r="E104" s="58"/>
      <c r="F104" s="58"/>
      <c r="G104" s="58"/>
      <c r="H104" s="58"/>
      <c r="I104" s="58"/>
      <c r="J104" s="58"/>
      <c r="K104" s="58"/>
      <c r="L104" s="58"/>
      <c r="M104" s="58"/>
    </row>
    <row r="105" spans="1:13" ht="18.75" x14ac:dyDescent="0.3">
      <c r="A105" s="58"/>
      <c r="B105" s="58"/>
      <c r="C105" s="58"/>
      <c r="D105" s="58"/>
      <c r="E105" s="58"/>
      <c r="F105" s="58"/>
      <c r="G105" s="58"/>
      <c r="H105" s="58"/>
      <c r="I105" s="58"/>
      <c r="J105" s="58"/>
      <c r="K105" s="58"/>
      <c r="L105" s="58"/>
      <c r="M105" s="58"/>
    </row>
    <row r="106" spans="1:13" ht="18.75" x14ac:dyDescent="0.3">
      <c r="A106" s="58"/>
      <c r="B106" s="58"/>
      <c r="C106" s="58"/>
      <c r="D106" s="58"/>
      <c r="E106" s="58"/>
      <c r="F106" s="58"/>
      <c r="G106" s="58"/>
      <c r="H106" s="58"/>
      <c r="I106" s="58"/>
      <c r="J106" s="58"/>
      <c r="K106" s="58"/>
      <c r="L106" s="58"/>
      <c r="M106" s="58"/>
    </row>
    <row r="107" spans="1:13" ht="18.75" x14ac:dyDescent="0.3">
      <c r="A107" s="58"/>
      <c r="B107" s="58"/>
      <c r="C107" s="58"/>
      <c r="D107" s="58"/>
      <c r="E107" s="58"/>
      <c r="F107" s="58"/>
      <c r="G107" s="58"/>
      <c r="H107" s="58"/>
      <c r="I107" s="58"/>
      <c r="J107" s="58"/>
      <c r="K107" s="58"/>
      <c r="L107" s="58"/>
      <c r="M107" s="58"/>
    </row>
    <row r="108" spans="1:13" ht="18.75" x14ac:dyDescent="0.3">
      <c r="A108" s="58"/>
      <c r="B108" s="58"/>
      <c r="C108" s="58"/>
      <c r="D108" s="58"/>
      <c r="E108" s="58"/>
      <c r="F108" s="58"/>
      <c r="G108" s="58"/>
      <c r="H108" s="58"/>
      <c r="I108" s="58"/>
      <c r="J108" s="58"/>
      <c r="K108" s="58"/>
      <c r="L108" s="58"/>
      <c r="M108" s="58"/>
    </row>
    <row r="109" spans="1:13" ht="18.75" x14ac:dyDescent="0.3">
      <c r="A109" s="58"/>
      <c r="B109" s="58"/>
      <c r="C109" s="58"/>
      <c r="D109" s="58"/>
      <c r="E109" s="58"/>
      <c r="F109" s="58"/>
      <c r="G109" s="58"/>
      <c r="H109" s="58"/>
      <c r="I109" s="58"/>
      <c r="J109" s="58"/>
      <c r="K109" s="58"/>
      <c r="L109" s="58"/>
      <c r="M109" s="58"/>
    </row>
    <row r="110" spans="1:13" ht="18.75" x14ac:dyDescent="0.3">
      <c r="A110" s="58"/>
      <c r="B110" s="58"/>
      <c r="C110" s="58"/>
      <c r="D110" s="58"/>
      <c r="E110" s="58"/>
      <c r="F110" s="58"/>
      <c r="G110" s="58"/>
      <c r="H110" s="58"/>
      <c r="I110" s="58"/>
      <c r="J110" s="58"/>
      <c r="K110" s="58"/>
      <c r="L110" s="58"/>
      <c r="M110" s="58"/>
    </row>
    <row r="111" spans="1:13" ht="18.75" x14ac:dyDescent="0.3">
      <c r="A111" s="58"/>
      <c r="B111" s="58"/>
      <c r="C111" s="58"/>
      <c r="D111" s="58"/>
      <c r="E111" s="58"/>
      <c r="F111" s="58"/>
      <c r="G111" s="58"/>
      <c r="H111" s="58"/>
      <c r="I111" s="58"/>
      <c r="J111" s="58"/>
      <c r="K111" s="58"/>
      <c r="L111" s="58"/>
      <c r="M111" s="58"/>
    </row>
    <row r="112" spans="1:13" ht="18.75" x14ac:dyDescent="0.3">
      <c r="A112" s="58"/>
      <c r="B112" s="58"/>
      <c r="C112" s="58"/>
      <c r="D112" s="58"/>
      <c r="E112" s="58"/>
      <c r="F112" s="58"/>
      <c r="G112" s="58"/>
      <c r="H112" s="58"/>
      <c r="I112" s="58"/>
      <c r="J112" s="58"/>
      <c r="K112" s="58"/>
      <c r="L112" s="58"/>
      <c r="M112" s="58"/>
    </row>
    <row r="113" spans="1:13" ht="18.75" x14ac:dyDescent="0.3">
      <c r="A113" s="58"/>
      <c r="B113" s="58"/>
      <c r="C113" s="58"/>
      <c r="D113" s="58"/>
      <c r="E113" s="58"/>
      <c r="F113" s="58"/>
      <c r="G113" s="58"/>
      <c r="H113" s="58"/>
      <c r="I113" s="58"/>
      <c r="J113" s="58"/>
      <c r="K113" s="58"/>
      <c r="L113" s="58"/>
      <c r="M113" s="58"/>
    </row>
    <row r="114" spans="1:13" ht="18.75" x14ac:dyDescent="0.3">
      <c r="A114" s="58"/>
      <c r="B114" s="58"/>
      <c r="C114" s="58"/>
      <c r="D114" s="58"/>
      <c r="E114" s="58"/>
      <c r="F114" s="58"/>
      <c r="G114" s="58"/>
      <c r="H114" s="58"/>
      <c r="I114" s="58"/>
      <c r="J114" s="58"/>
      <c r="K114" s="58"/>
      <c r="L114" s="58"/>
      <c r="M114" s="58"/>
    </row>
    <row r="115" spans="1:13" ht="18.75" x14ac:dyDescent="0.3">
      <c r="A115" s="58"/>
      <c r="B115" s="58"/>
      <c r="C115" s="58"/>
      <c r="D115" s="58"/>
      <c r="E115" s="58"/>
      <c r="F115" s="58"/>
      <c r="G115" s="58"/>
      <c r="H115" s="58"/>
      <c r="I115" s="58"/>
      <c r="J115" s="58"/>
      <c r="K115" s="58"/>
      <c r="L115" s="58"/>
      <c r="M115" s="58"/>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M92"/>
  <sheetViews>
    <sheetView showGridLines="0" zoomScale="70" zoomScaleNormal="70" workbookViewId="0">
      <pane xSplit="1" ySplit="7" topLeftCell="B8" activePane="bottomRight" state="frozen"/>
      <selection activeCell="A5" sqref="A5"/>
      <selection pane="topRight" activeCell="A5" sqref="A5"/>
      <selection pane="bottomLeft" activeCell="A5" sqref="A5"/>
      <selection pane="bottomRight" activeCell="A3" sqref="A3"/>
    </sheetView>
  </sheetViews>
  <sheetFormatPr baseColWidth="10" defaultColWidth="11.42578125" defaultRowHeight="18" x14ac:dyDescent="0.25"/>
  <cols>
    <col min="1" max="1" width="33.7109375" style="65" customWidth="1"/>
    <col min="2" max="2" width="18.28515625" style="65" customWidth="1"/>
    <col min="3" max="3" width="17.7109375" style="65" customWidth="1"/>
    <col min="4" max="4" width="11.7109375" style="65" customWidth="1"/>
    <col min="5" max="5" width="4.7109375" style="65" customWidth="1"/>
    <col min="6" max="7" width="13" style="65" customWidth="1"/>
    <col min="8" max="8" width="11.7109375" style="65" customWidth="1"/>
    <col min="9" max="9" width="12.42578125" style="65" customWidth="1"/>
    <col min="10" max="10" width="11.42578125" style="65"/>
    <col min="11" max="12" width="17.28515625" style="65" bestFit="1" customWidth="1"/>
    <col min="13" max="16384" width="11.42578125" style="65"/>
  </cols>
  <sheetData>
    <row r="1" spans="1:11" ht="18.75" customHeight="1" x14ac:dyDescent="0.3">
      <c r="A1" s="64" t="s">
        <v>72</v>
      </c>
      <c r="B1" s="57" t="s">
        <v>52</v>
      </c>
      <c r="C1" s="64"/>
      <c r="D1" s="64"/>
      <c r="E1" s="64"/>
      <c r="F1" s="58"/>
      <c r="G1" s="58"/>
      <c r="H1" s="58"/>
      <c r="I1" s="58"/>
      <c r="J1" s="58"/>
    </row>
    <row r="2" spans="1:11" ht="20.100000000000001" customHeight="1" x14ac:dyDescent="0.3">
      <c r="A2" s="64" t="s">
        <v>139</v>
      </c>
      <c r="B2" s="64"/>
      <c r="C2" s="616"/>
      <c r="D2" s="64"/>
      <c r="E2" s="64"/>
      <c r="F2" s="58"/>
      <c r="G2" s="58"/>
      <c r="H2" s="58"/>
      <c r="I2" s="58"/>
      <c r="J2" s="58"/>
    </row>
    <row r="3" spans="1:11" ht="20.100000000000001" customHeight="1" x14ac:dyDescent="0.3">
      <c r="A3" s="59"/>
      <c r="B3" s="59"/>
      <c r="C3" s="59"/>
      <c r="D3" s="59"/>
      <c r="E3" s="59"/>
      <c r="F3" s="58"/>
      <c r="G3" s="58"/>
      <c r="H3" s="58"/>
      <c r="I3" s="58"/>
      <c r="J3" s="58"/>
    </row>
    <row r="4" spans="1:11" ht="20.100000000000001" customHeight="1" x14ac:dyDescent="0.3">
      <c r="A4" s="244"/>
      <c r="B4" s="690" t="s">
        <v>140</v>
      </c>
      <c r="C4" s="690"/>
      <c r="D4" s="691"/>
      <c r="E4" s="617"/>
      <c r="F4" s="692" t="s">
        <v>140</v>
      </c>
      <c r="G4" s="690"/>
      <c r="H4" s="691"/>
      <c r="I4" s="58"/>
      <c r="J4" s="58"/>
    </row>
    <row r="5" spans="1:11" ht="18.75" customHeight="1" x14ac:dyDescent="0.3">
      <c r="A5" s="618" t="s">
        <v>398</v>
      </c>
      <c r="B5" s="693" t="s">
        <v>141</v>
      </c>
      <c r="C5" s="694"/>
      <c r="D5" s="695"/>
      <c r="E5" s="619"/>
      <c r="F5" s="696" t="s">
        <v>142</v>
      </c>
      <c r="G5" s="697"/>
      <c r="H5" s="698"/>
      <c r="I5" s="58"/>
      <c r="J5" s="58"/>
    </row>
    <row r="6" spans="1:11" ht="18.75" customHeight="1" x14ac:dyDescent="0.3">
      <c r="A6" s="106"/>
      <c r="B6" s="104"/>
      <c r="C6" s="176"/>
      <c r="D6" s="245" t="s">
        <v>76</v>
      </c>
      <c r="E6" s="245"/>
      <c r="F6" s="107"/>
      <c r="G6" s="587"/>
      <c r="H6" s="78" t="s">
        <v>76</v>
      </c>
      <c r="I6" s="620"/>
      <c r="J6" s="58"/>
    </row>
    <row r="7" spans="1:11" ht="18.75" customHeight="1" x14ac:dyDescent="0.3">
      <c r="A7" s="110"/>
      <c r="B7" s="81">
        <v>2023</v>
      </c>
      <c r="C7" s="81">
        <v>2024</v>
      </c>
      <c r="D7" s="246" t="s">
        <v>78</v>
      </c>
      <c r="E7" s="245"/>
      <c r="F7" s="81">
        <v>2023</v>
      </c>
      <c r="G7" s="111">
        <v>2024</v>
      </c>
      <c r="H7" s="247" t="s">
        <v>78</v>
      </c>
      <c r="I7" s="620"/>
      <c r="J7" s="58"/>
    </row>
    <row r="8" spans="1:11" ht="18.75" customHeight="1" x14ac:dyDescent="0.3">
      <c r="A8" s="85" t="s">
        <v>143</v>
      </c>
      <c r="B8" s="623">
        <f>SUM(B9:B14)</f>
        <v>195958.24281207004</v>
      </c>
      <c r="C8" s="623">
        <f>SUM(C9:C14)</f>
        <v>201500.8167330093</v>
      </c>
      <c r="D8" s="248">
        <f t="shared" ref="D8:D38" si="0">IF(B8=0, "    ---- ", IF(ABS(ROUND(100/B8*C8-100,1))&lt;999,ROUND(100/B8*C8-100,1),IF(ROUND(100/B8*C8-100,1)&gt;999,999,-999)))</f>
        <v>2.8</v>
      </c>
      <c r="E8" s="249"/>
      <c r="F8" s="624">
        <f>SUM(F9:F14)</f>
        <v>100.00000000000001</v>
      </c>
      <c r="G8" s="624">
        <f>SUM(G9:G14)</f>
        <v>100.00000021796934</v>
      </c>
      <c r="H8" s="249">
        <f t="shared" ref="H8:H38" si="1">IF(F8=0, "    ---- ", IF(ABS(ROUND(100/F8*G8-100,1))&lt;999,ROUND(100/F8*G8-100,1),IF(ROUND(100/F8*G8-100,1)&gt;999,999,-999)))</f>
        <v>0</v>
      </c>
      <c r="I8" s="88"/>
      <c r="J8" s="58"/>
    </row>
    <row r="9" spans="1:11" ht="18.75" customHeight="1" x14ac:dyDescent="0.3">
      <c r="A9" s="70" t="s">
        <v>144</v>
      </c>
      <c r="B9" s="90">
        <f>'Tabell 6'!AI21</f>
        <v>3699.2188504300002</v>
      </c>
      <c r="C9" s="90">
        <f>'Tabell 6'!AJ21</f>
        <v>5957.5439993974387</v>
      </c>
      <c r="D9" s="252">
        <f t="shared" si="0"/>
        <v>61</v>
      </c>
      <c r="E9" s="252"/>
      <c r="F9" s="252">
        <f>'Tabell 6'!AI21/'Tabell 6'!AI29*100</f>
        <v>1.887758737445745</v>
      </c>
      <c r="G9" s="252">
        <f>'Tabell 6'!AJ21/'Tabell 6'!AJ29*100</f>
        <v>2.9565855409295274</v>
      </c>
      <c r="H9" s="251">
        <f t="shared" si="1"/>
        <v>56.6</v>
      </c>
      <c r="I9" s="88"/>
      <c r="J9" s="61"/>
      <c r="K9" s="669"/>
    </row>
    <row r="10" spans="1:11" ht="18.75" x14ac:dyDescent="0.3">
      <c r="A10" s="678" t="s">
        <v>416</v>
      </c>
      <c r="B10" s="89">
        <f>'Tabell 6'!AI17+'Tabell 6'!AI22</f>
        <v>68017.529722330015</v>
      </c>
      <c r="C10" s="89">
        <f>'Tabell 6'!AJ17+'Tabell 6'!AJ22</f>
        <v>69216.581633737427</v>
      </c>
      <c r="D10" s="252">
        <f t="shared" si="0"/>
        <v>1.8</v>
      </c>
      <c r="E10" s="252"/>
      <c r="F10" s="252">
        <f>('Tabell 6'!AI17+'Tabell 6'!AI22)/'Tabell 6'!AI29*100</f>
        <v>34.71021619006909</v>
      </c>
      <c r="G10" s="252">
        <f>('Tabell 6'!AJ17+'Tabell 6'!AJ22)/'Tabell 6'!AJ29*100</f>
        <v>34.350521703503098</v>
      </c>
      <c r="H10" s="251">
        <f t="shared" si="1"/>
        <v>-1</v>
      </c>
      <c r="I10" s="88"/>
      <c r="J10" s="61"/>
    </row>
    <row r="11" spans="1:11" ht="18.75" customHeight="1" x14ac:dyDescent="0.3">
      <c r="A11" s="70" t="s">
        <v>145</v>
      </c>
      <c r="B11" s="89">
        <f>'Tabell 6'!AI14</f>
        <v>1390.1472147500001</v>
      </c>
      <c r="C11" s="89">
        <f>'Tabell 6'!AJ14</f>
        <v>1319.08072975</v>
      </c>
      <c r="D11" s="252">
        <f t="shared" si="0"/>
        <v>-5.0999999999999996</v>
      </c>
      <c r="E11" s="252"/>
      <c r="F11" s="252">
        <f>'Tabell 6'!AI14/'Tabell 6'!AI29*100</f>
        <v>0.70940992060394936</v>
      </c>
      <c r="G11" s="252">
        <f>'Tabell 6'!AJ14/'Tabell 6'!AJ29*100</f>
        <v>0.65462798315750137</v>
      </c>
      <c r="H11" s="251">
        <f t="shared" si="1"/>
        <v>-7.7</v>
      </c>
      <c r="I11" s="88"/>
      <c r="J11" s="61"/>
    </row>
    <row r="12" spans="1:11" ht="18.75" customHeight="1" x14ac:dyDescent="0.3">
      <c r="A12" s="177" t="s">
        <v>146</v>
      </c>
      <c r="B12" s="89">
        <f>'Tabell 6'!AI15</f>
        <v>26452.35685511</v>
      </c>
      <c r="C12" s="89">
        <f>'Tabell 6'!AJ15</f>
        <v>26336.559198579998</v>
      </c>
      <c r="D12" s="252">
        <f t="shared" si="0"/>
        <v>-0.4</v>
      </c>
      <c r="E12" s="252"/>
      <c r="F12" s="252">
        <f>'Tabell 6'!AI15/'Tabell 6'!AI29*100</f>
        <v>13.498976351037514</v>
      </c>
      <c r="G12" s="252">
        <f>'Tabell 6'!AJ15/'Tabell 6'!AJ29*100</f>
        <v>13.070199755508604</v>
      </c>
      <c r="H12" s="251">
        <f t="shared" si="1"/>
        <v>-3.2</v>
      </c>
      <c r="I12" s="88"/>
      <c r="J12" s="61"/>
      <c r="K12" s="119"/>
    </row>
    <row r="13" spans="1:11" ht="18.75" customHeight="1" x14ac:dyDescent="0.3">
      <c r="A13" s="70" t="s">
        <v>147</v>
      </c>
      <c r="B13" s="89">
        <f>'Tabell 6'!AI19+'Tabell 6'!AI23</f>
        <v>42505.29093001</v>
      </c>
      <c r="C13" s="89">
        <f>'Tabell 6'!AJ19+'Tabell 6'!AJ23</f>
        <v>38790.712598360005</v>
      </c>
      <c r="D13" s="252">
        <f t="shared" si="0"/>
        <v>-8.6999999999999993</v>
      </c>
      <c r="E13" s="252"/>
      <c r="F13" s="252">
        <f>('Tabell 6'!AI19+'Tabell 6'!AI23)/'Tabell 6'!AI29*100</f>
        <v>21.69099412203542</v>
      </c>
      <c r="G13" s="252">
        <f>('Tabell 6'!AJ19+'Tabell 6'!AJ23)/'Tabell 6'!AJ29*100</f>
        <v>19.250896007190864</v>
      </c>
      <c r="H13" s="251">
        <f t="shared" si="1"/>
        <v>-11.2</v>
      </c>
      <c r="I13" s="88"/>
      <c r="J13" s="61"/>
      <c r="K13" s="669"/>
    </row>
    <row r="14" spans="1:11" ht="18.75" customHeight="1" x14ac:dyDescent="0.3">
      <c r="A14" s="70" t="s">
        <v>148</v>
      </c>
      <c r="B14" s="162">
        <f>'Tabell 6'!AI24+'Tabell 6'!AI25+'Tabell 6'!AI26+'Tabell 6'!AI28</f>
        <v>53893.69923944</v>
      </c>
      <c r="C14" s="162">
        <f>'Tabell 6'!AJ24+'Tabell 6'!AJ25+'Tabell 6'!AJ26+'Tabell 6'!AJ28</f>
        <v>59880.338573184425</v>
      </c>
      <c r="D14" s="252">
        <f t="shared" si="0"/>
        <v>11.1</v>
      </c>
      <c r="E14" s="252"/>
      <c r="F14" s="252">
        <f>('Tabell 6'!AI24+'Tabell 6'!AI25+'Tabell 6'!AI26+'Tabell 6'!AI28)/'Tabell 6'!AI29*100</f>
        <v>27.502644678808291</v>
      </c>
      <c r="G14" s="252">
        <f>('Tabell 6'!AJ24+'Tabell 6'!AJ25+'Tabell 6'!AJ26+'Tabell 6'!AJ28)/'Tabell 6'!AJ29*100</f>
        <v>29.717169227679751</v>
      </c>
      <c r="H14" s="251">
        <f t="shared" si="1"/>
        <v>8.1</v>
      </c>
      <c r="I14" s="88"/>
      <c r="J14" s="61"/>
    </row>
    <row r="15" spans="1:11" ht="18.75" customHeight="1" x14ac:dyDescent="0.3">
      <c r="A15" s="177"/>
      <c r="B15" s="89"/>
      <c r="C15" s="162"/>
      <c r="D15" s="622"/>
      <c r="E15" s="622"/>
      <c r="F15" s="622"/>
      <c r="G15" s="252"/>
      <c r="H15" s="251"/>
      <c r="I15" s="88"/>
      <c r="J15" s="58"/>
    </row>
    <row r="16" spans="1:11" s="119" customFormat="1" ht="18.75" customHeight="1" x14ac:dyDescent="0.3">
      <c r="A16" s="679" t="s">
        <v>149</v>
      </c>
      <c r="B16" s="623">
        <f>SUM(B17:B22)</f>
        <v>1312194.1895332597</v>
      </c>
      <c r="C16" s="623">
        <f>SUM(C17:C22)</f>
        <v>1386148.36645805</v>
      </c>
      <c r="D16" s="624">
        <f t="shared" si="0"/>
        <v>5.6</v>
      </c>
      <c r="E16" s="624"/>
      <c r="F16" s="624">
        <f>SUM(F17:F22)</f>
        <v>100</v>
      </c>
      <c r="G16" s="624">
        <f>SUM(G17:G22)</f>
        <v>100.00000000000001</v>
      </c>
      <c r="H16" s="249">
        <f t="shared" si="1"/>
        <v>0</v>
      </c>
      <c r="I16" s="94"/>
      <c r="J16" s="59"/>
    </row>
    <row r="17" spans="1:13" ht="18.75" customHeight="1" x14ac:dyDescent="0.3">
      <c r="A17" s="91" t="s">
        <v>144</v>
      </c>
      <c r="B17" s="89">
        <f>'Tabell 6'!AI40</f>
        <v>285800.85781637003</v>
      </c>
      <c r="C17" s="89">
        <f>'Tabell 6'!AJ40</f>
        <v>337952.95677410002</v>
      </c>
      <c r="D17" s="252">
        <f t="shared" si="0"/>
        <v>18.2</v>
      </c>
      <c r="E17" s="252"/>
      <c r="F17" s="252">
        <f>'Tabell 6'!AI40/('Tabell 6'!AI45+'Tabell 6'!AI46)*100</f>
        <v>21.780378247066295</v>
      </c>
      <c r="G17" s="252">
        <f>'Tabell 6'!AJ40/('Tabell 6'!AJ45+'Tabell 6'!AJ46)*100</f>
        <v>24.380720343642071</v>
      </c>
      <c r="H17" s="251">
        <f t="shared" si="1"/>
        <v>11.9</v>
      </c>
      <c r="I17" s="88"/>
      <c r="J17" s="58"/>
    </row>
    <row r="18" spans="1:13" ht="18.75" x14ac:dyDescent="0.3">
      <c r="A18" s="678" t="s">
        <v>416</v>
      </c>
      <c r="B18" s="89">
        <f>'Tabell 6'!AI36+'Tabell 6'!AI41</f>
        <v>281258.85035279999</v>
      </c>
      <c r="C18" s="89">
        <f>'Tabell 6'!AJ36+'Tabell 6'!AJ41</f>
        <v>351505.80331659992</v>
      </c>
      <c r="D18" s="252">
        <f t="shared" si="0"/>
        <v>25</v>
      </c>
      <c r="E18" s="252"/>
      <c r="F18" s="252">
        <f>('Tabell 6'!AI36+'Tabell 6'!AI41)/('Tabell 6'!AI45+'Tabell 6'!AI46)*100</f>
        <v>21.434239885854257</v>
      </c>
      <c r="G18" s="252">
        <f>('Tabell 6'!AJ36+'Tabell 6'!AJ41)/('Tabell 6'!AJ45+'Tabell 6'!AJ46)*100</f>
        <v>25.358454536492637</v>
      </c>
      <c r="H18" s="251">
        <f t="shared" si="1"/>
        <v>18.3</v>
      </c>
      <c r="I18" s="88"/>
      <c r="J18" s="58"/>
    </row>
    <row r="19" spans="1:13" ht="18.75" customHeight="1" x14ac:dyDescent="0.3">
      <c r="A19" s="91" t="s">
        <v>145</v>
      </c>
      <c r="B19" s="89">
        <f>'Tabell 6'!AI33</f>
        <v>14.22554581</v>
      </c>
      <c r="C19" s="89">
        <f>'Tabell 6'!AJ33</f>
        <v>14.22554581</v>
      </c>
      <c r="D19" s="252">
        <f t="shared" si="0"/>
        <v>0</v>
      </c>
      <c r="E19" s="252"/>
      <c r="F19" s="252">
        <f>'Tabell 6'!AI33/('Tabell 6'!AI45+'Tabell 6'!AI46)*100</f>
        <v>1.0841037038168829E-3</v>
      </c>
      <c r="G19" s="252">
        <f>'Tabell 6'!AJ33/('Tabell 6'!AJ45+'Tabell 6'!AJ46)*100</f>
        <v>1.0262642985577198E-3</v>
      </c>
      <c r="H19" s="251">
        <f t="shared" si="1"/>
        <v>-5.3</v>
      </c>
      <c r="I19" s="88"/>
      <c r="J19" s="58"/>
    </row>
    <row r="20" spans="1:13" ht="18.75" customHeight="1" x14ac:dyDescent="0.3">
      <c r="A20" s="92" t="s">
        <v>146</v>
      </c>
      <c r="B20" s="89">
        <f>'Tabell 6'!AI34</f>
        <v>177881.34478916001</v>
      </c>
      <c r="C20" s="89">
        <f>'Tabell 6'!AJ34</f>
        <v>166398.65042570001</v>
      </c>
      <c r="D20" s="252">
        <f t="shared" si="0"/>
        <v>-6.5</v>
      </c>
      <c r="E20" s="252"/>
      <c r="F20" s="252">
        <f>'Tabell 6'!AI34/('Tabell 6'!AI45+'Tabell 6'!AI46)*100</f>
        <v>13.556022897223116</v>
      </c>
      <c r="G20" s="252">
        <f>'Tabell 6'!AJ34/('Tabell 6'!AJ45+'Tabell 6'!AJ46)*100</f>
        <v>12.004389605918556</v>
      </c>
      <c r="H20" s="251">
        <f t="shared" si="1"/>
        <v>-11.4</v>
      </c>
      <c r="I20" s="88"/>
      <c r="J20" s="58"/>
    </row>
    <row r="21" spans="1:13" ht="18.75" customHeight="1" x14ac:dyDescent="0.3">
      <c r="A21" s="91" t="s">
        <v>147</v>
      </c>
      <c r="B21" s="89">
        <f>'Tabell 6'!AI38+'Tabell 6'!AI42</f>
        <v>547581.4715793099</v>
      </c>
      <c r="C21" s="89">
        <f>'Tabell 6'!AJ38+'Tabell 6'!AJ42</f>
        <v>524533.64770285005</v>
      </c>
      <c r="D21" s="252">
        <f t="shared" si="0"/>
        <v>-4.2</v>
      </c>
      <c r="E21" s="252"/>
      <c r="F21" s="252">
        <f>('Tabell 6'!AI38+'Tabell 6'!AI42)/('Tabell 6'!AI45+'Tabell 6'!AI46)*100</f>
        <v>41.730216148425527</v>
      </c>
      <c r="G21" s="252">
        <f>('Tabell 6'!AJ38+'Tabell 6'!AJ42)/('Tabell 6'!AJ45+'Tabell 6'!AJ46)*100</f>
        <v>37.841089770437961</v>
      </c>
      <c r="H21" s="251">
        <f t="shared" si="1"/>
        <v>-9.3000000000000007</v>
      </c>
      <c r="I21" s="88"/>
      <c r="J21" s="58"/>
    </row>
    <row r="22" spans="1:13" ht="18.75" customHeight="1" x14ac:dyDescent="0.3">
      <c r="A22" s="92" t="s">
        <v>148</v>
      </c>
      <c r="B22" s="162">
        <f>'Tabell 6'!AI43+'Tabell 6'!AI44+'Tabell 6'!AI46</f>
        <v>19657.439449810001</v>
      </c>
      <c r="C22" s="162">
        <f>'Tabell 6'!AJ43+'Tabell 6'!AJ44+'Tabell 6'!AJ46</f>
        <v>5743.0826929900004</v>
      </c>
      <c r="D22" s="252">
        <f t="shared" si="0"/>
        <v>-70.8</v>
      </c>
      <c r="E22" s="252"/>
      <c r="F22" s="622">
        <f>('Tabell 6'!AI43+'Tabell 6'!AI44+'Tabell 6'!AI46)/('Tabell 6'!AI45+'Tabell 6'!AI46)*100</f>
        <v>1.4980587177269884</v>
      </c>
      <c r="G22" s="622">
        <f>('Tabell 6'!AJ43+'Tabell 6'!AJ44+'Tabell 6'!AJ46)/('Tabell 6'!AJ45+'Tabell 6'!AJ46)*100</f>
        <v>0.41431947921022261</v>
      </c>
      <c r="H22" s="251">
        <f t="shared" si="1"/>
        <v>-72.3</v>
      </c>
      <c r="I22" s="88"/>
      <c r="J22" s="58"/>
    </row>
    <row r="23" spans="1:13" ht="18.75" customHeight="1" x14ac:dyDescent="0.3">
      <c r="A23" s="91"/>
      <c r="B23" s="162"/>
      <c r="C23" s="162"/>
      <c r="D23" s="622"/>
      <c r="E23" s="252"/>
      <c r="F23" s="252"/>
      <c r="G23" s="622"/>
      <c r="H23" s="251"/>
      <c r="I23" s="621"/>
      <c r="J23" s="58"/>
    </row>
    <row r="24" spans="1:13" ht="18.75" customHeight="1" x14ac:dyDescent="0.3">
      <c r="A24" s="680" t="s">
        <v>150</v>
      </c>
      <c r="B24" s="623">
        <f>SUM(B25:B30)</f>
        <v>578784.22803291574</v>
      </c>
      <c r="C24" s="623">
        <f>SUM(C25:C30)</f>
        <v>709544.51504398126</v>
      </c>
      <c r="D24" s="624">
        <f t="shared" si="0"/>
        <v>22.6</v>
      </c>
      <c r="E24" s="624"/>
      <c r="F24" s="625">
        <f>SUM(F25:F30)</f>
        <v>99.999999999999986</v>
      </c>
      <c r="G24" s="625">
        <f>SUM(G25:G30)</f>
        <v>100</v>
      </c>
      <c r="H24" s="251">
        <f t="shared" si="1"/>
        <v>0</v>
      </c>
      <c r="I24" s="621"/>
      <c r="J24" s="58"/>
    </row>
    <row r="25" spans="1:13" ht="18.75" customHeight="1" x14ac:dyDescent="0.3">
      <c r="A25" s="92" t="s">
        <v>144</v>
      </c>
      <c r="B25" s="89">
        <f>'Tabell 6'!AI55</f>
        <v>378501.89023792249</v>
      </c>
      <c r="C25" s="89">
        <f>'Tabell 6'!AJ55</f>
        <v>482077.95787312847</v>
      </c>
      <c r="D25" s="252">
        <f t="shared" si="0"/>
        <v>27.4</v>
      </c>
      <c r="E25" s="252"/>
      <c r="F25" s="252">
        <f>'Tabell 6'!AI55/('Tabell 6'!AI60+'Tabell 6'!AI61)*100</f>
        <v>65.396027034861916</v>
      </c>
      <c r="G25" s="252">
        <f>'Tabell 6'!AJ55/('Tabell 6'!AJ60+'Tabell 6'!AJ61)*100</f>
        <v>67.94189055823324</v>
      </c>
      <c r="H25" s="251">
        <f t="shared" si="1"/>
        <v>3.9</v>
      </c>
      <c r="I25" s="621"/>
      <c r="J25" s="58"/>
    </row>
    <row r="26" spans="1:13" ht="18.75" x14ac:dyDescent="0.3">
      <c r="A26" s="678" t="s">
        <v>416</v>
      </c>
      <c r="B26" s="89">
        <f>'Tabell 6'!AI51+'Tabell 6'!AI56</f>
        <v>177882.14912582625</v>
      </c>
      <c r="C26" s="89">
        <f>'Tabell 6'!AJ51+'Tabell 6'!AJ56</f>
        <v>204188.11473419794</v>
      </c>
      <c r="D26" s="252">
        <f t="shared" si="0"/>
        <v>14.8</v>
      </c>
      <c r="E26" s="252"/>
      <c r="F26" s="252">
        <f>('Tabell 6'!AI51+'Tabell 6'!AI56)/('Tabell 6'!AI60+'Tabell 6'!AI61)*100</f>
        <v>30.733758888072181</v>
      </c>
      <c r="G26" s="252">
        <f>('Tabell 6'!AJ51+'Tabell 6'!AJ56)/('Tabell 6'!AJ60+'Tabell 6'!AJ61)*100</f>
        <v>28.777350878618424</v>
      </c>
      <c r="H26" s="251">
        <f t="shared" si="1"/>
        <v>-6.4</v>
      </c>
      <c r="I26" s="621"/>
      <c r="J26" s="667"/>
      <c r="K26" s="668"/>
      <c r="L26" s="668"/>
      <c r="M26" s="668"/>
    </row>
    <row r="27" spans="1:13" ht="18.75" customHeight="1" x14ac:dyDescent="0.3">
      <c r="A27" s="92" t="s">
        <v>145</v>
      </c>
      <c r="B27" s="89">
        <f>'Tabell 6'!AI48</f>
        <v>0</v>
      </c>
      <c r="C27" s="89">
        <f>'Tabell 6'!AJ48</f>
        <v>0</v>
      </c>
      <c r="D27" s="252" t="str">
        <f t="shared" si="0"/>
        <v xml:space="preserve">    ---- </v>
      </c>
      <c r="E27" s="252"/>
      <c r="F27" s="252">
        <f>'Tabell 6'!AI48/('Tabell 6'!AI60+'Tabell 6'!AI61)*100</f>
        <v>0</v>
      </c>
      <c r="G27" s="252">
        <f>'Tabell 6'!AJ48/('Tabell 6'!AJ60+'Tabell 6'!AJ61)*100</f>
        <v>0</v>
      </c>
      <c r="H27" s="251" t="str">
        <f t="shared" si="1"/>
        <v xml:space="preserve">    ---- </v>
      </c>
      <c r="I27" s="621"/>
      <c r="J27" s="667"/>
      <c r="K27" s="668"/>
      <c r="L27" s="668"/>
      <c r="M27" s="668"/>
    </row>
    <row r="28" spans="1:13" ht="18.75" customHeight="1" x14ac:dyDescent="0.3">
      <c r="A28" s="92" t="s">
        <v>146</v>
      </c>
      <c r="B28" s="89">
        <f>'Tabell 6'!AI49</f>
        <v>17608.214707697</v>
      </c>
      <c r="C28" s="89">
        <f>'Tabell 6'!AJ49</f>
        <v>19263.615763852002</v>
      </c>
      <c r="D28" s="252">
        <f t="shared" si="0"/>
        <v>9.4</v>
      </c>
      <c r="E28" s="252"/>
      <c r="F28" s="252">
        <f>'Tabell 6'!AI49/('Tabell 6'!AI60+'Tabell 6'!AI61)*100</f>
        <v>3.0422761808042234</v>
      </c>
      <c r="G28" s="252">
        <f>'Tabell 6'!AJ49/('Tabell 6'!AJ60+'Tabell 6'!AJ61)*100</f>
        <v>2.7149270208449074</v>
      </c>
      <c r="H28" s="251">
        <f t="shared" si="1"/>
        <v>-10.8</v>
      </c>
      <c r="I28" s="621"/>
      <c r="J28" s="667"/>
      <c r="K28" s="668"/>
      <c r="L28" s="668"/>
      <c r="M28" s="668"/>
    </row>
    <row r="29" spans="1:13" ht="18.75" customHeight="1" x14ac:dyDescent="0.3">
      <c r="A29" s="92" t="s">
        <v>147</v>
      </c>
      <c r="B29" s="89">
        <f>'Tabell 6'!AI53+'Tabell 6'!AI57</f>
        <v>3879.7186309400004</v>
      </c>
      <c r="C29" s="89">
        <f>'Tabell 6'!AJ53+'Tabell 6'!AJ57</f>
        <v>3552.5356479799993</v>
      </c>
      <c r="D29" s="252">
        <f t="shared" si="0"/>
        <v>-8.4</v>
      </c>
      <c r="E29" s="252"/>
      <c r="F29" s="252">
        <f>('Tabell 6'!AI53+'Tabell 6'!AI57)/('Tabell 6'!AI60+'Tabell 6'!AI61)*100</f>
        <v>0.67032210675916315</v>
      </c>
      <c r="G29" s="252">
        <f>('Tabell 6'!AJ53+'Tabell 6'!AJ57)/('Tabell 6'!AJ60+'Tabell 6'!AJ61)*100</f>
        <v>0.50067833274136364</v>
      </c>
      <c r="H29" s="251">
        <f t="shared" si="1"/>
        <v>-25.3</v>
      </c>
      <c r="I29" s="621"/>
      <c r="J29" s="667"/>
      <c r="K29" s="667"/>
      <c r="L29" s="667"/>
      <c r="M29" s="668"/>
    </row>
    <row r="30" spans="1:13" ht="18.75" customHeight="1" x14ac:dyDescent="0.3">
      <c r="A30" s="91" t="s">
        <v>148</v>
      </c>
      <c r="B30" s="162">
        <f>'Tabell 6'!AI58+'Tabell 6'!AI59+'Tabell 6'!AI61</f>
        <v>912.25533052999992</v>
      </c>
      <c r="C30" s="162">
        <f>'Tabell 6'!AJ58+'Tabell 6'!AJ59+'Tabell 6'!AJ61</f>
        <v>462.29102482275579</v>
      </c>
      <c r="D30" s="622">
        <f t="shared" si="0"/>
        <v>-49.3</v>
      </c>
      <c r="E30" s="622"/>
      <c r="F30" s="622">
        <f>('Tabell 6'!AI58+'Tabell 6'!AI59+'Tabell 6'!AI61)/('Tabell 6'!AI60+'Tabell 6'!AI61)*100</f>
        <v>0.15761578950249475</v>
      </c>
      <c r="G30" s="622">
        <f>('Tabell 6'!AJ58+'Tabell 6'!AJ59+'Tabell 6'!AJ61)/('Tabell 6'!AJ60+'Tabell 6'!AJ61)*100</f>
        <v>6.5153209562066813E-2</v>
      </c>
      <c r="H30" s="251">
        <f t="shared" si="1"/>
        <v>-58.7</v>
      </c>
      <c r="I30" s="621"/>
      <c r="J30" s="58"/>
    </row>
    <row r="31" spans="1:13" ht="18.75" customHeight="1" x14ac:dyDescent="0.3">
      <c r="A31" s="92"/>
      <c r="B31" s="162"/>
      <c r="C31" s="162"/>
      <c r="D31" s="252"/>
      <c r="E31" s="252"/>
      <c r="F31" s="252"/>
      <c r="G31" s="622"/>
      <c r="H31" s="251"/>
      <c r="I31" s="621"/>
      <c r="J31" s="58"/>
    </row>
    <row r="32" spans="1:13" ht="18.75" customHeight="1" x14ac:dyDescent="0.3">
      <c r="A32" s="680" t="s">
        <v>2</v>
      </c>
      <c r="B32" s="623">
        <f>SUM(B33:B38)</f>
        <v>2086936.6603782456</v>
      </c>
      <c r="C32" s="623">
        <f>SUM(C33:C38)</f>
        <v>2297193.6982350405</v>
      </c>
      <c r="D32" s="624">
        <f t="shared" si="0"/>
        <v>10.1</v>
      </c>
      <c r="E32" s="624"/>
      <c r="F32" s="624">
        <f>SUM(F33:F38)</f>
        <v>100</v>
      </c>
      <c r="G32" s="624">
        <f>SUM(G33:G38)</f>
        <v>100</v>
      </c>
      <c r="H32" s="249">
        <f t="shared" si="1"/>
        <v>0</v>
      </c>
      <c r="I32" s="621"/>
      <c r="J32" s="58"/>
    </row>
    <row r="33" spans="1:10" ht="18.75" customHeight="1" x14ac:dyDescent="0.3">
      <c r="A33" s="92" t="s">
        <v>144</v>
      </c>
      <c r="B33" s="89">
        <f t="shared" ref="B33:C38" si="2">B9+B17+B25</f>
        <v>668001.9669047225</v>
      </c>
      <c r="C33" s="89">
        <f t="shared" si="2"/>
        <v>825988.45864662598</v>
      </c>
      <c r="D33" s="252">
        <f t="shared" si="0"/>
        <v>23.7</v>
      </c>
      <c r="E33" s="252"/>
      <c r="F33" s="252">
        <f>B33/B32*100</f>
        <v>32.008732204821726</v>
      </c>
      <c r="G33" s="252">
        <f>C33/C32*100</f>
        <v>35.956413221977847</v>
      </c>
      <c r="H33" s="251">
        <f t="shared" si="1"/>
        <v>12.3</v>
      </c>
      <c r="I33" s="621"/>
      <c r="J33" s="58"/>
    </row>
    <row r="34" spans="1:10" ht="18.75" x14ac:dyDescent="0.3">
      <c r="A34" s="678" t="s">
        <v>416</v>
      </c>
      <c r="B34" s="89">
        <f t="shared" si="2"/>
        <v>527158.52920095623</v>
      </c>
      <c r="C34" s="89">
        <f t="shared" si="2"/>
        <v>624910.49968453532</v>
      </c>
      <c r="D34" s="252">
        <f t="shared" si="0"/>
        <v>18.5</v>
      </c>
      <c r="E34" s="252"/>
      <c r="F34" s="252">
        <f>B34/B32*100</f>
        <v>25.259919920397184</v>
      </c>
      <c r="G34" s="252">
        <f>C34/C32*100</f>
        <v>27.203213214656692</v>
      </c>
      <c r="H34" s="251">
        <f t="shared" si="1"/>
        <v>7.7</v>
      </c>
      <c r="I34" s="621"/>
      <c r="J34" s="58"/>
    </row>
    <row r="35" spans="1:10" ht="18.75" customHeight="1" x14ac:dyDescent="0.3">
      <c r="A35" s="177" t="s">
        <v>145</v>
      </c>
      <c r="B35" s="87">
        <f t="shared" si="2"/>
        <v>1404.3727605600002</v>
      </c>
      <c r="C35" s="87">
        <f t="shared" si="2"/>
        <v>1333.3062755600001</v>
      </c>
      <c r="D35" s="250">
        <f t="shared" si="0"/>
        <v>-5.0999999999999996</v>
      </c>
      <c r="E35" s="250"/>
      <c r="F35" s="250">
        <f>B35/B32*100</f>
        <v>6.7293501869168632E-2</v>
      </c>
      <c r="G35" s="250">
        <f>C35/C32*100</f>
        <v>5.8040655282329656E-2</v>
      </c>
      <c r="H35" s="251">
        <f t="shared" si="1"/>
        <v>-13.7</v>
      </c>
      <c r="I35" s="621"/>
      <c r="J35" s="58"/>
    </row>
    <row r="36" spans="1:10" ht="18.75" customHeight="1" x14ac:dyDescent="0.3">
      <c r="A36" s="177" t="s">
        <v>146</v>
      </c>
      <c r="B36" s="87">
        <f t="shared" si="2"/>
        <v>221941.91635196703</v>
      </c>
      <c r="C36" s="87">
        <f t="shared" si="2"/>
        <v>211998.82538813198</v>
      </c>
      <c r="D36" s="250">
        <f t="shared" si="0"/>
        <v>-4.5</v>
      </c>
      <c r="E36" s="250"/>
      <c r="F36" s="250">
        <f>B36/B32*100</f>
        <v>10.634818035720418</v>
      </c>
      <c r="G36" s="250">
        <f>C36/C32*100</f>
        <v>9.2286003374906098</v>
      </c>
      <c r="H36" s="251">
        <f t="shared" si="1"/>
        <v>-13.2</v>
      </c>
      <c r="I36" s="621"/>
      <c r="J36" s="58"/>
    </row>
    <row r="37" spans="1:10" ht="18.75" customHeight="1" x14ac:dyDescent="0.3">
      <c r="A37" s="177" t="s">
        <v>147</v>
      </c>
      <c r="B37" s="87">
        <f t="shared" si="2"/>
        <v>593966.48114025989</v>
      </c>
      <c r="C37" s="87">
        <f t="shared" si="2"/>
        <v>566876.89594919013</v>
      </c>
      <c r="D37" s="250">
        <f t="shared" si="0"/>
        <v>-4.5999999999999996</v>
      </c>
      <c r="E37" s="250"/>
      <c r="F37" s="250">
        <f>B37/B32*100</f>
        <v>28.461164750089097</v>
      </c>
      <c r="G37" s="250">
        <f>C37/C32*100</f>
        <v>24.676930656075193</v>
      </c>
      <c r="H37" s="251">
        <f t="shared" si="1"/>
        <v>-13.3</v>
      </c>
      <c r="I37" s="621"/>
      <c r="J37" s="58"/>
    </row>
    <row r="38" spans="1:10" ht="18.75" customHeight="1" x14ac:dyDescent="0.3">
      <c r="A38" s="253" t="s">
        <v>148</v>
      </c>
      <c r="B38" s="254">
        <f t="shared" si="2"/>
        <v>74463.394019779997</v>
      </c>
      <c r="C38" s="254">
        <f t="shared" si="2"/>
        <v>66085.71229099718</v>
      </c>
      <c r="D38" s="255">
        <f t="shared" si="0"/>
        <v>-11.3</v>
      </c>
      <c r="E38" s="250"/>
      <c r="F38" s="255">
        <f>B38/B32*100</f>
        <v>3.5680715871024051</v>
      </c>
      <c r="G38" s="255">
        <f>C38/C32*100</f>
        <v>2.8768019145173334</v>
      </c>
      <c r="H38" s="256">
        <f t="shared" si="1"/>
        <v>-19.399999999999999</v>
      </c>
      <c r="I38" s="621"/>
      <c r="J38" s="58"/>
    </row>
    <row r="39" spans="1:10" ht="18.75" customHeight="1" x14ac:dyDescent="0.3">
      <c r="A39" s="58"/>
      <c r="B39" s="58"/>
      <c r="C39" s="58"/>
      <c r="D39" s="58"/>
      <c r="E39" s="58"/>
      <c r="F39" s="621"/>
      <c r="G39" s="621"/>
      <c r="H39" s="621"/>
      <c r="I39" s="621"/>
      <c r="J39" s="58"/>
    </row>
    <row r="40" spans="1:10" ht="18.75" customHeight="1" x14ac:dyDescent="0.3">
      <c r="A40" s="58" t="s">
        <v>151</v>
      </c>
      <c r="B40" s="58"/>
      <c r="C40" s="58"/>
      <c r="D40" s="58"/>
      <c r="E40" s="58"/>
      <c r="F40" s="621"/>
      <c r="G40" s="621"/>
      <c r="H40" s="621"/>
      <c r="I40" s="621"/>
      <c r="J40" s="58"/>
    </row>
    <row r="41" spans="1:10" ht="18.75" x14ac:dyDescent="0.3">
      <c r="A41" s="58" t="s">
        <v>95</v>
      </c>
      <c r="B41" s="58"/>
      <c r="C41" s="58"/>
      <c r="D41" s="58"/>
      <c r="E41" s="58"/>
      <c r="F41" s="58"/>
      <c r="G41" s="58"/>
      <c r="H41" s="58"/>
      <c r="I41" s="58"/>
      <c r="J41" s="58"/>
    </row>
    <row r="42" spans="1:10" ht="18.75" x14ac:dyDescent="0.3">
      <c r="A42" s="58"/>
      <c r="B42" s="58"/>
      <c r="C42" s="58"/>
      <c r="D42" s="58"/>
      <c r="E42" s="58"/>
      <c r="G42" s="58"/>
      <c r="H42" s="58"/>
      <c r="I42" s="58"/>
      <c r="J42" s="58"/>
    </row>
    <row r="43" spans="1:10" ht="18.75" x14ac:dyDescent="0.3">
      <c r="A43" s="58"/>
      <c r="B43" s="58"/>
      <c r="C43" s="58"/>
      <c r="D43" s="58"/>
      <c r="E43" s="58"/>
      <c r="F43" s="58"/>
      <c r="G43" s="58"/>
      <c r="H43" s="58"/>
      <c r="I43" s="58"/>
      <c r="J43" s="58"/>
    </row>
    <row r="44" spans="1:10" ht="18.75" x14ac:dyDescent="0.3">
      <c r="A44" s="58"/>
      <c r="B44" s="58"/>
      <c r="C44" s="58"/>
      <c r="D44" s="58"/>
      <c r="E44" s="58"/>
      <c r="F44" s="58"/>
      <c r="G44" s="58"/>
      <c r="H44" s="58"/>
      <c r="I44" s="58"/>
      <c r="J44" s="58"/>
    </row>
    <row r="45" spans="1:10" ht="18.75" x14ac:dyDescent="0.3">
      <c r="A45" s="58"/>
      <c r="B45" s="58"/>
      <c r="C45" s="58"/>
      <c r="D45" s="58"/>
      <c r="E45" s="58"/>
      <c r="F45" s="58"/>
      <c r="G45" s="58"/>
      <c r="H45" s="58"/>
      <c r="I45" s="58"/>
      <c r="J45" s="58"/>
    </row>
    <row r="46" spans="1:10" ht="18.75" x14ac:dyDescent="0.3">
      <c r="A46" s="58"/>
      <c r="B46" s="58"/>
      <c r="C46" s="58"/>
      <c r="D46" s="58"/>
      <c r="E46" s="58"/>
      <c r="F46" s="58"/>
      <c r="G46" s="58"/>
      <c r="H46" s="58"/>
      <c r="I46" s="58"/>
      <c r="J46" s="58"/>
    </row>
    <row r="47" spans="1:10" ht="18.75" x14ac:dyDescent="0.3">
      <c r="A47" s="58"/>
      <c r="B47" s="58"/>
      <c r="C47" s="58"/>
      <c r="D47" s="58"/>
      <c r="E47" s="58"/>
      <c r="F47" s="58"/>
      <c r="G47" s="58"/>
      <c r="H47" s="58"/>
      <c r="I47" s="58"/>
      <c r="J47" s="58"/>
    </row>
    <row r="48" spans="1:10" ht="18.75" x14ac:dyDescent="0.3">
      <c r="A48" s="58"/>
      <c r="B48" s="58"/>
      <c r="C48" s="58"/>
      <c r="D48" s="58"/>
      <c r="E48" s="58"/>
      <c r="F48" s="58"/>
      <c r="G48" s="58"/>
      <c r="H48" s="58"/>
      <c r="I48" s="58"/>
      <c r="J48" s="58"/>
    </row>
    <row r="49" spans="1:10" ht="18.75" x14ac:dyDescent="0.3">
      <c r="A49" s="58"/>
      <c r="B49" s="58"/>
      <c r="C49" s="58"/>
      <c r="D49" s="58"/>
      <c r="E49" s="58"/>
      <c r="F49" s="58"/>
      <c r="G49" s="58"/>
      <c r="H49" s="58"/>
      <c r="I49" s="58"/>
      <c r="J49" s="58"/>
    </row>
    <row r="50" spans="1:10" ht="18.75" x14ac:dyDescent="0.3">
      <c r="A50" s="58"/>
      <c r="B50" s="58"/>
      <c r="C50" s="58"/>
      <c r="D50" s="58"/>
      <c r="E50" s="58"/>
      <c r="F50" s="58"/>
      <c r="G50" s="58"/>
      <c r="H50" s="58"/>
      <c r="I50" s="58"/>
      <c r="J50" s="58"/>
    </row>
    <row r="51" spans="1:10" ht="18.75" x14ac:dyDescent="0.3">
      <c r="A51" s="58"/>
      <c r="B51" s="58"/>
      <c r="C51" s="58"/>
      <c r="D51" s="58"/>
      <c r="E51" s="58"/>
      <c r="F51" s="58"/>
      <c r="G51" s="58"/>
      <c r="H51" s="58"/>
      <c r="I51" s="58"/>
      <c r="J51" s="58"/>
    </row>
    <row r="52" spans="1:10" ht="18.75" x14ac:dyDescent="0.3">
      <c r="A52" s="58"/>
      <c r="B52" s="58"/>
      <c r="C52" s="58"/>
      <c r="D52" s="58"/>
      <c r="E52" s="58"/>
      <c r="F52" s="58"/>
      <c r="G52" s="58"/>
      <c r="H52" s="58"/>
      <c r="I52" s="58"/>
      <c r="J52" s="58"/>
    </row>
    <row r="53" spans="1:10" ht="18.75" x14ac:dyDescent="0.3">
      <c r="A53" s="58"/>
      <c r="B53" s="58"/>
      <c r="C53" s="58"/>
      <c r="D53" s="58"/>
      <c r="E53" s="58"/>
      <c r="F53" s="58"/>
      <c r="G53" s="58"/>
      <c r="H53" s="58"/>
      <c r="I53" s="58"/>
      <c r="J53" s="58"/>
    </row>
    <row r="54" spans="1:10" ht="18.75" x14ac:dyDescent="0.3">
      <c r="A54" s="58"/>
      <c r="B54" s="58"/>
      <c r="C54" s="58"/>
      <c r="D54" s="58"/>
      <c r="E54" s="58"/>
      <c r="F54" s="58"/>
      <c r="G54" s="58"/>
      <c r="H54" s="58"/>
      <c r="I54" s="58"/>
      <c r="J54" s="58"/>
    </row>
    <row r="55" spans="1:10" ht="18.75" x14ac:dyDescent="0.3">
      <c r="A55" s="58"/>
      <c r="B55" s="58"/>
      <c r="C55" s="58"/>
      <c r="D55" s="58"/>
      <c r="E55" s="58"/>
      <c r="F55" s="58"/>
      <c r="G55" s="58"/>
      <c r="H55" s="58"/>
      <c r="I55" s="58"/>
      <c r="J55" s="58"/>
    </row>
    <row r="56" spans="1:10" ht="18.75" x14ac:dyDescent="0.3">
      <c r="A56" s="58"/>
      <c r="B56" s="58"/>
      <c r="C56" s="58"/>
      <c r="D56" s="58"/>
      <c r="E56" s="58"/>
      <c r="F56" s="58"/>
      <c r="G56" s="58"/>
      <c r="H56" s="58"/>
      <c r="I56" s="58"/>
      <c r="J56" s="58"/>
    </row>
    <row r="57" spans="1:10" ht="18.75" x14ac:dyDescent="0.3">
      <c r="A57" s="58"/>
      <c r="B57" s="58"/>
      <c r="C57" s="58"/>
      <c r="D57" s="58"/>
      <c r="E57" s="58"/>
      <c r="F57" s="58"/>
      <c r="G57" s="58"/>
      <c r="H57" s="58"/>
      <c r="I57" s="58"/>
      <c r="J57" s="58"/>
    </row>
    <row r="58" spans="1:10" ht="18.75" x14ac:dyDescent="0.3">
      <c r="A58" s="58"/>
      <c r="B58" s="58"/>
      <c r="C58" s="58"/>
      <c r="D58" s="58"/>
      <c r="E58" s="58"/>
      <c r="F58" s="58"/>
      <c r="G58" s="58"/>
      <c r="H58" s="58"/>
      <c r="I58" s="58"/>
      <c r="J58" s="58"/>
    </row>
    <row r="59" spans="1:10" ht="18.75" x14ac:dyDescent="0.3">
      <c r="A59" s="58"/>
      <c r="B59" s="58"/>
      <c r="C59" s="58"/>
      <c r="D59" s="58"/>
      <c r="E59" s="58"/>
      <c r="F59" s="58"/>
      <c r="G59" s="58"/>
      <c r="H59" s="58"/>
      <c r="I59" s="58"/>
      <c r="J59" s="58"/>
    </row>
    <row r="60" spans="1:10" ht="18.75" x14ac:dyDescent="0.3">
      <c r="A60" s="58"/>
      <c r="B60" s="58"/>
      <c r="C60" s="58"/>
      <c r="D60" s="58"/>
      <c r="E60" s="58"/>
      <c r="F60" s="58"/>
      <c r="G60" s="58"/>
      <c r="H60" s="58"/>
      <c r="I60" s="58"/>
      <c r="J60" s="58"/>
    </row>
    <row r="61" spans="1:10" ht="18.75" x14ac:dyDescent="0.3">
      <c r="A61" s="58"/>
      <c r="B61" s="58"/>
      <c r="C61" s="58"/>
      <c r="D61" s="58"/>
      <c r="E61" s="58"/>
      <c r="F61" s="58"/>
      <c r="G61" s="58"/>
      <c r="H61" s="58"/>
      <c r="I61" s="58"/>
      <c r="J61" s="58"/>
    </row>
    <row r="62" spans="1:10" ht="18.75" x14ac:dyDescent="0.3">
      <c r="A62" s="58"/>
      <c r="B62" s="58"/>
      <c r="C62" s="58"/>
      <c r="D62" s="58"/>
      <c r="E62" s="58"/>
      <c r="F62" s="58"/>
      <c r="G62" s="58"/>
      <c r="H62" s="58"/>
      <c r="I62" s="58"/>
      <c r="J62" s="58"/>
    </row>
    <row r="63" spans="1:10" ht="18.75" x14ac:dyDescent="0.3">
      <c r="A63" s="58"/>
      <c r="B63" s="58"/>
      <c r="C63" s="58"/>
      <c r="D63" s="58"/>
      <c r="E63" s="58"/>
      <c r="F63" s="58"/>
      <c r="G63" s="58"/>
      <c r="H63" s="58"/>
      <c r="I63" s="58"/>
      <c r="J63" s="58"/>
    </row>
    <row r="64" spans="1:10" ht="18.75" x14ac:dyDescent="0.3">
      <c r="A64" s="58"/>
      <c r="B64" s="58"/>
      <c r="C64" s="58"/>
      <c r="D64" s="58"/>
      <c r="E64" s="58"/>
      <c r="F64" s="58"/>
      <c r="G64" s="58"/>
      <c r="H64" s="58"/>
      <c r="I64" s="58"/>
      <c r="J64" s="58"/>
    </row>
    <row r="65" spans="1:10" ht="18.75" x14ac:dyDescent="0.3">
      <c r="A65" s="58"/>
      <c r="B65" s="58"/>
      <c r="C65" s="58"/>
      <c r="D65" s="58"/>
      <c r="E65" s="58"/>
      <c r="F65" s="58"/>
      <c r="G65" s="58"/>
      <c r="H65" s="58"/>
      <c r="I65" s="58"/>
      <c r="J65" s="58"/>
    </row>
    <row r="66" spans="1:10" ht="18.75" x14ac:dyDescent="0.3">
      <c r="A66" s="58"/>
      <c r="B66" s="58"/>
      <c r="C66" s="58"/>
      <c r="D66" s="58"/>
      <c r="E66" s="58"/>
      <c r="F66" s="58"/>
      <c r="G66" s="58"/>
      <c r="H66" s="58"/>
      <c r="I66" s="58"/>
      <c r="J66" s="58"/>
    </row>
    <row r="67" spans="1:10" ht="18.75" x14ac:dyDescent="0.3">
      <c r="A67" s="58"/>
      <c r="B67" s="58"/>
      <c r="C67" s="58"/>
      <c r="D67" s="58"/>
      <c r="E67" s="58"/>
      <c r="F67" s="58"/>
      <c r="G67" s="58"/>
      <c r="H67" s="58"/>
      <c r="I67" s="58"/>
      <c r="J67" s="58"/>
    </row>
    <row r="68" spans="1:10" ht="18.75" x14ac:dyDescent="0.3">
      <c r="A68" s="58"/>
      <c r="B68" s="58"/>
      <c r="C68" s="58"/>
      <c r="D68" s="58"/>
      <c r="E68" s="58"/>
      <c r="F68" s="58"/>
      <c r="G68" s="58"/>
      <c r="H68" s="58"/>
      <c r="I68" s="58"/>
      <c r="J68" s="58"/>
    </row>
    <row r="69" spans="1:10" ht="18.75" x14ac:dyDescent="0.3">
      <c r="A69" s="58"/>
      <c r="B69" s="58"/>
      <c r="C69" s="58"/>
      <c r="D69" s="58"/>
      <c r="E69" s="58"/>
      <c r="F69" s="58"/>
      <c r="G69" s="58"/>
      <c r="H69" s="58"/>
      <c r="I69" s="58"/>
      <c r="J69" s="58"/>
    </row>
    <row r="70" spans="1:10" ht="18.75" x14ac:dyDescent="0.3">
      <c r="A70" s="58"/>
      <c r="B70" s="58"/>
      <c r="C70" s="58"/>
      <c r="D70" s="58"/>
      <c r="E70" s="58"/>
      <c r="F70" s="58"/>
      <c r="G70" s="58"/>
      <c r="H70" s="58"/>
      <c r="I70" s="58"/>
      <c r="J70" s="58"/>
    </row>
    <row r="71" spans="1:10" ht="18.75" x14ac:dyDescent="0.3">
      <c r="A71" s="58"/>
      <c r="B71" s="58"/>
      <c r="C71" s="58"/>
      <c r="D71" s="58"/>
      <c r="E71" s="58"/>
      <c r="F71" s="58"/>
      <c r="G71" s="58"/>
      <c r="H71" s="58"/>
      <c r="I71" s="58"/>
      <c r="J71" s="58"/>
    </row>
    <row r="72" spans="1:10" ht="18.75" x14ac:dyDescent="0.3">
      <c r="A72" s="58"/>
      <c r="B72" s="58"/>
      <c r="C72" s="58"/>
      <c r="D72" s="58"/>
      <c r="E72" s="58"/>
      <c r="F72" s="58"/>
      <c r="G72" s="58"/>
      <c r="H72" s="58"/>
      <c r="I72" s="58"/>
      <c r="J72" s="58"/>
    </row>
    <row r="73" spans="1:10" ht="18.75" x14ac:dyDescent="0.3">
      <c r="A73" s="58"/>
      <c r="B73" s="58"/>
      <c r="C73" s="58"/>
      <c r="D73" s="58"/>
      <c r="E73" s="58"/>
      <c r="F73" s="58"/>
      <c r="G73" s="58"/>
      <c r="H73" s="58"/>
      <c r="I73" s="58"/>
      <c r="J73" s="58"/>
    </row>
    <row r="74" spans="1:10" ht="18.75" x14ac:dyDescent="0.3">
      <c r="A74" s="58"/>
      <c r="B74" s="58"/>
      <c r="C74" s="58"/>
      <c r="D74" s="58"/>
      <c r="E74" s="58"/>
      <c r="F74" s="58"/>
      <c r="G74" s="58"/>
      <c r="H74" s="58"/>
      <c r="I74" s="58"/>
      <c r="J74" s="58"/>
    </row>
    <row r="75" spans="1:10" ht="18.75" x14ac:dyDescent="0.3">
      <c r="A75" s="58"/>
      <c r="B75" s="58"/>
      <c r="C75" s="58"/>
      <c r="D75" s="58"/>
      <c r="E75" s="58"/>
      <c r="F75" s="58"/>
      <c r="G75" s="58"/>
      <c r="H75" s="58"/>
      <c r="I75" s="58"/>
      <c r="J75" s="58"/>
    </row>
    <row r="76" spans="1:10" ht="18.75" x14ac:dyDescent="0.3">
      <c r="A76" s="58"/>
      <c r="B76" s="58"/>
      <c r="C76" s="58"/>
      <c r="D76" s="58"/>
      <c r="E76" s="58"/>
      <c r="F76" s="58"/>
      <c r="G76" s="58"/>
      <c r="H76" s="58"/>
      <c r="I76" s="58"/>
      <c r="J76" s="58"/>
    </row>
    <row r="77" spans="1:10" ht="18.75" x14ac:dyDescent="0.3">
      <c r="A77" s="58"/>
      <c r="B77" s="58"/>
      <c r="C77" s="58"/>
      <c r="D77" s="58"/>
      <c r="E77" s="58"/>
      <c r="F77" s="58"/>
      <c r="G77" s="58"/>
      <c r="H77" s="58"/>
      <c r="I77" s="58"/>
      <c r="J77" s="58"/>
    </row>
    <row r="78" spans="1:10" ht="18.75" x14ac:dyDescent="0.3">
      <c r="A78" s="58"/>
      <c r="B78" s="58"/>
      <c r="C78" s="58"/>
      <c r="D78" s="58"/>
      <c r="E78" s="58"/>
      <c r="F78" s="58"/>
      <c r="G78" s="58"/>
      <c r="H78" s="58"/>
      <c r="I78" s="58"/>
      <c r="J78" s="58"/>
    </row>
    <row r="79" spans="1:10" ht="18.75" x14ac:dyDescent="0.3">
      <c r="A79" s="58"/>
      <c r="B79" s="58"/>
      <c r="C79" s="58"/>
      <c r="D79" s="58"/>
      <c r="E79" s="58"/>
      <c r="F79" s="58"/>
      <c r="G79" s="58"/>
      <c r="H79" s="58"/>
      <c r="I79" s="58"/>
      <c r="J79" s="58"/>
    </row>
    <row r="80" spans="1:10" ht="18.75" x14ac:dyDescent="0.3">
      <c r="A80" s="58"/>
      <c r="B80" s="58"/>
      <c r="C80" s="58"/>
      <c r="D80" s="58"/>
      <c r="E80" s="58"/>
      <c r="F80" s="58"/>
      <c r="G80" s="58"/>
      <c r="H80" s="58"/>
      <c r="I80" s="58"/>
      <c r="J80" s="58"/>
    </row>
    <row r="81" spans="1:10" ht="18.75" x14ac:dyDescent="0.3">
      <c r="A81" s="58"/>
      <c r="B81" s="58"/>
      <c r="C81" s="58"/>
      <c r="D81" s="58"/>
      <c r="E81" s="58"/>
      <c r="F81" s="58"/>
      <c r="G81" s="58"/>
      <c r="H81" s="58"/>
      <c r="I81" s="58"/>
      <c r="J81" s="58"/>
    </row>
    <row r="82" spans="1:10" ht="18.75" x14ac:dyDescent="0.3">
      <c r="A82" s="58"/>
      <c r="B82" s="58"/>
      <c r="C82" s="58"/>
      <c r="D82" s="58"/>
      <c r="E82" s="58"/>
      <c r="F82" s="58"/>
      <c r="G82" s="58"/>
      <c r="H82" s="58"/>
      <c r="I82" s="58"/>
      <c r="J82" s="58"/>
    </row>
    <row r="83" spans="1:10" ht="18.75" x14ac:dyDescent="0.3">
      <c r="A83" s="58"/>
      <c r="B83" s="58"/>
      <c r="C83" s="58"/>
      <c r="D83" s="58"/>
      <c r="E83" s="58"/>
      <c r="F83" s="58"/>
      <c r="G83" s="58"/>
      <c r="H83" s="58"/>
      <c r="I83" s="58"/>
      <c r="J83" s="58"/>
    </row>
    <row r="84" spans="1:10" ht="18.75" x14ac:dyDescent="0.3">
      <c r="A84" s="58"/>
      <c r="B84" s="58"/>
      <c r="C84" s="58"/>
      <c r="D84" s="58"/>
      <c r="E84" s="58"/>
      <c r="F84" s="58"/>
      <c r="G84" s="58"/>
      <c r="H84" s="58"/>
      <c r="I84" s="58"/>
      <c r="J84" s="58"/>
    </row>
    <row r="85" spans="1:10" ht="18.75" x14ac:dyDescent="0.3">
      <c r="A85" s="58"/>
      <c r="B85" s="58"/>
      <c r="C85" s="58"/>
      <c r="D85" s="58"/>
      <c r="E85" s="58"/>
      <c r="F85" s="58"/>
      <c r="G85" s="58"/>
      <c r="H85" s="58"/>
      <c r="I85" s="58"/>
      <c r="J85" s="58"/>
    </row>
    <row r="86" spans="1:10" ht="18.75" x14ac:dyDescent="0.3">
      <c r="A86" s="58"/>
      <c r="B86" s="58"/>
      <c r="C86" s="58"/>
      <c r="D86" s="58"/>
      <c r="E86" s="58"/>
      <c r="F86" s="58"/>
      <c r="G86" s="58"/>
      <c r="H86" s="58"/>
      <c r="I86" s="58"/>
      <c r="J86" s="58"/>
    </row>
    <row r="87" spans="1:10" ht="18.75" x14ac:dyDescent="0.3">
      <c r="A87" s="58"/>
      <c r="B87" s="58"/>
      <c r="C87" s="58"/>
      <c r="D87" s="58"/>
      <c r="E87" s="58"/>
      <c r="F87" s="58"/>
      <c r="G87" s="58"/>
      <c r="H87" s="58"/>
      <c r="I87" s="58"/>
      <c r="J87" s="58"/>
    </row>
    <row r="88" spans="1:10" ht="18.75" x14ac:dyDescent="0.3">
      <c r="A88" s="58"/>
      <c r="B88" s="58"/>
      <c r="C88" s="58"/>
      <c r="D88" s="58"/>
      <c r="E88" s="58"/>
      <c r="F88" s="58"/>
      <c r="G88" s="58"/>
      <c r="H88" s="58"/>
      <c r="I88" s="58"/>
      <c r="J88" s="58"/>
    </row>
    <row r="89" spans="1:10" ht="18.75" x14ac:dyDescent="0.3">
      <c r="A89" s="58"/>
      <c r="B89" s="58"/>
      <c r="C89" s="58"/>
      <c r="D89" s="58"/>
      <c r="E89" s="58"/>
      <c r="F89" s="58"/>
      <c r="G89" s="58"/>
      <c r="H89" s="58"/>
      <c r="I89" s="58"/>
      <c r="J89" s="58"/>
    </row>
    <row r="90" spans="1:10" ht="18.75" x14ac:dyDescent="0.3">
      <c r="A90" s="58"/>
      <c r="B90" s="58"/>
      <c r="C90" s="58"/>
      <c r="D90" s="58"/>
      <c r="E90" s="58"/>
      <c r="F90" s="58"/>
      <c r="G90" s="58"/>
      <c r="H90" s="58"/>
      <c r="I90" s="58"/>
      <c r="J90" s="58"/>
    </row>
    <row r="91" spans="1:10" ht="18.75" x14ac:dyDescent="0.3">
      <c r="A91" s="58"/>
      <c r="B91" s="58"/>
      <c r="C91" s="58"/>
      <c r="D91" s="58"/>
      <c r="E91" s="58"/>
      <c r="F91" s="58"/>
      <c r="G91" s="58"/>
      <c r="H91" s="58"/>
      <c r="I91" s="58"/>
      <c r="J91" s="58"/>
    </row>
    <row r="92" spans="1:10" ht="18.75" x14ac:dyDescent="0.3">
      <c r="A92" s="58"/>
      <c r="B92" s="58"/>
      <c r="C92" s="58"/>
      <c r="D92" s="58"/>
      <c r="E92" s="58"/>
      <c r="F92" s="58"/>
      <c r="G92" s="58"/>
      <c r="H92" s="58"/>
      <c r="I92" s="58"/>
      <c r="J92" s="58"/>
    </row>
  </sheetData>
  <mergeCells count="4">
    <mergeCell ref="B4:D4"/>
    <mergeCell ref="F4:H4"/>
    <mergeCell ref="B5:D5"/>
    <mergeCell ref="F5:H5"/>
  </mergeCells>
  <hyperlinks>
    <hyperlink ref="B1" location="Innhold!A1" display="Tilbake" xr:uid="{F3E75261-2AE4-411B-B0FA-C74A0CB898BF}"/>
  </hyperlinks>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N303"/>
  <sheetViews>
    <sheetView showGridLines="0" showZeros="0" zoomScaleNormal="100" zoomScaleSheetLayoutView="80" workbookViewId="0">
      <pane xSplit="1" ySplit="1" topLeftCell="B2" activePane="bottomRight" state="frozen"/>
      <selection activeCell="B30" sqref="B30"/>
      <selection pane="topRight" activeCell="B30" sqref="B30"/>
      <selection pane="bottomLeft" activeCell="B30" sqref="B30"/>
      <selection pane="bottomRight"/>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4" ht="15.75" customHeight="1" x14ac:dyDescent="0.2">
      <c r="A1" s="335">
        <v>4</v>
      </c>
      <c r="B1" s="4"/>
      <c r="C1" s="4"/>
      <c r="D1" s="4"/>
      <c r="E1" s="4"/>
      <c r="F1" s="4"/>
      <c r="G1" s="4"/>
      <c r="H1" s="4"/>
      <c r="I1" s="4"/>
      <c r="J1" s="4"/>
    </row>
    <row r="2" spans="1:14" ht="15.75" customHeight="1" x14ac:dyDescent="0.25">
      <c r="A2" s="149" t="s">
        <v>28</v>
      </c>
      <c r="B2" s="699"/>
      <c r="C2" s="699"/>
      <c r="D2" s="699"/>
      <c r="E2" s="699"/>
      <c r="F2" s="699"/>
      <c r="G2" s="699"/>
      <c r="H2" s="699"/>
      <c r="I2" s="699"/>
      <c r="J2" s="699"/>
    </row>
    <row r="3" spans="1:14" ht="15.75" customHeight="1" x14ac:dyDescent="0.25">
      <c r="A3" s="147"/>
      <c r="B3" s="282"/>
      <c r="C3" s="282"/>
      <c r="D3" s="282"/>
      <c r="E3" s="282"/>
      <c r="F3" s="282"/>
      <c r="G3" s="282"/>
      <c r="H3" s="282"/>
      <c r="I3" s="282"/>
      <c r="J3" s="282"/>
    </row>
    <row r="4" spans="1:14" ht="15.75" customHeight="1" x14ac:dyDescent="0.2">
      <c r="A4" s="128"/>
      <c r="B4" s="700" t="s">
        <v>0</v>
      </c>
      <c r="C4" s="701"/>
      <c r="D4" s="701"/>
      <c r="E4" s="700" t="s">
        <v>1</v>
      </c>
      <c r="F4" s="701"/>
      <c r="G4" s="701"/>
      <c r="H4" s="700" t="s">
        <v>2</v>
      </c>
      <c r="I4" s="701"/>
      <c r="J4" s="702"/>
    </row>
    <row r="5" spans="1:14" ht="15.75" customHeight="1" x14ac:dyDescent="0.2">
      <c r="A5" s="142"/>
      <c r="B5" s="20" t="s">
        <v>421</v>
      </c>
      <c r="C5" s="20" t="s">
        <v>422</v>
      </c>
      <c r="D5" s="234" t="s">
        <v>3</v>
      </c>
      <c r="E5" s="20" t="s">
        <v>421</v>
      </c>
      <c r="F5" s="20" t="s">
        <v>422</v>
      </c>
      <c r="G5" s="234" t="s">
        <v>3</v>
      </c>
      <c r="H5" s="20" t="s">
        <v>421</v>
      </c>
      <c r="I5" s="20" t="s">
        <v>422</v>
      </c>
      <c r="J5" s="234" t="s">
        <v>3</v>
      </c>
      <c r="M5" s="3"/>
      <c r="N5" s="3"/>
    </row>
    <row r="6" spans="1:14" ht="15.75" customHeight="1" x14ac:dyDescent="0.2">
      <c r="A6" s="681"/>
      <c r="B6" s="15"/>
      <c r="C6" s="15"/>
      <c r="D6" s="17" t="s">
        <v>4</v>
      </c>
      <c r="E6" s="16"/>
      <c r="F6" s="16"/>
      <c r="G6" s="15" t="s">
        <v>4</v>
      </c>
      <c r="H6" s="16"/>
      <c r="I6" s="16"/>
      <c r="J6" s="15" t="s">
        <v>4</v>
      </c>
      <c r="M6" s="314"/>
      <c r="N6" s="3"/>
    </row>
    <row r="7" spans="1:14" s="43" customFormat="1" ht="15.75" customHeight="1" x14ac:dyDescent="0.2">
      <c r="A7" s="14" t="s">
        <v>23</v>
      </c>
      <c r="B7" s="219">
        <f>'Fremtind Livsforsikring'!B7+'DNB Livsforsikring'!B7+'Eika Forsikring AS'!B7+'Frende Livsforsikring'!B7+'Frende Skadeforsikring'!B7+'Gjensidige Forsikring'!B7+'Gjensidige Pensjon'!B7+'If Skadeforsikring NUF'!B7+KLP!B7+'KLP Skadeforsikring AS'!B7+'Landkreditt Forsikring'!B7+'Nordea Liv '!B7+'Oslo Pensjonsforsikring'!B7+'Protector Forsikring'!B7+'Sparebank 1'!B7+'Storebrand Livsforsikring'!B7+'Telenor Forsikring'!B7+'Tryg Forsikring'!B7+'WaterCircles F'!B7+'Euro Accident'!B7+'Ly Forsikring'!B7+'Youplus Livsforsikring'!B7+'Oslo Forsikring'!B7</f>
        <v>1889203.174898416</v>
      </c>
      <c r="C7" s="219">
        <f>'Fremtind Livsforsikring'!C7+'DNB Livsforsikring'!C7+'Eika Forsikring AS'!C7+'Frende Livsforsikring'!C7+'Frende Skadeforsikring'!C7+'Gjensidige Forsikring'!C7+'Gjensidige Pensjon'!C7+'If Skadeforsikring NUF'!C7+KLP!C7+'KLP Skadeforsikring AS'!C7+'Landkreditt Forsikring'!C7+'Nordea Liv '!C7+'Oslo Pensjonsforsikring'!C7+'Protector Forsikring'!C7+'Sparebank 1'!C7+'Storebrand Livsforsikring'!C7+'Telenor Forsikring'!C7+'Tryg Forsikring'!C7+'WaterCircles F'!C7+'Euro Accident'!C7+'Ly Forsikring'!C7+'Youplus Livsforsikring'!C7+'Oslo Forsikring'!C7</f>
        <v>1916181.7461182389</v>
      </c>
      <c r="D7" s="144">
        <f t="shared" ref="D7:D11" si="0">IF(B7=0, "    ---- ", IF(ABS(ROUND(100/B7*C7-100,1))&lt;999,ROUND(100/B7*C7-100,1),IF(ROUND(100/B7*C7-100,1)&gt;999,999,-999)))</f>
        <v>1.4</v>
      </c>
      <c r="E7" s="219">
        <f>'Fremtind Livsforsikring'!F7+'DNB Livsforsikring'!F7+'Eika Forsikring AS'!F7+'Frende Livsforsikring'!F7+'Frende Skadeforsikring'!F7+'Gjensidige Forsikring'!F7+'Gjensidige Pensjon'!F7+'If Skadeforsikring NUF'!F7+KLP!F7+'KLP Skadeforsikring AS'!F7+'Landkreditt Forsikring'!F7+'Nordea Liv '!F7+'Oslo Pensjonsforsikring'!F7+'Protector Forsikring'!F7+'Sparebank 1'!F7+'Storebrand Livsforsikring'!F7+'Telenor Forsikring'!F7+'Tryg Forsikring'!F7+'WaterCircles F'!F7+'Euro Accident'!F7+'Ly Forsikring'!F7+'Youplus Livsforsikring'!F7+'Oslo Forsikring'!F7</f>
        <v>2702858.6687699999</v>
      </c>
      <c r="F7" s="219">
        <f>'Fremtind Livsforsikring'!G7+'DNB Livsforsikring'!G7+'Eika Forsikring AS'!G7+'Frende Livsforsikring'!G7+'Frende Skadeforsikring'!G7+'Gjensidige Forsikring'!G7+'Gjensidige Pensjon'!G7+'If Skadeforsikring NUF'!G7+KLP!G7+'KLP Skadeforsikring AS'!G7+'Landkreditt Forsikring'!G7+'Nordea Liv '!G7+'Oslo Pensjonsforsikring'!G7+'Protector Forsikring'!G7+'Sparebank 1'!G7+'Storebrand Livsforsikring'!G7+'Telenor Forsikring'!G7+'Tryg Forsikring'!G7+'WaterCircles F'!G7+'Euro Accident'!G7+'Ly Forsikring'!G7+'Youplus Livsforsikring'!G7+'Oslo Forsikring'!G7</f>
        <v>3913241.6555799996</v>
      </c>
      <c r="G7" s="144">
        <f t="shared" ref="G7:G12" si="1">IF(E7=0, "    ---- ", IF(ABS(ROUND(100/E7*F7-100,1))&lt;999,ROUND(100/E7*F7-100,1),IF(ROUND(100/E7*F7-100,1)&gt;999,999,-999)))</f>
        <v>44.8</v>
      </c>
      <c r="H7" s="262">
        <f t="shared" ref="H7:H12" si="2">B7+E7</f>
        <v>4592061.8436684161</v>
      </c>
      <c r="I7" s="263">
        <f t="shared" ref="I7:I12" si="3">C7+F7</f>
        <v>5829423.4016982382</v>
      </c>
      <c r="J7" s="155">
        <f t="shared" ref="J7:J12" si="4">IF(H7=0, "    ---- ", IF(ABS(ROUND(100/H7*I7-100,1))&lt;999,ROUND(100/H7*I7-100,1),IF(ROUND(100/H7*I7-100,1)&gt;999,999,-999)))</f>
        <v>26.9</v>
      </c>
      <c r="M7" s="397"/>
      <c r="N7" s="397"/>
    </row>
    <row r="8" spans="1:14" ht="15.75" customHeight="1" x14ac:dyDescent="0.2">
      <c r="A8" s="21" t="s">
        <v>25</v>
      </c>
      <c r="B8" s="44">
        <f>'Fremtind Livsforsikring'!B8+'DNB Livsforsikring'!B8+'Eika Forsikring AS'!B8+'Frende Livsforsikring'!B8+'Frende Skadeforsikring'!B8+'Gjensidige Forsikring'!B8+'Gjensidige Pensjon'!B8+'If Skadeforsikring NUF'!B8+KLP!B8+'KLP Skadeforsikring AS'!B8+'Landkreditt Forsikring'!B8+'Nordea Liv '!B8+'Oslo Pensjonsforsikring'!B8+'Protector Forsikring'!B8+'Sparebank 1'!B8+'Storebrand Livsforsikring'!B8+'Telenor Forsikring'!B8+'Tryg Forsikring'!B8+'WaterCircles F'!B8+'Euro Accident'!B8+'Ly Forsikring'!B8+'Youplus Livsforsikring'!B8+'Oslo Forsikring'!B8</f>
        <v>1219784.5800585281</v>
      </c>
      <c r="C8" s="44">
        <f>'Fremtind Livsforsikring'!C8+'DNB Livsforsikring'!C8+'Eika Forsikring AS'!C8+'Frende Livsforsikring'!C8+'Frende Skadeforsikring'!C8+'Gjensidige Forsikring'!C8+'Gjensidige Pensjon'!C8+'If Skadeforsikring NUF'!C8+KLP!C8+'KLP Skadeforsikring AS'!C8+'Landkreditt Forsikring'!C8+'Nordea Liv '!C8+'Oslo Pensjonsforsikring'!C8+'Protector Forsikring'!C8+'Sparebank 1'!C8+'Storebrand Livsforsikring'!C8+'Telenor Forsikring'!C8+'Tryg Forsikring'!C8+'WaterCircles F'!C8+'Euro Accident'!C8+'Ly Forsikring'!C8+'Youplus Livsforsikring'!C8+'Oslo Forsikring'!C8</f>
        <v>1293781.4133283962</v>
      </c>
      <c r="D8" s="150">
        <f t="shared" si="0"/>
        <v>6.1</v>
      </c>
      <c r="E8" s="171"/>
      <c r="F8" s="171"/>
      <c r="G8" s="160"/>
      <c r="H8" s="173">
        <f t="shared" si="2"/>
        <v>1219784.5800585281</v>
      </c>
      <c r="I8" s="174">
        <f t="shared" si="3"/>
        <v>1293781.4133283962</v>
      </c>
      <c r="J8" s="155">
        <f t="shared" si="4"/>
        <v>6.1</v>
      </c>
    </row>
    <row r="9" spans="1:14" ht="15.75" customHeight="1" x14ac:dyDescent="0.2">
      <c r="A9" s="21" t="s">
        <v>24</v>
      </c>
      <c r="B9" s="44">
        <f>'Fremtind Livsforsikring'!B9+'DNB Livsforsikring'!B9+'Eika Forsikring AS'!B9+'Frende Livsforsikring'!B9+'Frende Skadeforsikring'!B9+'Gjensidige Forsikring'!B9+'Gjensidige Pensjon'!B9+'If Skadeforsikring NUF'!B9+KLP!B9+'KLP Skadeforsikring AS'!B9+'Landkreditt Forsikring'!B9+'Nordea Liv '!B9+'Oslo Pensjonsforsikring'!B9+'Protector Forsikring'!B9+'Sparebank 1'!B9+'Storebrand Livsforsikring'!B9+'Telenor Forsikring'!B9+'Tryg Forsikring'!B9+'WaterCircles F'!B9+'Euro Accident'!B9+'Ly Forsikring'!B9+'Youplus Livsforsikring'!B9+'Oslo Forsikring'!B9</f>
        <v>436563.21536672104</v>
      </c>
      <c r="C9" s="44">
        <f>'Fremtind Livsforsikring'!C9+'DNB Livsforsikring'!C9+'Eika Forsikring AS'!C9+'Frende Livsforsikring'!C9+'Frende Skadeforsikring'!C9+'Gjensidige Forsikring'!C9+'Gjensidige Pensjon'!C9+'If Skadeforsikring NUF'!C9+KLP!C9+'KLP Skadeforsikring AS'!C9+'Landkreditt Forsikring'!C9+'Nordea Liv '!C9+'Oslo Pensjonsforsikring'!C9+'Protector Forsikring'!C9+'Sparebank 1'!C9+'Storebrand Livsforsikring'!C9+'Telenor Forsikring'!C9+'Tryg Forsikring'!C9+'WaterCircles F'!C9+'Euro Accident'!C9+'Ly Forsikring'!C9+'Youplus Livsforsikring'!C9+'Oslo Forsikring'!C9</f>
        <v>427647.49911893602</v>
      </c>
      <c r="D9" s="160">
        <f t="shared" si="0"/>
        <v>-2</v>
      </c>
      <c r="E9" s="171"/>
      <c r="F9" s="171"/>
      <c r="G9" s="160"/>
      <c r="H9" s="173">
        <f t="shared" si="2"/>
        <v>436563.21536672104</v>
      </c>
      <c r="I9" s="174">
        <f t="shared" si="3"/>
        <v>427647.49911893602</v>
      </c>
      <c r="J9" s="155">
        <f t="shared" si="4"/>
        <v>-2</v>
      </c>
    </row>
    <row r="10" spans="1:14" s="43" customFormat="1" ht="15.75" customHeight="1" x14ac:dyDescent="0.2">
      <c r="A10" s="39" t="s">
        <v>321</v>
      </c>
      <c r="B10" s="219">
        <f>'Fremtind Livsforsikring'!B10+'DNB Livsforsikring'!B10+'Eika Forsikring AS'!B10+'Frende Livsforsikring'!B10+'Frende Skadeforsikring'!B10+'Gjensidige Forsikring'!B10+'Gjensidige Pensjon'!B10+'If Skadeforsikring NUF'!B10+KLP!B10+'KLP Skadeforsikring AS'!B10+'Landkreditt Forsikring'!B10+'Nordea Liv '!B10+'Oslo Pensjonsforsikring'!B10+'Protector Forsikring'!B10+'Sparebank 1'!B10+'Storebrand Livsforsikring'!B10+'Telenor Forsikring'!B10+'Tryg Forsikring'!B10+'WaterCircles F'!B10+'Euro Accident'!B10+'Ly Forsikring'!B10+'Youplus Livsforsikring'!B10+'Oslo Forsikring'!B10</f>
        <v>14743723.623452533</v>
      </c>
      <c r="C10" s="219">
        <f>'Fremtind Livsforsikring'!C10+'DNB Livsforsikring'!C10+'Eika Forsikring AS'!C10+'Frende Livsforsikring'!C10+'Frende Skadeforsikring'!C10+'Gjensidige Forsikring'!C10+'Gjensidige Pensjon'!C10+'If Skadeforsikring NUF'!C10+KLP!C10+'KLP Skadeforsikring AS'!C10+'Landkreditt Forsikring'!C10+'Nordea Liv '!C10+'Oslo Pensjonsforsikring'!C10+'Protector Forsikring'!C10+'Sparebank 1'!C10+'Storebrand Livsforsikring'!C10+'Telenor Forsikring'!C10+'Tryg Forsikring'!C10+'WaterCircles F'!C10+'Euro Accident'!C10+'Ly Forsikring'!C10+'Youplus Livsforsikring'!C10+'Oslo Forsikring'!C10</f>
        <v>13529692.333618596</v>
      </c>
      <c r="D10" s="144">
        <f t="shared" si="0"/>
        <v>-8.1999999999999993</v>
      </c>
      <c r="E10" s="219">
        <f>'Fremtind Livsforsikring'!F10+'DNB Livsforsikring'!F10+'Eika Forsikring AS'!F10+'Frende Livsforsikring'!F10+'Frende Skadeforsikring'!F10+'Gjensidige Forsikring'!F10+'Gjensidige Pensjon'!F10+'If Skadeforsikring NUF'!F10+KLP!F10+'KLP Skadeforsikring AS'!F10+'Landkreditt Forsikring'!F10+'Nordea Liv '!F10+'Oslo Pensjonsforsikring'!F10+'Protector Forsikring'!F10+'Sparebank 1'!F10+'Storebrand Livsforsikring'!F10+'Telenor Forsikring'!F10+'Tryg Forsikring'!F10+'WaterCircles F'!F10+'Euro Accident'!F10+'Ly Forsikring'!F10+'Youplus Livsforsikring'!F10+'Oslo Forsikring'!F10</f>
        <v>75526249.806690007</v>
      </c>
      <c r="F10" s="219">
        <f>'Fremtind Livsforsikring'!G10+'DNB Livsforsikring'!G10+'Eika Forsikring AS'!G10+'Frende Livsforsikring'!G10+'Frende Skadeforsikring'!G10+'Gjensidige Forsikring'!G10+'Gjensidige Pensjon'!G10+'If Skadeforsikring NUF'!G10+KLP!G10+'KLP Skadeforsikring AS'!G10+'Landkreditt Forsikring'!G10+'Nordea Liv '!G10+'Oslo Pensjonsforsikring'!G10+'Protector Forsikring'!G10+'Sparebank 1'!G10+'Storebrand Livsforsikring'!G10+'Telenor Forsikring'!G10+'Tryg Forsikring'!G10+'WaterCircles F'!G10+'Euro Accident'!G10+'Ly Forsikring'!G10+'Youplus Livsforsikring'!G10+'Oslo Forsikring'!G10</f>
        <v>90274205.698259994</v>
      </c>
      <c r="G10" s="144">
        <f t="shared" si="1"/>
        <v>19.5</v>
      </c>
      <c r="H10" s="262">
        <f t="shared" si="2"/>
        <v>90269973.430142537</v>
      </c>
      <c r="I10" s="263">
        <f t="shared" si="3"/>
        <v>103803898.03187859</v>
      </c>
      <c r="J10" s="155">
        <f t="shared" si="4"/>
        <v>15</v>
      </c>
    </row>
    <row r="11" spans="1:14" s="43" customFormat="1" ht="15.75" customHeight="1" x14ac:dyDescent="0.2">
      <c r="A11" s="39" t="s">
        <v>322</v>
      </c>
      <c r="B11" s="219">
        <f>'Fremtind Livsforsikring'!B11+'DNB Livsforsikring'!B11+'Eika Forsikring AS'!B11+'Frende Livsforsikring'!B11+'Frende Skadeforsikring'!B11+'Gjensidige Forsikring'!B11+'Gjensidige Pensjon'!B11+'If Skadeforsikring NUF'!B11+KLP!B11+'KLP Skadeforsikring AS'!B11+'Landkreditt Forsikring'!B11+'Nordea Liv '!B11+'Oslo Pensjonsforsikring'!B11+'Protector Forsikring'!B11+'Sparebank 1'!B11+'Storebrand Livsforsikring'!B11+'Telenor Forsikring'!B11+'Tryg Forsikring'!B11+'WaterCircles F'!B11+'Euro Accident'!B11+'Ly Forsikring'!B11+'Youplus Livsforsikring'!B11+'Oslo Forsikring'!B11</f>
        <v>24653</v>
      </c>
      <c r="C11" s="219">
        <f>'Fremtind Livsforsikring'!C11+'DNB Livsforsikring'!C11+'Eika Forsikring AS'!C11+'Frende Livsforsikring'!C11+'Frende Skadeforsikring'!C11+'Gjensidige Forsikring'!C11+'Gjensidige Pensjon'!C11+'If Skadeforsikring NUF'!C11+KLP!C11+'KLP Skadeforsikring AS'!C11+'Landkreditt Forsikring'!C11+'Nordea Liv '!C11+'Oslo Pensjonsforsikring'!C11+'Protector Forsikring'!C11+'Sparebank 1'!C11+'Storebrand Livsforsikring'!C11+'Telenor Forsikring'!C11+'Tryg Forsikring'!C11+'WaterCircles F'!C11+'Euro Accident'!C11+'Ly Forsikring'!C11+'Youplus Livsforsikring'!C11+'Oslo Forsikring'!C11</f>
        <v>0</v>
      </c>
      <c r="D11" s="155">
        <f t="shared" si="0"/>
        <v>-100</v>
      </c>
      <c r="E11" s="219">
        <f>'Fremtind Livsforsikring'!F11+'DNB Livsforsikring'!F11+'Eika Forsikring AS'!F11+'Frende Livsforsikring'!F11+'Frende Skadeforsikring'!F11+'Gjensidige Forsikring'!F11+'Gjensidige Pensjon'!F11+'If Skadeforsikring NUF'!F11+KLP!F11+'KLP Skadeforsikring AS'!F11+'Landkreditt Forsikring'!F11+'Nordea Liv '!F11+'Oslo Pensjonsforsikring'!F11+'Protector Forsikring'!F11+'Sparebank 1'!F11+'Storebrand Livsforsikring'!F11+'Telenor Forsikring'!F11+'Tryg Forsikring'!F11+'WaterCircles F'!F11+'Euro Accident'!F11+'Ly Forsikring'!F11+'Youplus Livsforsikring'!F11+'Oslo Forsikring'!F11</f>
        <v>53338.788350000003</v>
      </c>
      <c r="F11" s="219">
        <f>'Fremtind Livsforsikring'!G11+'DNB Livsforsikring'!G11+'Eika Forsikring AS'!G11+'Frende Livsforsikring'!G11+'Frende Skadeforsikring'!G11+'Gjensidige Forsikring'!G11+'Gjensidige Pensjon'!G11+'If Skadeforsikring NUF'!G11+KLP!G11+'KLP Skadeforsikring AS'!G11+'Landkreditt Forsikring'!G11+'Nordea Liv '!G11+'Oslo Pensjonsforsikring'!G11+'Protector Forsikring'!G11+'Sparebank 1'!G11+'Storebrand Livsforsikring'!G11+'Telenor Forsikring'!G11+'Tryg Forsikring'!G11+'WaterCircles F'!G11+'Euro Accident'!G11+'Ly Forsikring'!G11+'Youplus Livsforsikring'!G11+'Oslo Forsikring'!G11</f>
        <v>104411.79521000001</v>
      </c>
      <c r="G11" s="155">
        <f t="shared" si="1"/>
        <v>95.8</v>
      </c>
      <c r="H11" s="262">
        <f t="shared" si="2"/>
        <v>77991.788350000003</v>
      </c>
      <c r="I11" s="263">
        <f t="shared" si="3"/>
        <v>104411.79521000001</v>
      </c>
      <c r="J11" s="155">
        <f t="shared" si="4"/>
        <v>33.9</v>
      </c>
    </row>
    <row r="12" spans="1:14" s="43" customFormat="1" ht="15.75" customHeight="1" x14ac:dyDescent="0.2">
      <c r="A12" s="455" t="s">
        <v>323</v>
      </c>
      <c r="B12" s="261"/>
      <c r="C12" s="261"/>
      <c r="D12" s="154"/>
      <c r="E12" s="261">
        <f>'Fremtind Livsforsikring'!F12+'DNB Livsforsikring'!F12+'Eika Forsikring AS'!F12+'Frende Livsforsikring'!F12+'Frende Skadeforsikring'!F12+'Gjensidige Forsikring'!F12+'Gjensidige Pensjon'!F12+'If Skadeforsikring NUF'!F12+KLP!F12+'KLP Skadeforsikring AS'!F12+'Landkreditt Forsikring'!F12+'Nordea Liv '!F12+'Oslo Pensjonsforsikring'!F12+'Protector Forsikring'!F12+'Sparebank 1'!F12+'Storebrand Livsforsikring'!F12+'Telenor Forsikring'!F12+'Tryg Forsikring'!F12+'WaterCircles F'!F12+'Euro Accident'!F12+'Ly Forsikring'!F12+'Youplus Livsforsikring'!F12+'Oslo Forsikring'!F12</f>
        <v>50404.203399999999</v>
      </c>
      <c r="F12" s="261">
        <f>'Fremtind Livsforsikring'!G12+'DNB Livsforsikring'!G12+'Eika Forsikring AS'!G12+'Frende Livsforsikring'!G12+'Frende Skadeforsikring'!G12+'Gjensidige Forsikring'!G12+'Gjensidige Pensjon'!G12+'If Skadeforsikring NUF'!G12+KLP!G12+'KLP Skadeforsikring AS'!G12+'Landkreditt Forsikring'!G12+'Nordea Liv '!G12+'Oslo Pensjonsforsikring'!G12+'Protector Forsikring'!G12+'Sparebank 1'!G12+'Storebrand Livsforsikring'!G12+'Telenor Forsikring'!G12+'Tryg Forsikring'!G12+'WaterCircles F'!G12+'Euro Accident'!G12+'Ly Forsikring'!G12+'Youplus Livsforsikring'!G12+'Oslo Forsikring'!G12</f>
        <v>107010.88516999999</v>
      </c>
      <c r="G12" s="153">
        <f t="shared" si="1"/>
        <v>112.3</v>
      </c>
      <c r="H12" s="264">
        <f t="shared" si="2"/>
        <v>50404.203399999999</v>
      </c>
      <c r="I12" s="265">
        <f t="shared" si="3"/>
        <v>107010.88516999999</v>
      </c>
      <c r="J12" s="153">
        <f t="shared" si="4"/>
        <v>112.3</v>
      </c>
    </row>
    <row r="13" spans="1:14" s="43" customFormat="1" ht="15.75" customHeight="1" x14ac:dyDescent="0.2">
      <c r="A13" s="152"/>
      <c r="B13" s="35"/>
      <c r="C13" s="5"/>
      <c r="D13" s="32"/>
      <c r="E13" s="35"/>
      <c r="F13" s="5"/>
      <c r="G13" s="32"/>
      <c r="H13" s="48"/>
      <c r="I13" s="48"/>
      <c r="J13" s="32"/>
    </row>
    <row r="14" spans="1:14" ht="15.75" customHeight="1" x14ac:dyDescent="0.2">
      <c r="A14" s="137" t="s">
        <v>245</v>
      </c>
    </row>
    <row r="15" spans="1:14" ht="15.75" customHeight="1" x14ac:dyDescent="0.2">
      <c r="A15" s="133"/>
      <c r="E15" s="7"/>
      <c r="F15" s="7"/>
      <c r="G15" s="7"/>
      <c r="H15" s="7"/>
      <c r="I15" s="7"/>
      <c r="J15" s="7"/>
    </row>
    <row r="16" spans="1:14" s="3" customFormat="1" ht="15.75" customHeight="1" x14ac:dyDescent="0.25">
      <c r="A16" s="148"/>
      <c r="C16" s="30"/>
      <c r="D16" s="30"/>
      <c r="E16" s="30"/>
      <c r="F16" s="30"/>
      <c r="G16" s="30"/>
      <c r="H16" s="30"/>
      <c r="I16" s="30"/>
      <c r="J16" s="30"/>
    </row>
    <row r="17" spans="1:11" ht="15.75" customHeight="1" x14ac:dyDescent="0.25">
      <c r="A17" s="131" t="s">
        <v>242</v>
      </c>
      <c r="B17" s="28"/>
      <c r="C17" s="28"/>
      <c r="D17" s="29"/>
      <c r="E17" s="28"/>
      <c r="F17" s="28"/>
      <c r="G17" s="28"/>
      <c r="H17" s="28"/>
      <c r="I17" s="28"/>
      <c r="J17" s="28"/>
    </row>
    <row r="18" spans="1:11" ht="15.75" customHeight="1" x14ac:dyDescent="0.25">
      <c r="A18" s="133"/>
      <c r="B18" s="699"/>
      <c r="C18" s="699"/>
      <c r="D18" s="699"/>
      <c r="E18" s="699"/>
      <c r="F18" s="699"/>
      <c r="G18" s="699"/>
      <c r="H18" s="699"/>
      <c r="I18" s="699"/>
      <c r="J18" s="699"/>
    </row>
    <row r="19" spans="1:11" ht="15.75" customHeight="1" x14ac:dyDescent="0.2">
      <c r="A19" s="128"/>
      <c r="B19" s="700" t="s">
        <v>0</v>
      </c>
      <c r="C19" s="701"/>
      <c r="D19" s="701"/>
      <c r="E19" s="700" t="s">
        <v>1</v>
      </c>
      <c r="F19" s="701"/>
      <c r="G19" s="702"/>
      <c r="H19" s="701" t="s">
        <v>2</v>
      </c>
      <c r="I19" s="701"/>
      <c r="J19" s="702"/>
    </row>
    <row r="20" spans="1:11" ht="15.75" customHeight="1" x14ac:dyDescent="0.2">
      <c r="A20" s="124" t="s">
        <v>5</v>
      </c>
      <c r="B20" s="20" t="s">
        <v>421</v>
      </c>
      <c r="C20" s="20" t="s">
        <v>422</v>
      </c>
      <c r="D20" s="234" t="s">
        <v>3</v>
      </c>
      <c r="E20" s="20" t="s">
        <v>421</v>
      </c>
      <c r="F20" s="20" t="s">
        <v>422</v>
      </c>
      <c r="G20" s="234" t="s">
        <v>3</v>
      </c>
      <c r="H20" s="20" t="s">
        <v>421</v>
      </c>
      <c r="I20" s="20" t="s">
        <v>422</v>
      </c>
      <c r="J20" s="234" t="s">
        <v>3</v>
      </c>
    </row>
    <row r="21" spans="1:11" ht="15.75" customHeight="1" x14ac:dyDescent="0.2">
      <c r="A21" s="682"/>
      <c r="B21" s="15"/>
      <c r="C21" s="15"/>
      <c r="D21" s="17" t="s">
        <v>4</v>
      </c>
      <c r="E21" s="16"/>
      <c r="F21" s="16"/>
      <c r="G21" s="15" t="s">
        <v>4</v>
      </c>
      <c r="H21" s="16"/>
      <c r="I21" s="16"/>
      <c r="J21" s="15" t="s">
        <v>4</v>
      </c>
    </row>
    <row r="22" spans="1:11" s="43" customFormat="1" ht="15.75" customHeight="1" x14ac:dyDescent="0.2">
      <c r="A22" s="14" t="s">
        <v>23</v>
      </c>
      <c r="B22" s="219">
        <f>'Fremtind Livsforsikring'!B22+'DNB Livsforsikring'!B22+'Eika Forsikring AS'!B22+'Frende Livsforsikring'!B22+'Frende Skadeforsikring'!B22+'Gjensidige Forsikring'!B22+'Gjensidige Pensjon'!B22+'If Skadeforsikring NUF'!B22+KLP!B22+'KLP Skadeforsikring AS'!B22+'Landkreditt Forsikring'!B22+'Nordea Liv '!B22+'Oslo Pensjonsforsikring'!B22+'Protector Forsikring'!B22+'Sparebank 1'!B22+'Storebrand Livsforsikring'!B22+'Telenor Forsikring'!B22+'Tryg Forsikring'!B22+'WaterCircles F'!B22+'Euro Accident'!B22+'Ly Forsikring'!B22+'Youplus Livsforsikring'!B22+'Oslo Forsikring'!B22</f>
        <v>822367.65775933326</v>
      </c>
      <c r="C22" s="219">
        <f>'Fremtind Livsforsikring'!C22+'DNB Livsforsikring'!C22+'Eika Forsikring AS'!C22+'Frende Livsforsikring'!C22+'Frende Skadeforsikring'!C22+'Gjensidige Forsikring'!C22+'Gjensidige Pensjon'!C22+'If Skadeforsikring NUF'!C22+KLP!C22+'KLP Skadeforsikring AS'!C22+'Landkreditt Forsikring'!C22+'Nordea Liv '!C22+'Oslo Pensjonsforsikring'!C22+'Protector Forsikring'!C22+'Sparebank 1'!C22+'Storebrand Livsforsikring'!C22+'Telenor Forsikring'!C22+'Tryg Forsikring'!C22+'WaterCircles F'!C22+'Euro Accident'!C22+'Ly Forsikring'!C22+'Youplus Livsforsikring'!C22+'Oslo Forsikring'!C22</f>
        <v>883833.84994250839</v>
      </c>
      <c r="D22" s="11">
        <f t="shared" ref="D22:D39" si="5">IF(B22=0, "    ---- ", IF(ABS(ROUND(100/B22*C22-100,1))&lt;999,ROUND(100/B22*C22-100,1),IF(ROUND(100/B22*C22-100,1)&gt;999,999,-999)))</f>
        <v>7.5</v>
      </c>
      <c r="E22" s="219">
        <f>'Fremtind Livsforsikring'!F22+'DNB Livsforsikring'!F22+'Eika Forsikring AS'!F22+'Frende Livsforsikring'!F22+'Frende Skadeforsikring'!F22+'Gjensidige Forsikring'!F22+'Gjensidige Pensjon'!F22+'If Skadeforsikring NUF'!F22+KLP!F22+'KLP Skadeforsikring AS'!F22+'Landkreditt Forsikring'!F22+'Nordea Liv '!F22+'Oslo Pensjonsforsikring'!F22+'Protector Forsikring'!F22+'Sparebank 1'!F22+'Storebrand Livsforsikring'!F22+'Telenor Forsikring'!F22+'Tryg Forsikring'!F22+'WaterCircles F'!F22+'Euro Accident'!F22+'Ly Forsikring'!F22+'Youplus Livsforsikring'!F22+'Oslo Forsikring'!F22</f>
        <v>232680.74925000002</v>
      </c>
      <c r="F22" s="219">
        <f>'Fremtind Livsforsikring'!G22+'DNB Livsforsikring'!G22+'Eika Forsikring AS'!G22+'Frende Livsforsikring'!G22+'Frende Skadeforsikring'!G22+'Gjensidige Forsikring'!G22+'Gjensidige Pensjon'!G22+'If Skadeforsikring NUF'!G22+KLP!G22+'KLP Skadeforsikring AS'!G22+'Landkreditt Forsikring'!G22+'Nordea Liv '!G22+'Oslo Pensjonsforsikring'!G22+'Protector Forsikring'!G22+'Sparebank 1'!G22+'Storebrand Livsforsikring'!G22+'Telenor Forsikring'!G22+'Tryg Forsikring'!G22+'WaterCircles F'!G22+'Euro Accident'!G22+'Ly Forsikring'!G22+'Youplus Livsforsikring'!G22+'Oslo Forsikring'!G22</f>
        <v>254221.83717000001</v>
      </c>
      <c r="G22" s="334">
        <f t="shared" ref="G22:G35" si="6">IF(E22=0, "    ---- ", IF(ABS(ROUND(100/E22*F22-100,1))&lt;999,ROUND(100/E22*F22-100,1),IF(ROUND(100/E22*F22-100,1)&gt;999,999,-999)))</f>
        <v>9.3000000000000007</v>
      </c>
      <c r="H22" s="293">
        <f>SUM(B22,E22)</f>
        <v>1055048.4070093334</v>
      </c>
      <c r="I22" s="219">
        <f t="shared" ref="I22:I39" si="7">SUM(C22,F22)</f>
        <v>1138055.6871125083</v>
      </c>
      <c r="J22" s="24">
        <f t="shared" ref="J22:J39" si="8">IF(H22=0, "    ---- ", IF(ABS(ROUND(100/H22*I22-100,1))&lt;999,ROUND(100/H22*I22-100,1),IF(ROUND(100/H22*I22-100,1)&gt;999,999,-999)))</f>
        <v>7.9</v>
      </c>
    </row>
    <row r="23" spans="1:11" ht="15.75" customHeight="1" x14ac:dyDescent="0.2">
      <c r="A23" s="456" t="s">
        <v>324</v>
      </c>
      <c r="B23" s="44">
        <f>'Fremtind Livsforsikring'!B23+'DNB Livsforsikring'!B23+'Eika Forsikring AS'!B23+'Frende Livsforsikring'!B23+'Frende Skadeforsikring'!B23+'Gjensidige Forsikring'!B23+'Gjensidige Pensjon'!B23+'If Skadeforsikring NUF'!B23+KLP!B23+'KLP Skadeforsikring AS'!B23+'Landkreditt Forsikring'!B23+'Nordea Liv '!B23+'Oslo Pensjonsforsikring'!B23+'Protector Forsikring'!B23+'Sparebank 1'!B23+'Storebrand Livsforsikring'!B23+'Telenor Forsikring'!B23+'Tryg Forsikring'!B23+'WaterCircles F'!B23+'Euro Accident'!B23+'Ly Forsikring'!B23+'Youplus Livsforsikring'!B23+'Oslo Forsikring'!B23</f>
        <v>587860.09204620554</v>
      </c>
      <c r="C23" s="44">
        <f>'Fremtind Livsforsikring'!C23+'DNB Livsforsikring'!C23+'Eika Forsikring AS'!C23+'Frende Livsforsikring'!C23+'Frende Skadeforsikring'!C23+'Gjensidige Forsikring'!C23+'Gjensidige Pensjon'!C23+'If Skadeforsikring NUF'!C23+KLP!C23+'KLP Skadeforsikring AS'!C23+'Landkreditt Forsikring'!C23+'Nordea Liv '!C23+'Oslo Pensjonsforsikring'!C23+'Protector Forsikring'!C23+'Sparebank 1'!C23+'Storebrand Livsforsikring'!C23+'Telenor Forsikring'!C23+'Tryg Forsikring'!C23+'WaterCircles F'!C23+'Euro Accident'!C23+'Ly Forsikring'!C23+'Youplus Livsforsikring'!C23+'Oslo Forsikring'!C23</f>
        <v>635540.96123256348</v>
      </c>
      <c r="D23" s="27">
        <f>IF($A$1=4,IF(B23=0, "    ---- ", IF(ABS(ROUND(100/B23*C23-100,1))&lt;999,ROUND(100/B23*C23-100,1),IF(ROUND(100/B23*C23-100,1)&gt;999,999,-999))),"")</f>
        <v>8.1</v>
      </c>
      <c r="E23" s="44">
        <f>'Fremtind Livsforsikring'!F23+'DNB Livsforsikring'!F23+'Eika Forsikring AS'!F23+'Frende Livsforsikring'!F23+'Frende Skadeforsikring'!F23+'Gjensidige Forsikring'!F23+'Gjensidige Pensjon'!F23+'If Skadeforsikring NUF'!F23+KLP!F23+'KLP Skadeforsikring AS'!F23+'Landkreditt Forsikring'!F23+'Nordea Liv '!F23+'Oslo Pensjonsforsikring'!F23+'Protector Forsikring'!F23+'Sparebank 1'!F23+'Storebrand Livsforsikring'!F23+'Telenor Forsikring'!F23+'Tryg Forsikring'!F23+'WaterCircles F'!F23+'Euro Accident'!F23+'Ly Forsikring'!F23+'Youplus Livsforsikring'!F23+'Oslo Forsikring'!F23</f>
        <v>12436.926599999999</v>
      </c>
      <c r="F23" s="44">
        <f>'Fremtind Livsforsikring'!G23+'DNB Livsforsikring'!G23+'Eika Forsikring AS'!G23+'Frende Livsforsikring'!G23+'Frende Skadeforsikring'!G23+'Gjensidige Forsikring'!G23+'Gjensidige Pensjon'!G23+'If Skadeforsikring NUF'!G23+KLP!G23+'KLP Skadeforsikring AS'!G23+'Landkreditt Forsikring'!G23+'Nordea Liv '!G23+'Oslo Pensjonsforsikring'!G23+'Protector Forsikring'!G23+'Sparebank 1'!G23+'Storebrand Livsforsikring'!G23+'Telenor Forsikring'!G23+'Tryg Forsikring'!G23+'WaterCircles F'!G23+'Euro Accident'!G23+'Ly Forsikring'!G23+'Youplus Livsforsikring'!G23+'Oslo Forsikring'!G23</f>
        <v>17887.55905</v>
      </c>
      <c r="G23" s="150">
        <f>IF($A$1=4,IF(E23=0, "    ---- ", IF(ABS(ROUND(100/E23*F23-100,1))&lt;999,ROUND(100/E23*F23-100,1),IF(ROUND(100/E23*F23-100,1)&gt;999,999,-999))),"")</f>
        <v>43.8</v>
      </c>
      <c r="H23" s="217">
        <f t="shared" ref="H23:H39" si="9">SUM(B23,E23)</f>
        <v>600297.01864620554</v>
      </c>
      <c r="I23" s="44">
        <f t="shared" si="7"/>
        <v>653428.52028256352</v>
      </c>
      <c r="J23" s="23">
        <f t="shared" si="8"/>
        <v>8.9</v>
      </c>
    </row>
    <row r="24" spans="1:11" ht="15.75" customHeight="1" x14ac:dyDescent="0.2">
      <c r="A24" s="456" t="s">
        <v>325</v>
      </c>
      <c r="B24" s="44">
        <f>'Fremtind Livsforsikring'!B24+'DNB Livsforsikring'!B24+'Eika Forsikring AS'!B24+'Frende Livsforsikring'!B24+'Frende Skadeforsikring'!B24+'Gjensidige Forsikring'!B24+'Gjensidige Pensjon'!B24+'If Skadeforsikring NUF'!B24+KLP!B24+'KLP Skadeforsikring AS'!B24+'Landkreditt Forsikring'!B24+'Nordea Liv '!B24+'Oslo Pensjonsforsikring'!B24+'Protector Forsikring'!B24+'Sparebank 1'!B24+'Storebrand Livsforsikring'!B24+'Telenor Forsikring'!B24+'Tryg Forsikring'!B24+'WaterCircles F'!B24+'Euro Accident'!B24+'Ly Forsikring'!B24+'Youplus Livsforsikring'!B24+'Oslo Forsikring'!B24</f>
        <v>2250.5930131277701</v>
      </c>
      <c r="C24" s="44">
        <f>'Fremtind Livsforsikring'!C24+'DNB Livsforsikring'!C24+'Eika Forsikring AS'!C24+'Frende Livsforsikring'!C24+'Frende Skadeforsikring'!C24+'Gjensidige Forsikring'!C24+'Gjensidige Pensjon'!C24+'If Skadeforsikring NUF'!C24+KLP!C24+'KLP Skadeforsikring AS'!C24+'Landkreditt Forsikring'!C24+'Nordea Liv '!C24+'Oslo Pensjonsforsikring'!C24+'Protector Forsikring'!C24+'Sparebank 1'!C24+'Storebrand Livsforsikring'!C24+'Telenor Forsikring'!C24+'Tryg Forsikring'!C24+'WaterCircles F'!C24+'Euro Accident'!C24+'Ly Forsikring'!C24+'Youplus Livsforsikring'!C24+'Oslo Forsikring'!C24</f>
        <v>3075.6953017330097</v>
      </c>
      <c r="D24" s="27">
        <f t="shared" ref="D24:D25" si="10">IF($A$1=4,IF(B24=0, "    ---- ", IF(ABS(ROUND(100/B24*C24-100,1))&lt;999,ROUND(100/B24*C24-100,1),IF(ROUND(100/B24*C24-100,1)&gt;999,999,-999))),"")</f>
        <v>36.700000000000003</v>
      </c>
      <c r="E24" s="44">
        <f>'Fremtind Livsforsikring'!F24+'DNB Livsforsikring'!F24+'Eika Forsikring AS'!F24+'Frende Livsforsikring'!F24+'Frende Skadeforsikring'!F24+'Gjensidige Forsikring'!F24+'Gjensidige Pensjon'!F24+'If Skadeforsikring NUF'!F24+KLP!F24+'KLP Skadeforsikring AS'!F24+'Landkreditt Forsikring'!F24+'Nordea Liv '!F24+'Oslo Pensjonsforsikring'!F24+'Protector Forsikring'!F24+'Sparebank 1'!F24+'Storebrand Livsforsikring'!F24+'Telenor Forsikring'!F24+'Tryg Forsikring'!F24+'WaterCircles F'!F24+'Euro Accident'!F24+'Ly Forsikring'!F24+'Youplus Livsforsikring'!F24+'Oslo Forsikring'!F24</f>
        <v>216</v>
      </c>
      <c r="F24" s="44">
        <f>'Fremtind Livsforsikring'!G24+'DNB Livsforsikring'!G24+'Eika Forsikring AS'!G24+'Frende Livsforsikring'!G24+'Frende Skadeforsikring'!G24+'Gjensidige Forsikring'!G24+'Gjensidige Pensjon'!G24+'If Skadeforsikring NUF'!G24+KLP!G24+'KLP Skadeforsikring AS'!G24+'Landkreditt Forsikring'!G24+'Nordea Liv '!G24+'Oslo Pensjonsforsikring'!G24+'Protector Forsikring'!G24+'Sparebank 1'!G24+'Storebrand Livsforsikring'!G24+'Telenor Forsikring'!G24+'Tryg Forsikring'!G24+'WaterCircles F'!G24+'Euro Accident'!G24+'Ly Forsikring'!G24+'Youplus Livsforsikring'!G24+'Oslo Forsikring'!G24</f>
        <v>850.28484000000003</v>
      </c>
      <c r="G24" s="150">
        <f t="shared" ref="G24:G25" si="11">IF($A$1=4,IF(E24=0, "    ---- ", IF(ABS(ROUND(100/E24*F24-100,1))&lt;999,ROUND(100/E24*F24-100,1),IF(ROUND(100/E24*F24-100,1)&gt;999,999,-999))),"")</f>
        <v>293.7</v>
      </c>
      <c r="H24" s="217">
        <f t="shared" si="9"/>
        <v>2466.5930131277701</v>
      </c>
      <c r="I24" s="44">
        <f t="shared" si="7"/>
        <v>3925.98014173301</v>
      </c>
      <c r="J24" s="11">
        <f t="shared" si="8"/>
        <v>59.2</v>
      </c>
    </row>
    <row r="25" spans="1:11" ht="15.75" customHeight="1" x14ac:dyDescent="0.2">
      <c r="A25" s="456" t="s">
        <v>326</v>
      </c>
      <c r="B25" s="44">
        <f>'Fremtind Livsforsikring'!B25+'DNB Livsforsikring'!B25+'Eika Forsikring AS'!B25+'Frende Livsforsikring'!B25+'Frende Skadeforsikring'!B25+'Gjensidige Forsikring'!B25+'Gjensidige Pensjon'!B25+'If Skadeforsikring NUF'!B25+KLP!B25+'KLP Skadeforsikring AS'!B25+'Landkreditt Forsikring'!B25+'Nordea Liv '!B25+'Oslo Pensjonsforsikring'!B25+'Protector Forsikring'!B25+'Sparebank 1'!B25+'Storebrand Livsforsikring'!B25+'Telenor Forsikring'!B25+'Tryg Forsikring'!B25+'WaterCircles F'!B25+'Euro Accident'!B25+'Ly Forsikring'!B25+'Youplus Livsforsikring'!B25+'Oslo Forsikring'!B25</f>
        <v>3594.2890000000002</v>
      </c>
      <c r="C25" s="44">
        <f>'Fremtind Livsforsikring'!C25+'DNB Livsforsikring'!C25+'Eika Forsikring AS'!C25+'Frende Livsforsikring'!C25+'Frende Skadeforsikring'!C25+'Gjensidige Forsikring'!C25+'Gjensidige Pensjon'!C25+'If Skadeforsikring NUF'!C25+KLP!C25+'KLP Skadeforsikring AS'!C25+'Landkreditt Forsikring'!C25+'Nordea Liv '!C25+'Oslo Pensjonsforsikring'!C25+'Protector Forsikring'!C25+'Sparebank 1'!C25+'Storebrand Livsforsikring'!C25+'Telenor Forsikring'!C25+'Tryg Forsikring'!C25+'WaterCircles F'!C25+'Euro Accident'!C25+'Ly Forsikring'!C25+'Youplus Livsforsikring'!C25+'Oslo Forsikring'!C25</f>
        <v>5092.9672382118797</v>
      </c>
      <c r="D25" s="27">
        <f t="shared" si="10"/>
        <v>41.7</v>
      </c>
      <c r="E25" s="44">
        <f>'Fremtind Livsforsikring'!F25+'DNB Livsforsikring'!F25+'Eika Forsikring AS'!F25+'Frende Livsforsikring'!F25+'Frende Skadeforsikring'!F25+'Gjensidige Forsikring'!F25+'Gjensidige Pensjon'!F25+'If Skadeforsikring NUF'!F25+KLP!F25+'KLP Skadeforsikring AS'!F25+'Landkreditt Forsikring'!F25+'Nordea Liv '!F25+'Oslo Pensjonsforsikring'!F25+'Protector Forsikring'!F25+'Sparebank 1'!F25+'Storebrand Livsforsikring'!F25+'Telenor Forsikring'!F25+'Tryg Forsikring'!F25+'WaterCircles F'!F25+'Euro Accident'!F25+'Ly Forsikring'!F25+'Youplus Livsforsikring'!F25+'Oslo Forsikring'!F25</f>
        <v>4172.0167099999999</v>
      </c>
      <c r="F25" s="44">
        <f>'Fremtind Livsforsikring'!G25+'DNB Livsforsikring'!G25+'Eika Forsikring AS'!G25+'Frende Livsforsikring'!G25+'Frende Skadeforsikring'!G25+'Gjensidige Forsikring'!G25+'Gjensidige Pensjon'!G25+'If Skadeforsikring NUF'!G25+KLP!G25+'KLP Skadeforsikring AS'!G25+'Landkreditt Forsikring'!G25+'Nordea Liv '!G25+'Oslo Pensjonsforsikring'!G25+'Protector Forsikring'!G25+'Sparebank 1'!G25+'Storebrand Livsforsikring'!G25+'Telenor Forsikring'!G25+'Tryg Forsikring'!G25+'WaterCircles F'!G25+'Euro Accident'!G25+'Ly Forsikring'!G25+'Youplus Livsforsikring'!G25+'Oslo Forsikring'!G25</f>
        <v>3463.0536900000002</v>
      </c>
      <c r="G25" s="150">
        <f t="shared" si="11"/>
        <v>-17</v>
      </c>
      <c r="H25" s="217">
        <f t="shared" si="9"/>
        <v>7766.3057100000005</v>
      </c>
      <c r="I25" s="44">
        <f t="shared" si="7"/>
        <v>8556.0209282118794</v>
      </c>
      <c r="J25" s="27">
        <f t="shared" si="8"/>
        <v>10.199999999999999</v>
      </c>
    </row>
    <row r="26" spans="1:11" ht="15.75" customHeight="1" x14ac:dyDescent="0.2">
      <c r="A26" s="456" t="s">
        <v>327</v>
      </c>
      <c r="B26" s="44"/>
      <c r="C26" s="44"/>
      <c r="D26" s="27"/>
      <c r="E26" s="44">
        <f>'Fremtind Livsforsikring'!F26+'DNB Livsforsikring'!F26+'Eika Forsikring AS'!F26+'Frende Livsforsikring'!F26+'Frende Skadeforsikring'!F26+'Gjensidige Forsikring'!F26+'Gjensidige Pensjon'!F26+'If Skadeforsikring NUF'!F26+KLP!F26+'KLP Skadeforsikring AS'!F26+'Landkreditt Forsikring'!F26+'Nordea Liv '!F26+'Oslo Pensjonsforsikring'!F26+'Protector Forsikring'!F26+'Sparebank 1'!F26+'Storebrand Livsforsikring'!F26+'Telenor Forsikring'!F26+'Tryg Forsikring'!F26+'WaterCircles F'!F26+'Euro Accident'!F26+'Ly Forsikring'!F26+'Youplus Livsforsikring'!F26+'Oslo Forsikring'!F26</f>
        <v>215855.80593999999</v>
      </c>
      <c r="F26" s="44">
        <f>'Fremtind Livsforsikring'!G26+'DNB Livsforsikring'!G26+'Eika Forsikring AS'!G26+'Frende Livsforsikring'!G26+'Frende Skadeforsikring'!G26+'Gjensidige Forsikring'!G26+'Gjensidige Pensjon'!G26+'If Skadeforsikring NUF'!G26+KLP!G26+'KLP Skadeforsikring AS'!G26+'Landkreditt Forsikring'!G26+'Nordea Liv '!G26+'Oslo Pensjonsforsikring'!G26+'Protector Forsikring'!G26+'Sparebank 1'!G26+'Storebrand Livsforsikring'!G26+'Telenor Forsikring'!G26+'Tryg Forsikring'!G26+'WaterCircles F'!G26+'Euro Accident'!G26+'Ly Forsikring'!G26+'Youplus Livsforsikring'!G26+'Oslo Forsikring'!G26</f>
        <v>232020.93959000002</v>
      </c>
      <c r="G26" s="150">
        <f t="shared" ref="G26" si="12">IF($A$1=4,IF(E26=0, "    ---- ", IF(ABS(ROUND(100/E26*F26-100,1))&lt;999,ROUND(100/E26*F26-100,1),IF(ROUND(100/E26*F26-100,1)&gt;999,999,-999))),"")</f>
        <v>7.5</v>
      </c>
      <c r="H26" s="217">
        <f t="shared" ref="H26" si="13">SUM(B26,E26)</f>
        <v>215855.80593999999</v>
      </c>
      <c r="I26" s="44">
        <f t="shared" ref="I26" si="14">SUM(C26,F26)</f>
        <v>232020.93959000002</v>
      </c>
      <c r="J26" s="27">
        <f t="shared" ref="J26" si="15">IF(H26=0, "    ---- ", IF(ABS(ROUND(100/H26*I26-100,1))&lt;999,ROUND(100/H26*I26-100,1),IF(ROUND(100/H26*I26-100,1)&gt;999,999,-999)))</f>
        <v>7.5</v>
      </c>
    </row>
    <row r="27" spans="1:11" ht="15.75" customHeight="1" x14ac:dyDescent="0.2">
      <c r="A27" s="454" t="s">
        <v>11</v>
      </c>
      <c r="B27" s="44"/>
      <c r="C27" s="44"/>
      <c r="D27" s="27"/>
      <c r="E27" s="44"/>
      <c r="F27" s="44"/>
      <c r="G27" s="150"/>
      <c r="H27" s="217"/>
      <c r="I27" s="44"/>
      <c r="J27" s="27"/>
    </row>
    <row r="28" spans="1:11" ht="15.75" customHeight="1" x14ac:dyDescent="0.2">
      <c r="A28" s="49" t="s">
        <v>246</v>
      </c>
      <c r="B28" s="44">
        <f>'Fremtind Livsforsikring'!B28+'DNB Livsforsikring'!B28+'Eika Forsikring AS'!B28+'Frende Livsforsikring'!B28+'Frende Skadeforsikring'!B28+'Gjensidige Forsikring'!B28+'Gjensidige Pensjon'!B28+'If Skadeforsikring NUF'!B28+KLP!B28+'KLP Skadeforsikring AS'!B28+'Landkreditt Forsikring'!B28+'Nordea Liv '!B28+'Oslo Pensjonsforsikring'!B28+'Protector Forsikring'!B28+'Sparebank 1'!B28+'Storebrand Livsforsikring'!B28+'Telenor Forsikring'!B28+'Tryg Forsikring'!B28+'WaterCircles F'!B28+'Euro Accident'!B28+'Ly Forsikring'!B28+'Youplus Livsforsikring'!B28+'Oslo Forsikring'!B28</f>
        <v>949506.77359984396</v>
      </c>
      <c r="C28" s="44">
        <f>'Fremtind Livsforsikring'!C28+'DNB Livsforsikring'!C28+'Eika Forsikring AS'!C28+'Frende Livsforsikring'!C28+'Frende Skadeforsikring'!C28+'Gjensidige Forsikring'!C28+'Gjensidige Pensjon'!C28+'If Skadeforsikring NUF'!C28+KLP!C28+'KLP Skadeforsikring AS'!C28+'Landkreditt Forsikring'!C28+'Nordea Liv '!C28+'Oslo Pensjonsforsikring'!C28+'Protector Forsikring'!C28+'Sparebank 1'!C28+'Storebrand Livsforsikring'!C28+'Telenor Forsikring'!C28+'Tryg Forsikring'!C28+'WaterCircles F'!C28+'Euro Accident'!C28+'Ly Forsikring'!C28+'Youplus Livsforsikring'!C28+'Oslo Forsikring'!C28</f>
        <v>1055421.0519123292</v>
      </c>
      <c r="D28" s="23">
        <f t="shared" si="5"/>
        <v>11.2</v>
      </c>
      <c r="E28" s="171"/>
      <c r="F28" s="171"/>
      <c r="G28" s="150"/>
      <c r="H28" s="217">
        <f t="shared" si="9"/>
        <v>949506.77359984396</v>
      </c>
      <c r="I28" s="44">
        <f t="shared" si="7"/>
        <v>1055421.0519123292</v>
      </c>
      <c r="J28" s="23">
        <f t="shared" si="8"/>
        <v>11.2</v>
      </c>
      <c r="K28" s="3"/>
    </row>
    <row r="29" spans="1:11" s="397" customFormat="1" ht="15.75" customHeight="1" x14ac:dyDescent="0.2">
      <c r="A29" s="39" t="s">
        <v>328</v>
      </c>
      <c r="B29" s="219">
        <f>'Fremtind Livsforsikring'!B29+'DNB Livsforsikring'!B29+'Eika Forsikring AS'!B29+'Frende Livsforsikring'!B29+'Frende Skadeforsikring'!B29+'Gjensidige Forsikring'!B29+'Gjensidige Pensjon'!B29+'If Skadeforsikring NUF'!B29+KLP!B29+'KLP Skadeforsikring AS'!B29+'Landkreditt Forsikring'!B29+'Nordea Liv '!B29+'Oslo Pensjonsforsikring'!B29+'Protector Forsikring'!B29+'Sparebank 1'!B29+'Storebrand Livsforsikring'!B29+'Telenor Forsikring'!B29+'Tryg Forsikring'!B29+'WaterCircles F'!B29+'Euro Accident'!B29+'Ly Forsikring'!B29+'Youplus Livsforsikring'!B29+'Oslo Forsikring'!B29</f>
        <v>44128806.218797386</v>
      </c>
      <c r="C29" s="219">
        <f>'Fremtind Livsforsikring'!C29+'DNB Livsforsikring'!C29+'Eika Forsikring AS'!C29+'Frende Livsforsikring'!C29+'Frende Skadeforsikring'!C29+'Gjensidige Forsikring'!C29+'Gjensidige Pensjon'!C29+'If Skadeforsikring NUF'!C29+KLP!C29+'KLP Skadeforsikring AS'!C29+'Landkreditt Forsikring'!C29+'Nordea Liv '!C29+'Oslo Pensjonsforsikring'!C29+'Protector Forsikring'!C29+'Sparebank 1'!C29+'Storebrand Livsforsikring'!C29+'Telenor Forsikring'!C29+'Tryg Forsikring'!C29+'WaterCircles F'!C29+'Euro Accident'!C29+'Ly Forsikring'!C29+'Youplus Livsforsikring'!C29+'Oslo Forsikring'!C29</f>
        <v>44018626.137501307</v>
      </c>
      <c r="D29" s="24">
        <f t="shared" si="5"/>
        <v>-0.2</v>
      </c>
      <c r="E29" s="293">
        <f>'Fremtind Livsforsikring'!F29+'DNB Livsforsikring'!F29+'Eika Forsikring AS'!F29+'Frende Livsforsikring'!F29+'Frende Skadeforsikring'!F29+'Gjensidige Forsikring'!F29+'Gjensidige Pensjon'!F29+'If Skadeforsikring NUF'!F29+KLP!F29+'KLP Skadeforsikring AS'!F29+'Landkreditt Forsikring'!F29+'Nordea Liv '!F29+'Oslo Pensjonsforsikring'!F29+'Protector Forsikring'!F29+'Sparebank 1'!F29+'Storebrand Livsforsikring'!F29+'Telenor Forsikring'!F29+'Tryg Forsikring'!F29+'WaterCircles F'!F29+'Euro Accident'!F29+'Ly Forsikring'!F29+'Youplus Livsforsikring'!F29+'Oslo Forsikring'!F29</f>
        <v>24814782.459380001</v>
      </c>
      <c r="F29" s="293">
        <f>'Fremtind Livsforsikring'!G29+'DNB Livsforsikring'!G29+'Eika Forsikring AS'!G29+'Frende Livsforsikring'!G29+'Frende Skadeforsikring'!G29+'Gjensidige Forsikring'!G29+'Gjensidige Pensjon'!G29+'If Skadeforsikring NUF'!G29+KLP!G29+'KLP Skadeforsikring AS'!G29+'Landkreditt Forsikring'!G29+'Nordea Liv '!G29+'Oslo Pensjonsforsikring'!G29+'Protector Forsikring'!G29+'Sparebank 1'!G29+'Storebrand Livsforsikring'!G29+'Telenor Forsikring'!G29+'Tryg Forsikring'!G29+'WaterCircles F'!G29+'Euro Accident'!G29+'Ly Forsikring'!G29+'Youplus Livsforsikring'!G29+'Oslo Forsikring'!G29</f>
        <v>28100932.139699999</v>
      </c>
      <c r="G29" s="155">
        <f t="shared" si="6"/>
        <v>13.2</v>
      </c>
      <c r="H29" s="293">
        <f t="shared" si="9"/>
        <v>68943588.678177387</v>
      </c>
      <c r="I29" s="219">
        <f t="shared" si="7"/>
        <v>72119558.27720131</v>
      </c>
      <c r="J29" s="24">
        <f t="shared" si="8"/>
        <v>4.5999999999999996</v>
      </c>
    </row>
    <row r="30" spans="1:11" s="3" customFormat="1" ht="15.75" customHeight="1" x14ac:dyDescent="0.2">
      <c r="A30" s="456" t="s">
        <v>324</v>
      </c>
      <c r="B30" s="44">
        <f>'Fremtind Livsforsikring'!B30+'DNB Livsforsikring'!B30+'Eika Forsikring AS'!B30+'Frende Livsforsikring'!B30+'Frende Skadeforsikring'!B30+'Gjensidige Forsikring'!B30+'Gjensidige Pensjon'!B30+'If Skadeforsikring NUF'!B30+KLP!B30+'KLP Skadeforsikring AS'!B30+'Landkreditt Forsikring'!B30+'Nordea Liv '!B30+'Oslo Pensjonsforsikring'!B30+'Protector Forsikring'!B30+'Sparebank 1'!B30+'Storebrand Livsforsikring'!B30+'Telenor Forsikring'!B30+'Tryg Forsikring'!B30+'WaterCircles F'!B30+'Euro Accident'!B30+'Ly Forsikring'!B30+'Youplus Livsforsikring'!B30+'Oslo Forsikring'!B30</f>
        <v>17442226.152933218</v>
      </c>
      <c r="C30" s="44">
        <f>'Fremtind Livsforsikring'!C30+'DNB Livsforsikring'!C30+'Eika Forsikring AS'!C30+'Frende Livsforsikring'!C30+'Frende Skadeforsikring'!C30+'Gjensidige Forsikring'!C30+'Gjensidige Pensjon'!C30+'If Skadeforsikring NUF'!C30+KLP!C30+'KLP Skadeforsikring AS'!C30+'Landkreditt Forsikring'!C30+'Nordea Liv '!C30+'Oslo Pensjonsforsikring'!C30+'Protector Forsikring'!C30+'Sparebank 1'!C30+'Storebrand Livsforsikring'!C30+'Telenor Forsikring'!C30+'Tryg Forsikring'!C30+'WaterCircles F'!C30+'Euro Accident'!C30+'Ly Forsikring'!C30+'Youplus Livsforsikring'!C30+'Oslo Forsikring'!C30</f>
        <v>17880141.398295753</v>
      </c>
      <c r="D30" s="27">
        <f t="shared" ref="D30:D32" si="16">IF($A$1=4,IF(B30=0, "    ---- ", IF(ABS(ROUND(100/B30*C30-100,1))&lt;999,ROUND(100/B30*C30-100,1),IF(ROUND(100/B30*C30-100,1)&gt;999,999,-999))),"")</f>
        <v>2.5</v>
      </c>
      <c r="E30" s="44">
        <f>'Fremtind Livsforsikring'!F30+'DNB Livsforsikring'!F30+'Eika Forsikring AS'!F30+'Frende Livsforsikring'!F30+'Frende Skadeforsikring'!F30+'Gjensidige Forsikring'!F30+'Gjensidige Pensjon'!F30+'If Skadeforsikring NUF'!F30+KLP!F30+'KLP Skadeforsikring AS'!F30+'Landkreditt Forsikring'!F30+'Nordea Liv '!F30+'Oslo Pensjonsforsikring'!F30+'Protector Forsikring'!F30+'Sparebank 1'!F30+'Storebrand Livsforsikring'!F30+'Telenor Forsikring'!F30+'Tryg Forsikring'!F30+'WaterCircles F'!F30+'Euro Accident'!F30+'Ly Forsikring'!F30+'Youplus Livsforsikring'!F30+'Oslo Forsikring'!F30</f>
        <v>3500821.1449039681</v>
      </c>
      <c r="F30" s="44">
        <f>'Fremtind Livsforsikring'!G30+'DNB Livsforsikring'!G30+'Eika Forsikring AS'!G30+'Frende Livsforsikring'!G30+'Frende Skadeforsikring'!G30+'Gjensidige Forsikring'!G30+'Gjensidige Pensjon'!G30+'If Skadeforsikring NUF'!G30+KLP!G30+'KLP Skadeforsikring AS'!G30+'Landkreditt Forsikring'!G30+'Nordea Liv '!G30+'Oslo Pensjonsforsikring'!G30+'Protector Forsikring'!G30+'Sparebank 1'!G30+'Storebrand Livsforsikring'!G30+'Telenor Forsikring'!G30+'Tryg Forsikring'!G30+'WaterCircles F'!G30+'Euro Accident'!G30+'Ly Forsikring'!G30+'Youplus Livsforsikring'!G30+'Oslo Forsikring'!G30</f>
        <v>3775651.52847456</v>
      </c>
      <c r="G30" s="150">
        <f t="shared" ref="G30:G32" si="17">IF($A$1=4,IF(E30=0, "    ---- ", IF(ABS(ROUND(100/E30*F30-100,1))&lt;999,ROUND(100/E30*F30-100,1),IF(ROUND(100/E30*F30-100,1)&gt;999,999,-999))),"")</f>
        <v>7.9</v>
      </c>
      <c r="H30" s="217">
        <f t="shared" si="9"/>
        <v>20943047.297837187</v>
      </c>
      <c r="I30" s="44">
        <f t="shared" si="7"/>
        <v>21655792.926770315</v>
      </c>
      <c r="J30" s="23">
        <f t="shared" si="8"/>
        <v>3.4</v>
      </c>
    </row>
    <row r="31" spans="1:11" s="3" customFormat="1" ht="15.75" customHeight="1" x14ac:dyDescent="0.2">
      <c r="A31" s="456" t="s">
        <v>325</v>
      </c>
      <c r="B31" s="44">
        <f>'Fremtind Livsforsikring'!B31+'DNB Livsforsikring'!B31+'Eika Forsikring AS'!B31+'Frende Livsforsikring'!B31+'Frende Skadeforsikring'!B31+'Gjensidige Forsikring'!B31+'Gjensidige Pensjon'!B31+'If Skadeforsikring NUF'!B31+KLP!B31+'KLP Skadeforsikring AS'!B31+'Landkreditt Forsikring'!B31+'Nordea Liv '!B31+'Oslo Pensjonsforsikring'!B31+'Protector Forsikring'!B31+'Sparebank 1'!B31+'Storebrand Livsforsikring'!B31+'Telenor Forsikring'!B31+'Tryg Forsikring'!B31+'WaterCircles F'!B31+'Euro Accident'!B31+'Ly Forsikring'!B31+'Youplus Livsforsikring'!B31+'Oslo Forsikring'!B31</f>
        <v>23921055.558879532</v>
      </c>
      <c r="C31" s="44">
        <f>'Fremtind Livsforsikring'!C31+'DNB Livsforsikring'!C31+'Eika Forsikring AS'!C31+'Frende Livsforsikring'!C31+'Frende Skadeforsikring'!C31+'Gjensidige Forsikring'!C31+'Gjensidige Pensjon'!C31+'If Skadeforsikring NUF'!C31+KLP!C31+'KLP Skadeforsikring AS'!C31+'Landkreditt Forsikring'!C31+'Nordea Liv '!C31+'Oslo Pensjonsforsikring'!C31+'Protector Forsikring'!C31+'Sparebank 1'!C31+'Storebrand Livsforsikring'!C31+'Telenor Forsikring'!C31+'Tryg Forsikring'!C31+'WaterCircles F'!C31+'Euro Accident'!C31+'Ly Forsikring'!C31+'Youplus Livsforsikring'!C31+'Oslo Forsikring'!C31</f>
        <v>23772726.961981021</v>
      </c>
      <c r="D31" s="27">
        <f t="shared" si="16"/>
        <v>-0.6</v>
      </c>
      <c r="E31" s="44">
        <f>'Fremtind Livsforsikring'!F31+'DNB Livsforsikring'!F31+'Eika Forsikring AS'!F31+'Frende Livsforsikring'!F31+'Frende Skadeforsikring'!F31+'Gjensidige Forsikring'!F31+'Gjensidige Pensjon'!F31+'If Skadeforsikring NUF'!F31+KLP!F31+'KLP Skadeforsikring AS'!F31+'Landkreditt Forsikring'!F31+'Nordea Liv '!F31+'Oslo Pensjonsforsikring'!F31+'Protector Forsikring'!F31+'Sparebank 1'!F31+'Storebrand Livsforsikring'!F31+'Telenor Forsikring'!F31+'Tryg Forsikring'!F31+'WaterCircles F'!F31+'Euro Accident'!F31+'Ly Forsikring'!F31+'Youplus Livsforsikring'!F31+'Oslo Forsikring'!F31</f>
        <v>7639101.2781338384</v>
      </c>
      <c r="F31" s="44">
        <f>'Fremtind Livsforsikring'!G31+'DNB Livsforsikring'!G31+'Eika Forsikring AS'!G31+'Frende Livsforsikring'!G31+'Frende Skadeforsikring'!G31+'Gjensidige Forsikring'!G31+'Gjensidige Pensjon'!G31+'If Skadeforsikring NUF'!G31+KLP!G31+'KLP Skadeforsikring AS'!G31+'Landkreditt Forsikring'!G31+'Nordea Liv '!G31+'Oslo Pensjonsforsikring'!G31+'Protector Forsikring'!G31+'Sparebank 1'!G31+'Storebrand Livsforsikring'!G31+'Telenor Forsikring'!G31+'Tryg Forsikring'!G31+'WaterCircles F'!G31+'Euro Accident'!G31+'Ly Forsikring'!G31+'Youplus Livsforsikring'!G31+'Oslo Forsikring'!G31</f>
        <v>7823603.2492529117</v>
      </c>
      <c r="G31" s="150">
        <f t="shared" si="17"/>
        <v>2.4</v>
      </c>
      <c r="H31" s="217">
        <f t="shared" si="9"/>
        <v>31560156.837013371</v>
      </c>
      <c r="I31" s="44">
        <f t="shared" si="7"/>
        <v>31596330.211233933</v>
      </c>
      <c r="J31" s="23">
        <f t="shared" si="8"/>
        <v>0.1</v>
      </c>
    </row>
    <row r="32" spans="1:11" ht="15.75" customHeight="1" x14ac:dyDescent="0.2">
      <c r="A32" s="456" t="s">
        <v>326</v>
      </c>
      <c r="B32" s="44">
        <f>'Fremtind Livsforsikring'!B32+'DNB Livsforsikring'!B32+'Eika Forsikring AS'!B32+'Frende Livsforsikring'!B32+'Frende Skadeforsikring'!B32+'Gjensidige Forsikring'!B32+'Gjensidige Pensjon'!B32+'If Skadeforsikring NUF'!B32+KLP!B32+'KLP Skadeforsikring AS'!B32+'Landkreditt Forsikring'!B32+'Nordea Liv '!B32+'Oslo Pensjonsforsikring'!B32+'Protector Forsikring'!B32+'Sparebank 1'!B32+'Storebrand Livsforsikring'!B32+'Telenor Forsikring'!B32+'Tryg Forsikring'!B32+'WaterCircles F'!B32+'Euro Accident'!B32+'Ly Forsikring'!B32+'Youplus Livsforsikring'!B32+'Oslo Forsikring'!B32</f>
        <v>2505082.2449845942</v>
      </c>
      <c r="C32" s="44">
        <f>'Fremtind Livsforsikring'!C32+'DNB Livsforsikring'!C32+'Eika Forsikring AS'!C32+'Frende Livsforsikring'!C32+'Frende Skadeforsikring'!C32+'Gjensidige Forsikring'!C32+'Gjensidige Pensjon'!C32+'If Skadeforsikring NUF'!C32+KLP!C32+'KLP Skadeforsikring AS'!C32+'Landkreditt Forsikring'!C32+'Nordea Liv '!C32+'Oslo Pensjonsforsikring'!C32+'Protector Forsikring'!C32+'Sparebank 1'!C32+'Storebrand Livsforsikring'!C32+'Telenor Forsikring'!C32+'Tryg Forsikring'!C32+'WaterCircles F'!C32+'Euro Accident'!C32+'Ly Forsikring'!C32+'Youplus Livsforsikring'!C32+'Oslo Forsikring'!C32</f>
        <v>2247341.6002245368</v>
      </c>
      <c r="D32" s="27">
        <f t="shared" si="16"/>
        <v>-10.3</v>
      </c>
      <c r="E32" s="44">
        <f>'Fremtind Livsforsikring'!F32+'DNB Livsforsikring'!F32+'Eika Forsikring AS'!F32+'Frende Livsforsikring'!F32+'Frende Skadeforsikring'!F32+'Gjensidige Forsikring'!F32+'Gjensidige Pensjon'!F32+'If Skadeforsikring NUF'!F32+KLP!F32+'KLP Skadeforsikring AS'!F32+'Landkreditt Forsikring'!F32+'Nordea Liv '!F32+'Oslo Pensjonsforsikring'!F32+'Protector Forsikring'!F32+'Sparebank 1'!F32+'Storebrand Livsforsikring'!F32+'Telenor Forsikring'!F32+'Tryg Forsikring'!F32+'WaterCircles F'!F32+'Euro Accident'!F32+'Ly Forsikring'!F32+'Youplus Livsforsikring'!F32+'Oslo Forsikring'!F32</f>
        <v>5508959.8326390795</v>
      </c>
      <c r="F32" s="44">
        <f>'Fremtind Livsforsikring'!G32+'DNB Livsforsikring'!G32+'Eika Forsikring AS'!G32+'Frende Livsforsikring'!G32+'Frende Skadeforsikring'!G32+'Gjensidige Forsikring'!G32+'Gjensidige Pensjon'!G32+'If Skadeforsikring NUF'!G32+KLP!G32+'KLP Skadeforsikring AS'!G32+'Landkreditt Forsikring'!G32+'Nordea Liv '!G32+'Oslo Pensjonsforsikring'!G32+'Protector Forsikring'!G32+'Sparebank 1'!G32+'Storebrand Livsforsikring'!G32+'Telenor Forsikring'!G32+'Tryg Forsikring'!G32+'WaterCircles F'!G32+'Euro Accident'!G32+'Ly Forsikring'!G32+'Youplus Livsforsikring'!G32+'Oslo Forsikring'!G32</f>
        <v>6325074.6596653005</v>
      </c>
      <c r="G32" s="150">
        <f t="shared" si="17"/>
        <v>14.8</v>
      </c>
      <c r="H32" s="217">
        <f t="shared" si="9"/>
        <v>8014042.0776236737</v>
      </c>
      <c r="I32" s="44">
        <f t="shared" si="7"/>
        <v>8572416.2598898374</v>
      </c>
      <c r="J32" s="24">
        <f t="shared" si="8"/>
        <v>7</v>
      </c>
    </row>
    <row r="33" spans="1:10" ht="15.75" customHeight="1" x14ac:dyDescent="0.2">
      <c r="A33" s="456" t="s">
        <v>327</v>
      </c>
      <c r="B33" s="44"/>
      <c r="C33" s="44"/>
      <c r="D33" s="27"/>
      <c r="E33" s="44">
        <f>'Fremtind Livsforsikring'!F33+'DNB Livsforsikring'!F33+'Eika Forsikring AS'!F33+'Frende Livsforsikring'!F33+'Frende Skadeforsikring'!F33+'Gjensidige Forsikring'!F33+'Gjensidige Pensjon'!F33+'If Skadeforsikring NUF'!F33+KLP!F33+'KLP Skadeforsikring AS'!F33+'Landkreditt Forsikring'!F33+'Nordea Liv '!F33+'Oslo Pensjonsforsikring'!F33+'Protector Forsikring'!F33+'Sparebank 1'!F33+'Storebrand Livsforsikring'!F33+'Telenor Forsikring'!F33+'Tryg Forsikring'!F33+'WaterCircles F'!F33+'Euro Accident'!F33+'Ly Forsikring'!F33+'Youplus Livsforsikring'!F33+'Oslo Forsikring'!F33</f>
        <v>8165900.203703111</v>
      </c>
      <c r="F33" s="44">
        <f>'Fremtind Livsforsikring'!G33+'DNB Livsforsikring'!G33+'Eika Forsikring AS'!G33+'Frende Livsforsikring'!G33+'Frende Skadeforsikring'!G33+'Gjensidige Forsikring'!G33+'Gjensidige Pensjon'!G33+'If Skadeforsikring NUF'!G33+KLP!G33+'KLP Skadeforsikring AS'!G33+'Landkreditt Forsikring'!G33+'Nordea Liv '!G33+'Oslo Pensjonsforsikring'!G33+'Protector Forsikring'!G33+'Sparebank 1'!G33+'Storebrand Livsforsikring'!G33+'Telenor Forsikring'!G33+'Tryg Forsikring'!G33+'WaterCircles F'!G33+'Euro Accident'!G33+'Ly Forsikring'!G33+'Youplus Livsforsikring'!G33+'Oslo Forsikring'!G33</f>
        <v>10176602.70230723</v>
      </c>
      <c r="G33" s="150">
        <f t="shared" ref="G33" si="18">IF($A$1=4,IF(E33=0, "    ---- ", IF(ABS(ROUND(100/E33*F33-100,1))&lt;999,ROUND(100/E33*F33-100,1),IF(ROUND(100/E33*F33-100,1)&gt;999,999,-999))),"")</f>
        <v>24.6</v>
      </c>
      <c r="H33" s="217">
        <f t="shared" ref="H33" si="19">SUM(B33,E33)</f>
        <v>8165900.203703111</v>
      </c>
      <c r="I33" s="44">
        <f t="shared" ref="I33" si="20">SUM(C33,F33)</f>
        <v>10176602.70230723</v>
      </c>
      <c r="J33" s="24">
        <f t="shared" ref="J33" si="21">IF(H33=0, "    ---- ", IF(ABS(ROUND(100/H33*I33-100,1))&lt;999,ROUND(100/H33*I33-100,1),IF(ROUND(100/H33*I33-100,1)&gt;999,999,-999)))</f>
        <v>24.6</v>
      </c>
    </row>
    <row r="34" spans="1:10" s="43" customFormat="1" ht="15.75" customHeight="1" x14ac:dyDescent="0.2">
      <c r="A34" s="39" t="s">
        <v>322</v>
      </c>
      <c r="B34" s="219">
        <f>'Fremtind Livsforsikring'!B34+'DNB Livsforsikring'!B34+'Eika Forsikring AS'!B34+'Frende Livsforsikring'!B34+'Frende Skadeforsikring'!B34+'Gjensidige Forsikring'!B34+'Gjensidige Pensjon'!B34+'If Skadeforsikring NUF'!B34+KLP!B34+'KLP Skadeforsikring AS'!B34+'Landkreditt Forsikring'!B34+'Nordea Liv '!B34+'Oslo Pensjonsforsikring'!B34+'Protector Forsikring'!B34+'Sparebank 1'!B34+'Storebrand Livsforsikring'!B34+'Telenor Forsikring'!B34+'Tryg Forsikring'!B34+'WaterCircles F'!B34+'Euro Accident'!B34+'Ly Forsikring'!B34+'Youplus Livsforsikring'!B34+'Oslo Forsikring'!B34</f>
        <v>8687.9259999999995</v>
      </c>
      <c r="C34" s="219">
        <f>'Fremtind Livsforsikring'!C34+'DNB Livsforsikring'!C34+'Eika Forsikring AS'!C34+'Frende Livsforsikring'!C34+'Frende Skadeforsikring'!C34+'Gjensidige Forsikring'!C34+'Gjensidige Pensjon'!C34+'If Skadeforsikring NUF'!C34+KLP!C34+'KLP Skadeforsikring AS'!C34+'Landkreditt Forsikring'!C34+'Nordea Liv '!C34+'Oslo Pensjonsforsikring'!C34+'Protector Forsikring'!C34+'Sparebank 1'!C34+'Storebrand Livsforsikring'!C34+'Telenor Forsikring'!C34+'Tryg Forsikring'!C34+'WaterCircles F'!C34+'Euro Accident'!C34+'Ly Forsikring'!C34+'Youplus Livsforsikring'!C34+'Oslo Forsikring'!C34</f>
        <v>5321.1620000000003</v>
      </c>
      <c r="D34" s="24">
        <f t="shared" si="5"/>
        <v>-38.799999999999997</v>
      </c>
      <c r="E34" s="293">
        <f>'Fremtind Livsforsikring'!F34+'DNB Livsforsikring'!F34+'Eika Forsikring AS'!F34+'Frende Livsforsikring'!F34+'Frende Skadeforsikring'!F34+'Gjensidige Forsikring'!F34+'Gjensidige Pensjon'!F34+'If Skadeforsikring NUF'!F34+KLP!F34+'KLP Skadeforsikring AS'!F34+'Landkreditt Forsikring'!F34+'Nordea Liv '!F34+'Oslo Pensjonsforsikring'!F34+'Protector Forsikring'!F34+'Sparebank 1'!F34+'Storebrand Livsforsikring'!F34+'Telenor Forsikring'!F34+'Tryg Forsikring'!F34+'WaterCircles F'!F34+'Euro Accident'!F34+'Ly Forsikring'!F34+'Youplus Livsforsikring'!F34+'Oslo Forsikring'!F34</f>
        <v>9769.1812799999989</v>
      </c>
      <c r="F34" s="293">
        <f>'Fremtind Livsforsikring'!G34+'DNB Livsforsikring'!G34+'Eika Forsikring AS'!G34+'Frende Livsforsikring'!G34+'Frende Skadeforsikring'!G34+'Gjensidige Forsikring'!G34+'Gjensidige Pensjon'!G34+'If Skadeforsikring NUF'!G34+KLP!G34+'KLP Skadeforsikring AS'!G34+'Landkreditt Forsikring'!G34+'Nordea Liv '!G34+'Oslo Pensjonsforsikring'!G34+'Protector Forsikring'!G34+'Sparebank 1'!G34+'Storebrand Livsforsikring'!G34+'Telenor Forsikring'!G34+'Tryg Forsikring'!G34+'WaterCircles F'!G34+'Euro Accident'!G34+'Ly Forsikring'!G34+'Youplus Livsforsikring'!G34+'Oslo Forsikring'!G34</f>
        <v>-10032.075399999998</v>
      </c>
      <c r="G34" s="155">
        <f t="shared" si="6"/>
        <v>-202.7</v>
      </c>
      <c r="H34" s="293">
        <f t="shared" si="9"/>
        <v>18457.107279999997</v>
      </c>
      <c r="I34" s="219">
        <f t="shared" si="7"/>
        <v>-4710.9133999999976</v>
      </c>
      <c r="J34" s="24">
        <f t="shared" si="8"/>
        <v>-125.5</v>
      </c>
    </row>
    <row r="35" spans="1:10" s="43" customFormat="1" ht="15.75" customHeight="1" x14ac:dyDescent="0.2">
      <c r="A35" s="39" t="s">
        <v>323</v>
      </c>
      <c r="B35" s="219">
        <f>'Fremtind Livsforsikring'!B35+'DNB Livsforsikring'!B35+'Eika Forsikring AS'!B35+'Frende Livsforsikring'!B35+'Frende Skadeforsikring'!B35+'Gjensidige Forsikring'!B35+'Gjensidige Pensjon'!B35+'If Skadeforsikring NUF'!B35+KLP!B35+'KLP Skadeforsikring AS'!B35+'Landkreditt Forsikring'!B35+'Nordea Liv '!B35+'Oslo Pensjonsforsikring'!B35+'Protector Forsikring'!B35+'Sparebank 1'!B35+'Storebrand Livsforsikring'!B35+'Telenor Forsikring'!B35+'Tryg Forsikring'!B35+'WaterCircles F'!B35+'Euro Accident'!B35+'Ly Forsikring'!B35+'Youplus Livsforsikring'!B35+'Oslo Forsikring'!B35</f>
        <v>-21920</v>
      </c>
      <c r="C35" s="219">
        <f>'Fremtind Livsforsikring'!C35+'DNB Livsforsikring'!C35+'Eika Forsikring AS'!C35+'Frende Livsforsikring'!C35+'Frende Skadeforsikring'!C35+'Gjensidige Forsikring'!C35+'Gjensidige Pensjon'!C35+'If Skadeforsikring NUF'!C35+KLP!C35+'KLP Skadeforsikring AS'!C35+'Landkreditt Forsikring'!C35+'Nordea Liv '!C35+'Oslo Pensjonsforsikring'!C35+'Protector Forsikring'!C35+'Sparebank 1'!C35+'Storebrand Livsforsikring'!C35+'Telenor Forsikring'!C35+'Tryg Forsikring'!C35+'WaterCircles F'!C35+'Euro Accident'!C35+'Ly Forsikring'!C35+'Youplus Livsforsikring'!C35+'Oslo Forsikring'!C35</f>
        <v>-57567.2425</v>
      </c>
      <c r="D35" s="24">
        <f t="shared" si="5"/>
        <v>162.6</v>
      </c>
      <c r="E35" s="293">
        <f>'Fremtind Livsforsikring'!F35+'DNB Livsforsikring'!F35+'Eika Forsikring AS'!F35+'Frende Livsforsikring'!F35+'Frende Skadeforsikring'!F35+'Gjensidige Forsikring'!F35+'Gjensidige Pensjon'!F35+'If Skadeforsikring NUF'!F35+KLP!F35+'KLP Skadeforsikring AS'!F35+'Landkreditt Forsikring'!F35+'Nordea Liv '!F35+'Oslo Pensjonsforsikring'!F35+'Protector Forsikring'!F35+'Sparebank 1'!F35+'Storebrand Livsforsikring'!F35+'Telenor Forsikring'!F35+'Tryg Forsikring'!F35+'WaterCircles F'!F35+'Euro Accident'!F35+'Ly Forsikring'!F35+'Youplus Livsforsikring'!F35+'Oslo Forsikring'!F35</f>
        <v>40988.69025</v>
      </c>
      <c r="F35" s="293">
        <f>'Fremtind Livsforsikring'!G35+'DNB Livsforsikring'!G35+'Eika Forsikring AS'!G35+'Frende Livsforsikring'!G35+'Frende Skadeforsikring'!G35+'Gjensidige Forsikring'!G35+'Gjensidige Pensjon'!G35+'If Skadeforsikring NUF'!G35+KLP!G35+'KLP Skadeforsikring AS'!G35+'Landkreditt Forsikring'!G35+'Nordea Liv '!G35+'Oslo Pensjonsforsikring'!G35+'Protector Forsikring'!G35+'Sparebank 1'!G35+'Storebrand Livsforsikring'!G35+'Telenor Forsikring'!G35+'Tryg Forsikring'!G35+'WaterCircles F'!G35+'Euro Accident'!G35+'Ly Forsikring'!G35+'Youplus Livsforsikring'!G35+'Oslo Forsikring'!G35</f>
        <v>58871.71516</v>
      </c>
      <c r="G35" s="155">
        <f t="shared" si="6"/>
        <v>43.6</v>
      </c>
      <c r="H35" s="293">
        <f t="shared" si="9"/>
        <v>19068.69025</v>
      </c>
      <c r="I35" s="219">
        <f t="shared" si="7"/>
        <v>1304.4726599999995</v>
      </c>
      <c r="J35" s="24">
        <f t="shared" si="8"/>
        <v>-93.2</v>
      </c>
    </row>
    <row r="36" spans="1:10" s="43" customFormat="1" ht="15.75" customHeight="1" x14ac:dyDescent="0.2">
      <c r="A36" s="12" t="s">
        <v>253</v>
      </c>
      <c r="B36" s="219">
        <f>'Fremtind Livsforsikring'!B36+'DNB Livsforsikring'!B36+'Eika Forsikring AS'!B36+'Frende Livsforsikring'!B36+'Frende Skadeforsikring'!B36+'Gjensidige Forsikring'!B36+'Gjensidige Pensjon'!B36+'If Skadeforsikring NUF'!B36+KLP!B36+'KLP Skadeforsikring AS'!B36+'Landkreditt Forsikring'!B36+'Nordea Liv '!B36+'Oslo Pensjonsforsikring'!B36+'Protector Forsikring'!B36+'Sparebank 1'!B36+'Storebrand Livsforsikring'!B36+'Telenor Forsikring'!B36+'Tryg Forsikring'!B36+'WaterCircles F'!B36+'Euro Accident'!B36+'Ly Forsikring'!B36+'Youplus Livsforsikring'!B36+'Oslo Forsikring'!B36</f>
        <v>358.87200000000001</v>
      </c>
      <c r="C36" s="219">
        <f>'Fremtind Livsforsikring'!C36+'DNB Livsforsikring'!C36+'Eika Forsikring AS'!C36+'Frende Livsforsikring'!C36+'Frende Skadeforsikring'!C36+'Gjensidige Forsikring'!C36+'Gjensidige Pensjon'!C36+'If Skadeforsikring NUF'!C36+KLP!C36+'KLP Skadeforsikring AS'!C36+'Landkreditt Forsikring'!C36+'Nordea Liv '!C36+'Oslo Pensjonsforsikring'!C36+'Protector Forsikring'!C36+'Sparebank 1'!C36+'Storebrand Livsforsikring'!C36+'Telenor Forsikring'!C36+'Tryg Forsikring'!C36+'WaterCircles F'!C36+'Euro Accident'!C36+'Ly Forsikring'!C36+'Youplus Livsforsikring'!C36+'Oslo Forsikring'!C36</f>
        <v>548.72699999999998</v>
      </c>
      <c r="D36" s="11">
        <f t="shared" si="5"/>
        <v>52.9</v>
      </c>
      <c r="E36" s="304"/>
      <c r="F36" s="304"/>
      <c r="G36" s="155"/>
      <c r="H36" s="293">
        <f t="shared" si="9"/>
        <v>358.87200000000001</v>
      </c>
      <c r="I36" s="219">
        <f t="shared" si="7"/>
        <v>548.72699999999998</v>
      </c>
      <c r="J36" s="11">
        <f t="shared" si="8"/>
        <v>52.9</v>
      </c>
    </row>
    <row r="37" spans="1:10" s="43" customFormat="1" ht="15.75" customHeight="1" x14ac:dyDescent="0.2">
      <c r="A37" s="457" t="s">
        <v>329</v>
      </c>
      <c r="B37" s="219">
        <f>'Fremtind Livsforsikring'!B37+'DNB Livsforsikring'!B37+'Eika Forsikring AS'!B37+'Frende Livsforsikring'!B37+'Frende Skadeforsikring'!B37+'Gjensidige Forsikring'!B37+'Gjensidige Pensjon'!B37+'If Skadeforsikring NUF'!B37+KLP!B37+'KLP Skadeforsikring AS'!B37+'Landkreditt Forsikring'!B37+'Nordea Liv '!B37+'Oslo Pensjonsforsikring'!B37+'Protector Forsikring'!B37+'Sparebank 1'!B37+'Storebrand Livsforsikring'!B37+'Telenor Forsikring'!B37+'Tryg Forsikring'!B37+'WaterCircles F'!B37+'Euro Accident'!B37+'Ly Forsikring'!B37+'Youplus Livsforsikring'!B37+'Oslo Forsikring'!B37</f>
        <v>2856071.43646</v>
      </c>
      <c r="C37" s="219">
        <f>'Fremtind Livsforsikring'!C37+'DNB Livsforsikring'!C37+'Eika Forsikring AS'!C37+'Frende Livsforsikring'!C37+'Frende Skadeforsikring'!C37+'Gjensidige Forsikring'!C37+'Gjensidige Pensjon'!C37+'If Skadeforsikring NUF'!C37+KLP!C37+'KLP Skadeforsikring AS'!C37+'Landkreditt Forsikring'!C37+'Nordea Liv '!C37+'Oslo Pensjonsforsikring'!C37+'Protector Forsikring'!C37+'Sparebank 1'!C37+'Storebrand Livsforsikring'!C37+'Telenor Forsikring'!C37+'Tryg Forsikring'!C37+'WaterCircles F'!C37+'Euro Accident'!C37+'Ly Forsikring'!C37+'Youplus Livsforsikring'!C37+'Oslo Forsikring'!C37</f>
        <v>2634206.4802200003</v>
      </c>
      <c r="D37" s="24">
        <f t="shared" si="5"/>
        <v>-7.8</v>
      </c>
      <c r="E37" s="309"/>
      <c r="F37" s="309"/>
      <c r="G37" s="155"/>
      <c r="H37" s="293">
        <f t="shared" si="9"/>
        <v>2856071.43646</v>
      </c>
      <c r="I37" s="219">
        <f t="shared" si="7"/>
        <v>2634206.4802200003</v>
      </c>
      <c r="J37" s="24">
        <f t="shared" si="8"/>
        <v>-7.8</v>
      </c>
    </row>
    <row r="38" spans="1:10" s="43" customFormat="1" ht="15.75" customHeight="1" x14ac:dyDescent="0.2">
      <c r="A38" s="457" t="s">
        <v>330</v>
      </c>
      <c r="B38" s="219"/>
      <c r="C38" s="219"/>
      <c r="D38" s="24"/>
      <c r="E38" s="304"/>
      <c r="F38" s="304"/>
      <c r="G38" s="155"/>
      <c r="H38" s="293"/>
      <c r="I38" s="219"/>
      <c r="J38" s="24"/>
    </row>
    <row r="39" spans="1:10" s="43" customFormat="1" ht="15.75" customHeight="1" x14ac:dyDescent="0.2">
      <c r="A39" s="458" t="s">
        <v>331</v>
      </c>
      <c r="B39" s="261">
        <f>'Fremtind Livsforsikring'!B39+'DNB Livsforsikring'!B39+'Eika Forsikring AS'!B39+'Frende Livsforsikring'!B39+'Frende Skadeforsikring'!B39+'Gjensidige Forsikring'!B39+'Gjensidige Pensjon'!B39+'If Skadeforsikring NUF'!B39+KLP!B39+'KLP Skadeforsikring AS'!B39+'Landkreditt Forsikring'!B39+'Nordea Liv '!B39+'Oslo Pensjonsforsikring'!B39+'Protector Forsikring'!B39+'Sparebank 1'!B39+'Storebrand Livsforsikring'!B39+'Telenor Forsikring'!B39+'Tryg Forsikring'!B39+'WaterCircles F'!B39+'Euro Accident'!B39+'Ly Forsikring'!B39+'Youplus Livsforsikring'!B39+'Oslo Forsikring'!B39</f>
        <v>7</v>
      </c>
      <c r="C39" s="261">
        <f>'Fremtind Livsforsikring'!C39+'DNB Livsforsikring'!C39+'Eika Forsikring AS'!C39+'Frende Livsforsikring'!C39+'Frende Skadeforsikring'!C39+'Gjensidige Forsikring'!C39+'Gjensidige Pensjon'!C39+'If Skadeforsikring NUF'!C39+KLP!C39+'KLP Skadeforsikring AS'!C39+'Landkreditt Forsikring'!C39+'Nordea Liv '!C39+'Oslo Pensjonsforsikring'!C39+'Protector Forsikring'!C39+'Sparebank 1'!C39+'Storebrand Livsforsikring'!C39+'Telenor Forsikring'!C39+'Tryg Forsikring'!C39+'WaterCircles F'!C39+'Euro Accident'!C39+'Ly Forsikring'!C39+'Youplus Livsforsikring'!C39+'Oslo Forsikring'!C39</f>
        <v>0</v>
      </c>
      <c r="D39" s="36">
        <f t="shared" si="5"/>
        <v>-100</v>
      </c>
      <c r="E39" s="310"/>
      <c r="F39" s="310"/>
      <c r="G39" s="153"/>
      <c r="H39" s="299">
        <f t="shared" si="9"/>
        <v>7</v>
      </c>
      <c r="I39" s="261">
        <f t="shared" si="7"/>
        <v>0</v>
      </c>
      <c r="J39" s="36">
        <f t="shared" si="8"/>
        <v>-100</v>
      </c>
    </row>
    <row r="40" spans="1:10" ht="15.75" customHeight="1" x14ac:dyDescent="0.2">
      <c r="A40" s="47"/>
    </row>
    <row r="41" spans="1:10" ht="15.75" customHeight="1" x14ac:dyDescent="0.2">
      <c r="A41" s="139"/>
    </row>
    <row r="42" spans="1:10" ht="15.75" customHeight="1" x14ac:dyDescent="0.25">
      <c r="A42" s="131" t="s">
        <v>243</v>
      </c>
      <c r="B42" s="699"/>
      <c r="C42" s="699"/>
      <c r="D42" s="699"/>
      <c r="E42" s="703"/>
      <c r="F42" s="703"/>
      <c r="G42" s="703"/>
      <c r="H42" s="703"/>
      <c r="I42" s="703"/>
      <c r="J42" s="703"/>
    </row>
    <row r="43" spans="1:10" ht="15.75" customHeight="1" x14ac:dyDescent="0.25">
      <c r="A43" s="147"/>
      <c r="B43" s="412"/>
      <c r="C43" s="412"/>
      <c r="D43" s="412"/>
      <c r="E43" s="283"/>
      <c r="F43" s="283"/>
      <c r="G43" s="283"/>
      <c r="H43" s="283"/>
      <c r="I43" s="283"/>
      <c r="J43" s="283"/>
    </row>
    <row r="44" spans="1:10" s="3" customFormat="1" ht="15.75" customHeight="1" x14ac:dyDescent="0.25">
      <c r="A44" s="232"/>
      <c r="B44" s="311" t="s">
        <v>0</v>
      </c>
      <c r="C44" s="312"/>
      <c r="D44" s="240"/>
      <c r="E44" s="42"/>
      <c r="F44" s="42"/>
      <c r="G44" s="40"/>
      <c r="H44" s="42"/>
      <c r="I44" s="42"/>
      <c r="J44" s="40"/>
    </row>
    <row r="45" spans="1:10" s="3" customFormat="1" ht="15.75" customHeight="1" x14ac:dyDescent="0.2">
      <c r="A45" s="124"/>
      <c r="B45" s="237" t="s">
        <v>421</v>
      </c>
      <c r="C45" s="238" t="s">
        <v>422</v>
      </c>
      <c r="D45" s="235" t="s">
        <v>3</v>
      </c>
      <c r="E45" s="42"/>
      <c r="F45" s="42"/>
      <c r="G45" s="40"/>
      <c r="H45" s="42"/>
      <c r="I45" s="42"/>
      <c r="J45" s="40"/>
    </row>
    <row r="46" spans="1:10" s="3" customFormat="1" ht="15.75" customHeight="1" x14ac:dyDescent="0.2">
      <c r="A46" s="682"/>
      <c r="B46" s="46"/>
      <c r="C46" s="239"/>
      <c r="D46" s="17" t="s">
        <v>4</v>
      </c>
      <c r="E46" s="40"/>
      <c r="F46" s="40"/>
      <c r="G46" s="40"/>
      <c r="H46" s="40"/>
      <c r="I46" s="40"/>
      <c r="J46" s="40"/>
    </row>
    <row r="47" spans="1:10" s="397" customFormat="1" ht="15.75" customHeight="1" x14ac:dyDescent="0.2">
      <c r="A47" s="14" t="s">
        <v>23</v>
      </c>
      <c r="B47" s="219">
        <f>'Fremtind Livsforsikring'!B47+'DNB Livsforsikring'!B47+'Eika Forsikring AS'!B47+'Frende Livsforsikring'!B47+'Frende Skadeforsikring'!B47+'Gjensidige Forsikring'!B47+'Gjensidige Pensjon'!B47+'If Skadeforsikring NUF'!B47+KLP!B47+'KLP Skadeforsikring AS'!B47+'Landkreditt Forsikring'!B47+'Nordea Liv '!B47+'Oslo Pensjonsforsikring'!B47+'Protector Forsikring'!B47+'Sparebank 1'!B47+'Storebrand Livsforsikring'!B47+'Telenor Forsikring'!B47+'Tryg Forsikring'!B47+'WaterCircles F'!B47+'Euro Accident'!B47+'Ly Forsikring'!B47+'Youplus Livsforsikring'!B47+'Oslo Forsikring'!B47</f>
        <v>3736795.0532203927</v>
      </c>
      <c r="C47" s="219">
        <f>'Fremtind Livsforsikring'!C47+'DNB Livsforsikring'!C47+'Eika Forsikring AS'!C47+'Frende Livsforsikring'!C47+'Frende Skadeforsikring'!C47+'Gjensidige Forsikring'!C47+'Gjensidige Pensjon'!C47+'If Skadeforsikring NUF'!C47+KLP!C47+'KLP Skadeforsikring AS'!C47+'Landkreditt Forsikring'!C47+'Nordea Liv '!C47+'Oslo Pensjonsforsikring'!C47+'Protector Forsikring'!C47+'Sparebank 1'!C47+'Storebrand Livsforsikring'!C47+'Telenor Forsikring'!C47+'Tryg Forsikring'!C47+'WaterCircles F'!C47+'Euro Accident'!C47+'Ly Forsikring'!C47+'Youplus Livsforsikring'!C47+'Oslo Forsikring'!C47</f>
        <v>4118428.1644899994</v>
      </c>
      <c r="D47" s="24">
        <f t="shared" ref="D47:D57" si="22">IF(B47=0, "    ---- ", IF(ABS(ROUND(100/B47*C47-100,1))&lt;999,ROUND(100/B47*C47-100,1),IF(ROUND(100/B47*C47-100,1)&gt;999,999,-999)))</f>
        <v>10.199999999999999</v>
      </c>
      <c r="E47" s="398"/>
      <c r="F47" s="399"/>
      <c r="G47" s="32"/>
      <c r="H47" s="400"/>
      <c r="I47" s="400"/>
      <c r="J47" s="32"/>
    </row>
    <row r="48" spans="1:10" s="3" customFormat="1" ht="15.75" customHeight="1" x14ac:dyDescent="0.2">
      <c r="A48" s="38" t="s">
        <v>332</v>
      </c>
      <c r="B48" s="44">
        <f>'Fremtind Livsforsikring'!B48+'DNB Livsforsikring'!B48+'Eika Forsikring AS'!B48+'Frende Livsforsikring'!B48+'Frende Skadeforsikring'!B48+'Gjensidige Forsikring'!B48+'Gjensidige Pensjon'!B48+'If Skadeforsikring NUF'!B48+KLP!B48+'KLP Skadeforsikring AS'!B48+'Landkreditt Forsikring'!B48+'Nordea Liv '!B48+'Oslo Pensjonsforsikring'!B48+'Protector Forsikring'!B48+'Sparebank 1'!B48+'Storebrand Livsforsikring'!B48+'Telenor Forsikring'!B48+'Tryg Forsikring'!B48+'WaterCircles F'!B48+'Euro Accident'!B48+'Ly Forsikring'!B48+'Youplus Livsforsikring'!B48+'Oslo Forsikring'!B48</f>
        <v>2019173.5151303927</v>
      </c>
      <c r="C48" s="44">
        <f>'Fremtind Livsforsikring'!C48+'DNB Livsforsikring'!C48+'Eika Forsikring AS'!C48+'Frende Livsforsikring'!C48+'Frende Skadeforsikring'!C48+'Gjensidige Forsikring'!C48+'Gjensidige Pensjon'!C48+'If Skadeforsikring NUF'!C48+KLP!C48+'KLP Skadeforsikring AS'!C48+'Landkreditt Forsikring'!C48+'Nordea Liv '!C48+'Oslo Pensjonsforsikring'!C48+'Protector Forsikring'!C48+'Sparebank 1'!C48+'Storebrand Livsforsikring'!C48+'Telenor Forsikring'!C48+'Tryg Forsikring'!C48+'WaterCircles F'!C48+'Euro Accident'!C48+'Ly Forsikring'!C48+'Youplus Livsforsikring'!C48+'Oslo Forsikring'!C48</f>
        <v>2200669.1947999997</v>
      </c>
      <c r="D48" s="24">
        <f t="shared" si="22"/>
        <v>9</v>
      </c>
      <c r="E48" s="35"/>
      <c r="F48" s="5"/>
      <c r="G48" s="34"/>
      <c r="H48" s="33"/>
      <c r="I48" s="33"/>
      <c r="J48" s="32"/>
    </row>
    <row r="49" spans="1:10" s="3" customFormat="1" ht="15.75" customHeight="1" x14ac:dyDescent="0.2">
      <c r="A49" s="38" t="s">
        <v>333</v>
      </c>
      <c r="B49" s="175">
        <f>'Fremtind Livsforsikring'!B49+'DNB Livsforsikring'!B49+'Eika Forsikring AS'!B49+'Frende Livsforsikring'!B49+'Frende Skadeforsikring'!B49+'Gjensidige Forsikring'!B49+'Gjensidige Pensjon'!B49+'If Skadeforsikring NUF'!B49+KLP!B49+'KLP Skadeforsikring AS'!B49+'Landkreditt Forsikring'!B49+'Nordea Liv '!B49+'Oslo Pensjonsforsikring'!B49+'Protector Forsikring'!B49+'Sparebank 1'!B49+'Storebrand Livsforsikring'!B49+'Telenor Forsikring'!B49+'Tryg Forsikring'!B49+'WaterCircles F'!B49+'Euro Accident'!B49+'Ly Forsikring'!B49+'Youplus Livsforsikring'!B49+'Oslo Forsikring'!B49</f>
        <v>1717621.5380900002</v>
      </c>
      <c r="C49" s="175">
        <f>'Fremtind Livsforsikring'!C49+'DNB Livsforsikring'!C49+'Eika Forsikring AS'!C49+'Frende Livsforsikring'!C49+'Frende Skadeforsikring'!C49+'Gjensidige Forsikring'!C49+'Gjensidige Pensjon'!C49+'If Skadeforsikring NUF'!C49+KLP!C49+'KLP Skadeforsikring AS'!C49+'Landkreditt Forsikring'!C49+'Nordea Liv '!C49+'Oslo Pensjonsforsikring'!C49+'Protector Forsikring'!C49+'Sparebank 1'!C49+'Storebrand Livsforsikring'!C49+'Telenor Forsikring'!C49+'Tryg Forsikring'!C49+'WaterCircles F'!C49+'Euro Accident'!C49+'Ly Forsikring'!C49+'Youplus Livsforsikring'!C49+'Oslo Forsikring'!C49</f>
        <v>1917758.9696899999</v>
      </c>
      <c r="D49" s="24">
        <f t="shared" si="22"/>
        <v>11.7</v>
      </c>
      <c r="E49" s="35"/>
      <c r="F49" s="5"/>
      <c r="G49" s="34"/>
      <c r="H49" s="37"/>
      <c r="I49" s="37"/>
      <c r="J49" s="32"/>
    </row>
    <row r="50" spans="1:10" s="3" customFormat="1" ht="15.75" customHeight="1" x14ac:dyDescent="0.2">
      <c r="A50" s="281" t="s">
        <v>6</v>
      </c>
      <c r="B50" s="44"/>
      <c r="C50" s="44"/>
      <c r="D50" s="27"/>
      <c r="E50" s="35"/>
      <c r="F50" s="5"/>
      <c r="G50" s="34"/>
      <c r="H50" s="33"/>
      <c r="I50" s="33"/>
      <c r="J50" s="32"/>
    </row>
    <row r="51" spans="1:10" s="3" customFormat="1" ht="15.75" customHeight="1" x14ac:dyDescent="0.2">
      <c r="A51" s="281" t="s">
        <v>7</v>
      </c>
      <c r="B51" s="44"/>
      <c r="C51" s="44"/>
      <c r="D51" s="27"/>
      <c r="E51" s="35"/>
      <c r="F51" s="5"/>
      <c r="G51" s="34"/>
      <c r="H51" s="33"/>
      <c r="I51" s="33"/>
      <c r="J51" s="32"/>
    </row>
    <row r="52" spans="1:10" s="3" customFormat="1" ht="15.75" customHeight="1" x14ac:dyDescent="0.2">
      <c r="A52" s="281" t="s">
        <v>8</v>
      </c>
      <c r="B52" s="44"/>
      <c r="C52" s="44"/>
      <c r="D52" s="27"/>
      <c r="E52" s="35"/>
      <c r="F52" s="5"/>
      <c r="G52" s="34"/>
      <c r="H52" s="33"/>
      <c r="I52" s="33"/>
      <c r="J52" s="32"/>
    </row>
    <row r="53" spans="1:10" s="397" customFormat="1" ht="15.75" customHeight="1" x14ac:dyDescent="0.2">
      <c r="A53" s="39" t="s">
        <v>334</v>
      </c>
      <c r="B53" s="219">
        <f>'Fremtind Livsforsikring'!B53+'DNB Livsforsikring'!B53+'Eika Forsikring AS'!B53+'Frende Livsforsikring'!B53+'Frende Skadeforsikring'!B53+'Gjensidige Forsikring'!B53+'Gjensidige Pensjon'!B53+'If Skadeforsikring NUF'!B53+KLP!B53+'KLP Skadeforsikring AS'!B53+'Landkreditt Forsikring'!B53+'Nordea Liv '!B53+'Oslo Pensjonsforsikring'!B53+'Protector Forsikring'!B53+'Sparebank 1'!B53+'Storebrand Livsforsikring'!B53+'Telenor Forsikring'!B53+'Tryg Forsikring'!B53+'WaterCircles F'!B53+'Euro Accident'!B53+'Ly Forsikring'!B53+'Youplus Livsforsikring'!B53+'Oslo Forsikring'!B53</f>
        <v>98708.926999999996</v>
      </c>
      <c r="C53" s="219">
        <f>'Fremtind Livsforsikring'!C53+'DNB Livsforsikring'!C53+'Eika Forsikring AS'!C53+'Frende Livsforsikring'!C53+'Frende Skadeforsikring'!C53+'Gjensidige Forsikring'!C53+'Gjensidige Pensjon'!C53+'If Skadeforsikring NUF'!C53+KLP!C53+'KLP Skadeforsikring AS'!C53+'Landkreditt Forsikring'!C53+'Nordea Liv '!C53+'Oslo Pensjonsforsikring'!C53+'Protector Forsikring'!C53+'Sparebank 1'!C53+'Storebrand Livsforsikring'!C53+'Telenor Forsikring'!C53+'Tryg Forsikring'!C53+'WaterCircles F'!C53+'Euro Accident'!C53+'Ly Forsikring'!C53+'Youplus Livsforsikring'!C53+'Oslo Forsikring'!C53</f>
        <v>102107.47899999999</v>
      </c>
      <c r="D53" s="24">
        <f t="shared" si="22"/>
        <v>3.4</v>
      </c>
      <c r="E53" s="398"/>
      <c r="F53" s="399"/>
      <c r="G53" s="32"/>
      <c r="H53" s="158"/>
      <c r="I53" s="158"/>
      <c r="J53" s="32"/>
    </row>
    <row r="54" spans="1:10" s="3" customFormat="1" ht="15.75" customHeight="1" x14ac:dyDescent="0.2">
      <c r="A54" s="38" t="s">
        <v>332</v>
      </c>
      <c r="B54" s="44">
        <f>'Fremtind Livsforsikring'!B54+'DNB Livsforsikring'!B54+'Eika Forsikring AS'!B54+'Frende Livsforsikring'!B54+'Frende Skadeforsikring'!B54+'Gjensidige Forsikring'!B54+'Gjensidige Pensjon'!B54+'If Skadeforsikring NUF'!B54+KLP!B54+'KLP Skadeforsikring AS'!B54+'Landkreditt Forsikring'!B54+'Nordea Liv '!B54+'Oslo Pensjonsforsikring'!B54+'Protector Forsikring'!B54+'Sparebank 1'!B54+'Storebrand Livsforsikring'!B54+'Telenor Forsikring'!B54+'Tryg Forsikring'!B54+'WaterCircles F'!B54+'Euro Accident'!B54+'Ly Forsikring'!B54+'Youplus Livsforsikring'!B54+'Oslo Forsikring'!B54</f>
        <v>97762.926999999996</v>
      </c>
      <c r="C54" s="44">
        <f>'Fremtind Livsforsikring'!C54+'DNB Livsforsikring'!C54+'Eika Forsikring AS'!C54+'Frende Livsforsikring'!C54+'Frende Skadeforsikring'!C54+'Gjensidige Forsikring'!C54+'Gjensidige Pensjon'!C54+'If Skadeforsikring NUF'!C54+KLP!C54+'KLP Skadeforsikring AS'!C54+'Landkreditt Forsikring'!C54+'Nordea Liv '!C54+'Oslo Pensjonsforsikring'!C54+'Protector Forsikring'!C54+'Sparebank 1'!C54+'Storebrand Livsforsikring'!C54+'Telenor Forsikring'!C54+'Tryg Forsikring'!C54+'WaterCircles F'!C54+'Euro Accident'!C54+'Ly Forsikring'!C54+'Youplus Livsforsikring'!C54+'Oslo Forsikring'!C54</f>
        <v>101118.47899999999</v>
      </c>
      <c r="D54" s="24">
        <f t="shared" si="22"/>
        <v>3.4</v>
      </c>
      <c r="E54" s="35"/>
      <c r="F54" s="5"/>
      <c r="G54" s="34"/>
      <c r="H54" s="33"/>
      <c r="I54" s="33"/>
      <c r="J54" s="32"/>
    </row>
    <row r="55" spans="1:10" s="3" customFormat="1" ht="15.75" customHeight="1" x14ac:dyDescent="0.2">
      <c r="A55" s="38" t="s">
        <v>333</v>
      </c>
      <c r="B55" s="44">
        <f>'Fremtind Livsforsikring'!B55+'DNB Livsforsikring'!B55+'Eika Forsikring AS'!B55+'Frende Livsforsikring'!B55+'Frende Skadeforsikring'!B55+'Gjensidige Forsikring'!B55+'Gjensidige Pensjon'!B55+'If Skadeforsikring NUF'!B55+KLP!B55+'KLP Skadeforsikring AS'!B55+'Landkreditt Forsikring'!B55+'Nordea Liv '!B55+'Oslo Pensjonsforsikring'!B55+'Protector Forsikring'!B55+'Sparebank 1'!B55+'Storebrand Livsforsikring'!B55+'Telenor Forsikring'!B55+'Tryg Forsikring'!B55+'WaterCircles F'!B55+'Euro Accident'!B55+'Ly Forsikring'!B55+'Youplus Livsforsikring'!B55+'Oslo Forsikring'!B55</f>
        <v>946</v>
      </c>
      <c r="C55" s="44">
        <f>'Fremtind Livsforsikring'!C55+'DNB Livsforsikring'!C55+'Eika Forsikring AS'!C55+'Frende Livsforsikring'!C55+'Frende Skadeforsikring'!C55+'Gjensidige Forsikring'!C55+'Gjensidige Pensjon'!C55+'If Skadeforsikring NUF'!C55+KLP!C55+'KLP Skadeforsikring AS'!C55+'Landkreditt Forsikring'!C55+'Nordea Liv '!C55+'Oslo Pensjonsforsikring'!C55+'Protector Forsikring'!C55+'Sparebank 1'!C55+'Storebrand Livsforsikring'!C55+'Telenor Forsikring'!C55+'Tryg Forsikring'!C55+'WaterCircles F'!C55+'Euro Accident'!C55+'Ly Forsikring'!C55+'Youplus Livsforsikring'!C55+'Oslo Forsikring'!C55</f>
        <v>989</v>
      </c>
      <c r="D55" s="24">
        <f t="shared" si="22"/>
        <v>4.5</v>
      </c>
      <c r="E55" s="35"/>
      <c r="F55" s="5"/>
      <c r="G55" s="34"/>
      <c r="H55" s="33"/>
      <c r="I55" s="33"/>
      <c r="J55" s="32"/>
    </row>
    <row r="56" spans="1:10" s="397" customFormat="1" ht="15.75" customHeight="1" x14ac:dyDescent="0.2">
      <c r="A56" s="39" t="s">
        <v>335</v>
      </c>
      <c r="B56" s="219">
        <f>'Fremtind Livsforsikring'!B56+'DNB Livsforsikring'!B56+'Eika Forsikring AS'!B56+'Frende Livsforsikring'!B56+'Frende Skadeforsikring'!B56+'Gjensidige Forsikring'!B56+'Gjensidige Pensjon'!B56+'If Skadeforsikring NUF'!B56+KLP!B56+'KLP Skadeforsikring AS'!B56+'Landkreditt Forsikring'!B56+'Nordea Liv '!B56+'Oslo Pensjonsforsikring'!B56+'Protector Forsikring'!B56+'Sparebank 1'!B56+'Storebrand Livsforsikring'!B56+'Telenor Forsikring'!B56+'Tryg Forsikring'!B56+'WaterCircles F'!B56+'Euro Accident'!B56+'Ly Forsikring'!B56+'Youplus Livsforsikring'!B56+'Oslo Forsikring'!B56</f>
        <v>59547.007999999994</v>
      </c>
      <c r="C56" s="219">
        <f>'Fremtind Livsforsikring'!C56+'DNB Livsforsikring'!C56+'Eika Forsikring AS'!C56+'Frende Livsforsikring'!C56+'Frende Skadeforsikring'!C56+'Gjensidige Forsikring'!C56+'Gjensidige Pensjon'!C56+'If Skadeforsikring NUF'!C56+KLP!C56+'KLP Skadeforsikring AS'!C56+'Landkreditt Forsikring'!C56+'Nordea Liv '!C56+'Oslo Pensjonsforsikring'!C56+'Protector Forsikring'!C56+'Sparebank 1'!C56+'Storebrand Livsforsikring'!C56+'Telenor Forsikring'!C56+'Tryg Forsikring'!C56+'WaterCircles F'!C56+'Euro Accident'!C56+'Ly Forsikring'!C56+'Youplus Livsforsikring'!C56+'Oslo Forsikring'!C56</f>
        <v>96012.878999999986</v>
      </c>
      <c r="D56" s="24">
        <f t="shared" si="22"/>
        <v>61.2</v>
      </c>
      <c r="E56" s="398"/>
      <c r="F56" s="399"/>
      <c r="G56" s="32"/>
      <c r="H56" s="158"/>
      <c r="I56" s="158"/>
      <c r="J56" s="32"/>
    </row>
    <row r="57" spans="1:10" s="3" customFormat="1" ht="15.75" customHeight="1" x14ac:dyDescent="0.2">
      <c r="A57" s="38" t="s">
        <v>332</v>
      </c>
      <c r="B57" s="44">
        <f>'Fremtind Livsforsikring'!B57+'DNB Livsforsikring'!B57+'Eika Forsikring AS'!B57+'Frende Livsforsikring'!B57+'Frende Skadeforsikring'!B57+'Gjensidige Forsikring'!B57+'Gjensidige Pensjon'!B57+'If Skadeforsikring NUF'!B57+KLP!B57+'KLP Skadeforsikring AS'!B57+'Landkreditt Forsikring'!B57+'Nordea Liv '!B57+'Oslo Pensjonsforsikring'!B57+'Protector Forsikring'!B57+'Sparebank 1'!B57+'Storebrand Livsforsikring'!B57+'Telenor Forsikring'!B57+'Tryg Forsikring'!B57+'WaterCircles F'!B57+'Euro Accident'!B57+'Ly Forsikring'!B57+'Youplus Livsforsikring'!B57+'Oslo Forsikring'!B57</f>
        <v>59547.007999999994</v>
      </c>
      <c r="C57" s="44">
        <f>'Fremtind Livsforsikring'!C57+'DNB Livsforsikring'!C57+'Eika Forsikring AS'!C57+'Frende Livsforsikring'!C57+'Frende Skadeforsikring'!C57+'Gjensidige Forsikring'!C57+'Gjensidige Pensjon'!C57+'If Skadeforsikring NUF'!C57+KLP!C57+'KLP Skadeforsikring AS'!C57+'Landkreditt Forsikring'!C57+'Nordea Liv '!C57+'Oslo Pensjonsforsikring'!C57+'Protector Forsikring'!C57+'Sparebank 1'!C57+'Storebrand Livsforsikring'!C57+'Telenor Forsikring'!C57+'Tryg Forsikring'!C57+'WaterCircles F'!C57+'Euro Accident'!C57+'Ly Forsikring'!C57+'Youplus Livsforsikring'!C57+'Oslo Forsikring'!C57</f>
        <v>96012.878999999986</v>
      </c>
      <c r="D57" s="24">
        <f t="shared" si="22"/>
        <v>61.2</v>
      </c>
      <c r="E57" s="35"/>
      <c r="F57" s="5"/>
      <c r="G57" s="34"/>
      <c r="H57" s="33"/>
      <c r="I57" s="33"/>
      <c r="J57" s="32"/>
    </row>
    <row r="58" spans="1:10" s="3" customFormat="1" ht="15.75" customHeight="1" x14ac:dyDescent="0.2">
      <c r="A58" s="38" t="s">
        <v>333</v>
      </c>
      <c r="B58" s="45"/>
      <c r="C58" s="45"/>
      <c r="D58" s="36"/>
      <c r="E58" s="35"/>
      <c r="F58" s="5"/>
      <c r="G58" s="34"/>
      <c r="H58" s="33"/>
      <c r="I58" s="33"/>
      <c r="J58" s="32"/>
    </row>
    <row r="59" spans="1:10" s="3" customFormat="1" ht="15.75" customHeight="1" x14ac:dyDescent="0.25">
      <c r="A59" s="148"/>
      <c r="B59" s="30"/>
      <c r="C59" s="30"/>
      <c r="D59" s="30"/>
      <c r="E59" s="31"/>
      <c r="F59" s="31"/>
      <c r="G59" s="31"/>
      <c r="H59" s="31"/>
      <c r="I59" s="31"/>
      <c r="J59" s="31"/>
    </row>
    <row r="60" spans="1:10" ht="15.75" customHeight="1" x14ac:dyDescent="0.2">
      <c r="A60" s="139"/>
    </row>
    <row r="61" spans="1:10" ht="15.75" customHeight="1" x14ac:dyDescent="0.25">
      <c r="A61" s="131" t="s">
        <v>244</v>
      </c>
      <c r="C61" s="26"/>
      <c r="D61" s="25"/>
      <c r="E61" s="26"/>
      <c r="F61" s="26"/>
      <c r="G61" s="25"/>
      <c r="H61" s="26"/>
      <c r="I61" s="26"/>
      <c r="J61" s="25"/>
    </row>
    <row r="62" spans="1:10" ht="20.100000000000001" customHeight="1" x14ac:dyDescent="0.25">
      <c r="A62" s="133"/>
      <c r="B62" s="699"/>
      <c r="C62" s="699"/>
      <c r="D62" s="699"/>
      <c r="E62" s="699"/>
      <c r="F62" s="699"/>
      <c r="G62" s="699"/>
      <c r="H62" s="699"/>
      <c r="I62" s="699"/>
      <c r="J62" s="699"/>
    </row>
    <row r="63" spans="1:10" ht="15.75" customHeight="1" x14ac:dyDescent="0.2">
      <c r="A63" s="128"/>
      <c r="B63" s="700" t="s">
        <v>0</v>
      </c>
      <c r="C63" s="701"/>
      <c r="D63" s="701"/>
      <c r="E63" s="700" t="s">
        <v>1</v>
      </c>
      <c r="F63" s="701"/>
      <c r="G63" s="702"/>
      <c r="H63" s="701" t="s">
        <v>2</v>
      </c>
      <c r="I63" s="701"/>
      <c r="J63" s="702"/>
    </row>
    <row r="64" spans="1:10" ht="15.75" customHeight="1" x14ac:dyDescent="0.2">
      <c r="A64" s="124"/>
      <c r="B64" s="236" t="s">
        <v>421</v>
      </c>
      <c r="C64" s="236" t="s">
        <v>422</v>
      </c>
      <c r="D64" s="19" t="s">
        <v>3</v>
      </c>
      <c r="E64" s="236" t="s">
        <v>421</v>
      </c>
      <c r="F64" s="236" t="s">
        <v>422</v>
      </c>
      <c r="G64" s="19" t="s">
        <v>3</v>
      </c>
      <c r="H64" s="236" t="s">
        <v>421</v>
      </c>
      <c r="I64" s="236" t="s">
        <v>422</v>
      </c>
      <c r="J64" s="19" t="s">
        <v>3</v>
      </c>
    </row>
    <row r="65" spans="1:10" ht="15.75" customHeight="1" x14ac:dyDescent="0.2">
      <c r="A65" s="682"/>
      <c r="B65" s="15"/>
      <c r="C65" s="15"/>
      <c r="D65" s="17" t="s">
        <v>4</v>
      </c>
      <c r="E65" s="16"/>
      <c r="F65" s="16"/>
      <c r="G65" s="15" t="s">
        <v>4</v>
      </c>
      <c r="H65" s="16"/>
      <c r="I65" s="16"/>
      <c r="J65" s="15" t="s">
        <v>4</v>
      </c>
    </row>
    <row r="66" spans="1:10" s="43" customFormat="1" ht="15.75" customHeight="1" x14ac:dyDescent="0.2">
      <c r="A66" s="14" t="s">
        <v>23</v>
      </c>
      <c r="B66" s="313">
        <f>'Fremtind Livsforsikring'!B66+'DNB Livsforsikring'!B66+'Eika Forsikring AS'!B66+'Frende Livsforsikring'!B66+'Frende Skadeforsikring'!B66+'Gjensidige Forsikring'!B66+'Gjensidige Pensjon'!B66+'If Skadeforsikring NUF'!B66+KLP!B66+'KLP Skadeforsikring AS'!B66+'Landkreditt Forsikring'!B66+'Nordea Liv '!B66+'Oslo Pensjonsforsikring'!B66+'Protector Forsikring'!B66+'Sparebank 1'!B66+'Storebrand Livsforsikring'!B66+'Telenor Forsikring'!B66+'Tryg Forsikring'!B66+'WaterCircles F'!B66+'Euro Accident'!B66+'Ly Forsikring'!B66+'Youplus Livsforsikring'!B66+'Oslo Forsikring'!B66</f>
        <v>3124219.96612</v>
      </c>
      <c r="C66" s="313">
        <f>'Fremtind Livsforsikring'!C66+'DNB Livsforsikring'!C66+'Eika Forsikring AS'!C66+'Frende Livsforsikring'!C66+'Frende Skadeforsikring'!C66+'Gjensidige Forsikring'!C66+'Gjensidige Pensjon'!C66+'If Skadeforsikring NUF'!C66+KLP!C66+'KLP Skadeforsikring AS'!C66+'Landkreditt Forsikring'!C66+'Nordea Liv '!C66+'Oslo Pensjonsforsikring'!C66+'Protector Forsikring'!C66+'Sparebank 1'!C66+'Storebrand Livsforsikring'!C66+'Telenor Forsikring'!C66+'Tryg Forsikring'!C66+'WaterCircles F'!C66+'Euro Accident'!C66+'Ly Forsikring'!C66+'Youplus Livsforsikring'!C66+'Oslo Forsikring'!C66</f>
        <v>2949518.7670700001</v>
      </c>
      <c r="D66" s="24">
        <f t="shared" ref="D66:D111" si="23">IF(B66=0, "    ---- ", IF(ABS(ROUND(100/B66*C66-100,1))&lt;999,ROUND(100/B66*C66-100,1),IF(ROUND(100/B66*C66-100,1)&gt;999,999,-999)))</f>
        <v>-5.6</v>
      </c>
      <c r="E66" s="219">
        <f>'Fremtind Livsforsikring'!F66+'DNB Livsforsikring'!F66+'Eika Forsikring AS'!F66+'Frende Livsforsikring'!F66+'Frende Skadeforsikring'!F66+'Gjensidige Forsikring'!F66+'Gjensidige Pensjon'!F66+'If Skadeforsikring NUF'!F66+KLP!F66+'KLP Skadeforsikring AS'!F66+'Landkreditt Forsikring'!F66+'Nordea Liv '!F66+'Oslo Pensjonsforsikring'!F66+'Protector Forsikring'!F66+'Sparebank 1'!F66+'Storebrand Livsforsikring'!F66+'Telenor Forsikring'!F66+'Tryg Forsikring'!F66+'WaterCircles F'!F66+'Euro Accident'!F66+'Ly Forsikring'!F66+'Youplus Livsforsikring'!F66+'Oslo Forsikring'!F66</f>
        <v>12099385.04476</v>
      </c>
      <c r="F66" s="219">
        <f>'Fremtind Livsforsikring'!G66+'DNB Livsforsikring'!G66+'Eika Forsikring AS'!G66+'Frende Livsforsikring'!G66+'Frende Skadeforsikring'!G66+'Gjensidige Forsikring'!G66+'Gjensidige Pensjon'!G66+'If Skadeforsikring NUF'!G66+KLP!G66+'KLP Skadeforsikring AS'!G66+'Landkreditt Forsikring'!G66+'Nordea Liv '!G66+'Oslo Pensjonsforsikring'!G66+'Protector Forsikring'!G66+'Sparebank 1'!G66+'Storebrand Livsforsikring'!G66+'Telenor Forsikring'!G66+'Tryg Forsikring'!G66+'WaterCircles F'!G66+'Euro Accident'!G66+'Ly Forsikring'!G66+'Youplus Livsforsikring'!G66+'Oslo Forsikring'!G66</f>
        <v>12674715.022740001</v>
      </c>
      <c r="G66" s="155">
        <f t="shared" ref="G66:G125" si="24">IF(E66=0, "    ---- ", IF(ABS(ROUND(100/E66*F66-100,1))&lt;999,ROUND(100/E66*F66-100,1),IF(ROUND(100/E66*F66-100,1)&gt;999,999,-999)))</f>
        <v>4.8</v>
      </c>
      <c r="H66" s="313">
        <f t="shared" ref="H66:H86" si="25">SUM(B66,E66)</f>
        <v>15223605.010880001</v>
      </c>
      <c r="I66" s="313">
        <f t="shared" ref="I66:I86" si="26">SUM(C66,F66)</f>
        <v>15624233.789810002</v>
      </c>
      <c r="J66" s="24">
        <f t="shared" ref="J66:J111" si="27">IF(H66=0, "    ---- ", IF(ABS(ROUND(100/H66*I66-100,1))&lt;999,ROUND(100/H66*I66-100,1),IF(ROUND(100/H66*I66-100,1)&gt;999,999,-999)))</f>
        <v>2.6</v>
      </c>
    </row>
    <row r="67" spans="1:10" ht="15.75" customHeight="1" x14ac:dyDescent="0.25">
      <c r="A67" s="21" t="s">
        <v>9</v>
      </c>
      <c r="B67" s="217">
        <f>'Fremtind Livsforsikring'!B67+'DNB Livsforsikring'!B67+'Eika Forsikring AS'!B67+'Frende Livsforsikring'!B67+'Frende Skadeforsikring'!B67+'Gjensidige Forsikring'!B67+'Gjensidige Pensjon'!B67+'If Skadeforsikring NUF'!B67+KLP!B67+'KLP Skadeforsikring AS'!B67+'Landkreditt Forsikring'!B67+'Nordea Liv '!B67+'Oslo Pensjonsforsikring'!B67+'Protector Forsikring'!B67+'Sparebank 1'!B67+'Storebrand Livsforsikring'!B67+'Telenor Forsikring'!B67+'Tryg Forsikring'!B67+'WaterCircles F'!B67+'Euro Accident'!B67+'Ly Forsikring'!B67+'Youplus Livsforsikring'!B67+'Oslo Forsikring'!B67</f>
        <v>2278038.1224372881</v>
      </c>
      <c r="C67" s="217">
        <f>'Fremtind Livsforsikring'!C67+'DNB Livsforsikring'!C67+'Eika Forsikring AS'!C67+'Frende Livsforsikring'!C67+'Frende Skadeforsikring'!C67+'Gjensidige Forsikring'!C67+'Gjensidige Pensjon'!C67+'If Skadeforsikring NUF'!C67+KLP!C67+'KLP Skadeforsikring AS'!C67+'Landkreditt Forsikring'!C67+'Nordea Liv '!C67+'Oslo Pensjonsforsikring'!C67+'Protector Forsikring'!C67+'Sparebank 1'!C67+'Storebrand Livsforsikring'!C67+'Telenor Forsikring'!C67+'Tryg Forsikring'!C67+'WaterCircles F'!C67+'Euro Accident'!C67+'Ly Forsikring'!C67+'Youplus Livsforsikring'!C67+'Oslo Forsikring'!C67</f>
        <v>1979996.5190262692</v>
      </c>
      <c r="D67" s="224">
        <f t="shared" si="23"/>
        <v>-13.1</v>
      </c>
      <c r="E67" s="44"/>
      <c r="F67" s="44"/>
      <c r="G67" s="150"/>
      <c r="H67" s="220">
        <f t="shared" si="25"/>
        <v>2278038.1224372881</v>
      </c>
      <c r="I67" s="220">
        <f t="shared" si="26"/>
        <v>1979996.5190262692</v>
      </c>
      <c r="J67" s="23">
        <f t="shared" si="27"/>
        <v>-13.1</v>
      </c>
    </row>
    <row r="68" spans="1:10" ht="15.75" customHeight="1" x14ac:dyDescent="0.25">
      <c r="A68" s="21" t="s">
        <v>10</v>
      </c>
      <c r="B68" s="217">
        <f>'Fremtind Livsforsikring'!B68+'DNB Livsforsikring'!B68+'Eika Forsikring AS'!B68+'Frende Livsforsikring'!B68+'Frende Skadeforsikring'!B68+'Gjensidige Forsikring'!B68+'Gjensidige Pensjon'!B68+'If Skadeforsikring NUF'!B68+KLP!B68+'KLP Skadeforsikring AS'!B68+'Landkreditt Forsikring'!B68+'Nordea Liv '!B68+'Oslo Pensjonsforsikring'!B68+'Protector Forsikring'!B68+'Sparebank 1'!B68+'Storebrand Livsforsikring'!B68+'Telenor Forsikring'!B68+'Tryg Forsikring'!B68+'WaterCircles F'!B68+'Euro Accident'!B68+'Ly Forsikring'!B68+'Youplus Livsforsikring'!B68+'Oslo Forsikring'!B68</f>
        <v>10743.69318</v>
      </c>
      <c r="C68" s="217">
        <f>'Fremtind Livsforsikring'!C68+'DNB Livsforsikring'!C68+'Eika Forsikring AS'!C68+'Frende Livsforsikring'!C68+'Frende Skadeforsikring'!C68+'Gjensidige Forsikring'!C68+'Gjensidige Pensjon'!C68+'If Skadeforsikring NUF'!C68+KLP!C68+'KLP Skadeforsikring AS'!C68+'Landkreditt Forsikring'!C68+'Nordea Liv '!C68+'Oslo Pensjonsforsikring'!C68+'Protector Forsikring'!C68+'Sparebank 1'!C68+'Storebrand Livsforsikring'!C68+'Telenor Forsikring'!C68+'Tryg Forsikring'!C68+'WaterCircles F'!C68+'Euro Accident'!C68+'Ly Forsikring'!C68+'Youplus Livsforsikring'!C68+'Oslo Forsikring'!C68</f>
        <v>9689.0630199999996</v>
      </c>
      <c r="D68" s="224">
        <f t="shared" si="23"/>
        <v>-9.8000000000000007</v>
      </c>
      <c r="E68" s="44">
        <f>'Fremtind Livsforsikring'!F68+'DNB Livsforsikring'!F68+'Eika Forsikring AS'!F68+'Frende Livsforsikring'!F68+'Frende Skadeforsikring'!F68+'Gjensidige Forsikring'!F68+'Gjensidige Pensjon'!F68+'If Skadeforsikring NUF'!F68+KLP!F68+'KLP Skadeforsikring AS'!F68+'Landkreditt Forsikring'!F68+'Nordea Liv '!F68+'Oslo Pensjonsforsikring'!F68+'Protector Forsikring'!F68+'Sparebank 1'!F68+'Storebrand Livsforsikring'!F68+'Telenor Forsikring'!F68+'Tryg Forsikring'!F68+'WaterCircles F'!F68+'Euro Accident'!F68+'Ly Forsikring'!F68+'Youplus Livsforsikring'!F68+'Oslo Forsikring'!F68</f>
        <v>11503074.73161</v>
      </c>
      <c r="F68" s="44">
        <f>'Fremtind Livsforsikring'!G68+'DNB Livsforsikring'!G68+'Eika Forsikring AS'!G68+'Frende Livsforsikring'!G68+'Frende Skadeforsikring'!G68+'Gjensidige Forsikring'!G68+'Gjensidige Pensjon'!G68+'If Skadeforsikring NUF'!G68+KLP!G68+'KLP Skadeforsikring AS'!G68+'Landkreditt Forsikring'!G68+'Nordea Liv '!G68+'Oslo Pensjonsforsikring'!G68+'Protector Forsikring'!G68+'Sparebank 1'!G68+'Storebrand Livsforsikring'!G68+'Telenor Forsikring'!G68+'Tryg Forsikring'!G68+'WaterCircles F'!G68+'Euro Accident'!G68+'Ly Forsikring'!G68+'Youplus Livsforsikring'!G68+'Oslo Forsikring'!G68</f>
        <v>12155093.40521</v>
      </c>
      <c r="G68" s="150">
        <f t="shared" si="24"/>
        <v>5.7</v>
      </c>
      <c r="H68" s="220">
        <f t="shared" si="25"/>
        <v>11513818.424790001</v>
      </c>
      <c r="I68" s="220">
        <f t="shared" si="26"/>
        <v>12164782.46823</v>
      </c>
      <c r="J68" s="23">
        <f t="shared" si="27"/>
        <v>5.7</v>
      </c>
    </row>
    <row r="69" spans="1:10" ht="15.75" customHeight="1" x14ac:dyDescent="0.2">
      <c r="A69" s="281" t="s">
        <v>336</v>
      </c>
      <c r="B69" s="44"/>
      <c r="C69" s="44"/>
      <c r="D69" s="27"/>
      <c r="E69" s="44"/>
      <c r="F69" s="44"/>
      <c r="G69" s="150"/>
      <c r="H69" s="220"/>
      <c r="I69" s="220"/>
      <c r="J69" s="23"/>
    </row>
    <row r="70" spans="1:10" ht="15.75" customHeight="1" x14ac:dyDescent="0.2">
      <c r="A70" s="281" t="s">
        <v>12</v>
      </c>
      <c r="B70" s="218"/>
      <c r="C70" s="218"/>
      <c r="D70" s="27"/>
      <c r="E70" s="44"/>
      <c r="F70" s="44"/>
      <c r="G70" s="150"/>
      <c r="H70" s="220"/>
      <c r="I70" s="220"/>
      <c r="J70" s="23"/>
    </row>
    <row r="71" spans="1:10" ht="15.75" customHeight="1" x14ac:dyDescent="0.2">
      <c r="A71" s="281" t="s">
        <v>13</v>
      </c>
      <c r="B71" s="218"/>
      <c r="C71" s="218"/>
      <c r="D71" s="27"/>
      <c r="E71" s="44"/>
      <c r="F71" s="44"/>
      <c r="G71" s="150"/>
      <c r="H71" s="220"/>
      <c r="I71" s="220"/>
      <c r="J71" s="23"/>
    </row>
    <row r="72" spans="1:10" ht="15.75" customHeight="1" x14ac:dyDescent="0.2">
      <c r="A72" s="281" t="s">
        <v>337</v>
      </c>
      <c r="B72" s="44"/>
      <c r="C72" s="44"/>
      <c r="D72" s="27"/>
      <c r="E72" s="44"/>
      <c r="F72" s="44"/>
      <c r="G72" s="150"/>
      <c r="H72" s="220"/>
      <c r="I72" s="220"/>
      <c r="J72" s="24"/>
    </row>
    <row r="73" spans="1:10" ht="15.75" customHeight="1" x14ac:dyDescent="0.2">
      <c r="A73" s="281" t="s">
        <v>12</v>
      </c>
      <c r="B73" s="218"/>
      <c r="C73" s="218"/>
      <c r="D73" s="27"/>
      <c r="E73" s="44"/>
      <c r="F73" s="44"/>
      <c r="G73" s="150"/>
      <c r="H73" s="220"/>
      <c r="I73" s="220"/>
      <c r="J73" s="23"/>
    </row>
    <row r="74" spans="1:10" s="3" customFormat="1" ht="15.75" customHeight="1" x14ac:dyDescent="0.2">
      <c r="A74" s="281" t="s">
        <v>13</v>
      </c>
      <c r="B74" s="218"/>
      <c r="C74" s="218"/>
      <c r="D74" s="27"/>
      <c r="E74" s="44"/>
      <c r="F74" s="44"/>
      <c r="G74" s="150"/>
      <c r="H74" s="220"/>
      <c r="I74" s="220"/>
      <c r="J74" s="23"/>
    </row>
    <row r="75" spans="1:10" s="3" customFormat="1" ht="15.75" customHeight="1" x14ac:dyDescent="0.2">
      <c r="A75" s="21" t="s">
        <v>308</v>
      </c>
      <c r="B75" s="44">
        <f>'Fremtind Livsforsikring'!B75+'DNB Livsforsikring'!B75+'Eika Forsikring AS'!B75+'Frende Livsforsikring'!B75+'Frende Skadeforsikring'!B75+'Gjensidige Forsikring'!B75+'Gjensidige Pensjon'!B75+'If Skadeforsikring NUF'!B75+KLP!B75+'KLP Skadeforsikring AS'!B75+'Landkreditt Forsikring'!B75+'Nordea Liv '!B75+'Oslo Pensjonsforsikring'!B75+'Protector Forsikring'!B75+'Sparebank 1'!B75+'Storebrand Livsforsikring'!B75+'Telenor Forsikring'!B75+'Tryg Forsikring'!B75+'WaterCircles F'!B75+'Euro Accident'!B75+'Ly Forsikring'!B75+'Youplus Livsforsikring'!B75+'Oslo Forsikring'!B75</f>
        <v>168036.90376000002</v>
      </c>
      <c r="C75" s="44">
        <f>'Fremtind Livsforsikring'!C75+'DNB Livsforsikring'!C75+'Eika Forsikring AS'!C75+'Frende Livsforsikring'!C75+'Frende Skadeforsikring'!C75+'Gjensidige Forsikring'!C75+'Gjensidige Pensjon'!C75+'If Skadeforsikring NUF'!C75+KLP!C75+'KLP Skadeforsikring AS'!C75+'Landkreditt Forsikring'!C75+'Nordea Liv '!C75+'Oslo Pensjonsforsikring'!C75+'Protector Forsikring'!C75+'Sparebank 1'!C75+'Storebrand Livsforsikring'!C75+'Telenor Forsikring'!C75+'Tryg Forsikring'!C75+'WaterCircles F'!C75+'Euro Accident'!C75+'Ly Forsikring'!C75+'Youplus Livsforsikring'!C75+'Oslo Forsikring'!C75</f>
        <v>170820.53499000001</v>
      </c>
      <c r="D75" s="23">
        <f t="shared" si="23"/>
        <v>1.7</v>
      </c>
      <c r="E75" s="44">
        <f>'Fremtind Livsforsikring'!F75+'DNB Livsforsikring'!F75+'Eika Forsikring AS'!F75+'Frende Livsforsikring'!F75+'Frende Skadeforsikring'!F75+'Gjensidige Forsikring'!F75+'Gjensidige Pensjon'!F75+'If Skadeforsikring NUF'!F75+KLP!F75+'KLP Skadeforsikring AS'!F75+'Landkreditt Forsikring'!F75+'Nordea Liv '!F75+'Oslo Pensjonsforsikring'!F75+'Protector Forsikring'!F75+'Sparebank 1'!F75+'Storebrand Livsforsikring'!F75+'Telenor Forsikring'!F75+'Tryg Forsikring'!F75+'WaterCircles F'!F75+'Euro Accident'!F75+'Ly Forsikring'!F75+'Youplus Livsforsikring'!F75+'Oslo Forsikring'!F75</f>
        <v>596310.31315000006</v>
      </c>
      <c r="F75" s="44">
        <f>'Fremtind Livsforsikring'!G75+'DNB Livsforsikring'!G75+'Eika Forsikring AS'!G75+'Frende Livsforsikring'!G75+'Frende Skadeforsikring'!G75+'Gjensidige Forsikring'!G75+'Gjensidige Pensjon'!G75+'If Skadeforsikring NUF'!G75+KLP!G75+'KLP Skadeforsikring AS'!G75+'Landkreditt Forsikring'!G75+'Nordea Liv '!G75+'Oslo Pensjonsforsikring'!G75+'Protector Forsikring'!G75+'Sparebank 1'!G75+'Storebrand Livsforsikring'!G75+'Telenor Forsikring'!G75+'Tryg Forsikring'!G75+'WaterCircles F'!G75+'Euro Accident'!G75+'Ly Forsikring'!G75+'Youplus Livsforsikring'!G75+'Oslo Forsikring'!G75</f>
        <v>519621.61753000005</v>
      </c>
      <c r="G75" s="150">
        <f t="shared" si="24"/>
        <v>-12.9</v>
      </c>
      <c r="H75" s="220">
        <f t="shared" si="25"/>
        <v>764347.21691000008</v>
      </c>
      <c r="I75" s="220">
        <f t="shared" si="26"/>
        <v>690442.15252</v>
      </c>
      <c r="J75" s="23">
        <f t="shared" si="27"/>
        <v>-9.6999999999999993</v>
      </c>
    </row>
    <row r="76" spans="1:10" s="3" customFormat="1" ht="15.75" customHeight="1" x14ac:dyDescent="0.2">
      <c r="A76" s="21" t="s">
        <v>307</v>
      </c>
      <c r="B76" s="44">
        <f>'Fremtind Livsforsikring'!B76+'DNB Livsforsikring'!B76+'Eika Forsikring AS'!B76+'Frende Livsforsikring'!B76+'Frende Skadeforsikring'!B76+'Gjensidige Forsikring'!B76+'Gjensidige Pensjon'!B76+'If Skadeforsikring NUF'!B76+KLP!B76+'KLP Skadeforsikring AS'!B76+'Landkreditt Forsikring'!B76+'Nordea Liv '!B76+'Oslo Pensjonsforsikring'!B76+'Protector Forsikring'!B76+'Sparebank 1'!B76+'Storebrand Livsforsikring'!B76+'Telenor Forsikring'!B76+'Tryg Forsikring'!B76+'WaterCircles F'!B76+'Euro Accident'!B76+'Ly Forsikring'!B76+'Youplus Livsforsikring'!B76+'Oslo Forsikring'!B76</f>
        <v>667401.24674271222</v>
      </c>
      <c r="C76" s="44">
        <f>'Fremtind Livsforsikring'!C76+'DNB Livsforsikring'!C76+'Eika Forsikring AS'!C76+'Frende Livsforsikring'!C76+'Frende Skadeforsikring'!C76+'Gjensidige Forsikring'!C76+'Gjensidige Pensjon'!C76+'If Skadeforsikring NUF'!C76+KLP!C76+'KLP Skadeforsikring AS'!C76+'Landkreditt Forsikring'!C76+'Nordea Liv '!C76+'Oslo Pensjonsforsikring'!C76+'Protector Forsikring'!C76+'Sparebank 1'!C76+'Storebrand Livsforsikring'!C76+'Telenor Forsikring'!C76+'Tryg Forsikring'!C76+'WaterCircles F'!C76+'Euro Accident'!C76+'Ly Forsikring'!C76+'Youplus Livsforsikring'!C76+'Oslo Forsikring'!C76</f>
        <v>789012.65003373101</v>
      </c>
      <c r="D76" s="23">
        <f t="shared" ref="D76" si="28">IF(B76=0, "    ---- ", IF(ABS(ROUND(100/B76*C76-100,1))&lt;999,ROUND(100/B76*C76-100,1),IF(ROUND(100/B76*C76-100,1)&gt;999,999,-999)))</f>
        <v>18.2</v>
      </c>
      <c r="E76" s="44"/>
      <c r="F76" s="44"/>
      <c r="G76" s="150"/>
      <c r="H76" s="220">
        <f t="shared" ref="H76" si="29">SUM(B76,E76)</f>
        <v>667401.24674271222</v>
      </c>
      <c r="I76" s="220">
        <f t="shared" ref="I76" si="30">SUM(C76,F76)</f>
        <v>789012.65003373101</v>
      </c>
      <c r="J76" s="23">
        <f t="shared" ref="J76" si="31">IF(H76=0, "    ---- ", IF(ABS(ROUND(100/H76*I76-100,1))&lt;999,ROUND(100/H76*I76-100,1),IF(ROUND(100/H76*I76-100,1)&gt;999,999,-999)))</f>
        <v>18.2</v>
      </c>
    </row>
    <row r="77" spans="1:10" ht="15.75" customHeight="1" x14ac:dyDescent="0.2">
      <c r="A77" s="21" t="s">
        <v>338</v>
      </c>
      <c r="B77" s="44">
        <f>'Fremtind Livsforsikring'!B77+'DNB Livsforsikring'!B77+'Eika Forsikring AS'!B77+'Frende Livsforsikring'!B77+'Frende Skadeforsikring'!B77+'Gjensidige Forsikring'!B77+'Gjensidige Pensjon'!B77+'If Skadeforsikring NUF'!B77+KLP!B77+'KLP Skadeforsikring AS'!B77+'Landkreditt Forsikring'!B77+'Nordea Liv '!B77+'Oslo Pensjonsforsikring'!B77+'Protector Forsikring'!B77+'Sparebank 1'!B77+'Storebrand Livsforsikring'!B77+'Telenor Forsikring'!B77+'Tryg Forsikring'!B77+'WaterCircles F'!B77+'Euro Accident'!B77+'Ly Forsikring'!B77+'Youplus Livsforsikring'!B77+'Oslo Forsikring'!B77</f>
        <v>2214409.3656172883</v>
      </c>
      <c r="C77" s="44">
        <f>'Fremtind Livsforsikring'!C77+'DNB Livsforsikring'!C77+'Eika Forsikring AS'!C77+'Frende Livsforsikring'!C77+'Frende Skadeforsikring'!C77+'Gjensidige Forsikring'!C77+'Gjensidige Pensjon'!C77+'If Skadeforsikring NUF'!C77+KLP!C77+'KLP Skadeforsikring AS'!C77+'Landkreditt Forsikring'!C77+'Nordea Liv '!C77+'Oslo Pensjonsforsikring'!C77+'Protector Forsikring'!C77+'Sparebank 1'!C77+'Storebrand Livsforsikring'!C77+'Telenor Forsikring'!C77+'Tryg Forsikring'!C77+'WaterCircles F'!C77+'Euro Accident'!C77+'Ly Forsikring'!C77+'Youplus Livsforsikring'!C77+'Oslo Forsikring'!C77</f>
        <v>1911790.2730462691</v>
      </c>
      <c r="D77" s="23">
        <f t="shared" si="23"/>
        <v>-13.7</v>
      </c>
      <c r="E77" s="44">
        <f>'Fremtind Livsforsikring'!F77+'DNB Livsforsikring'!F77+'Eika Forsikring AS'!F77+'Frende Livsforsikring'!F77+'Frende Skadeforsikring'!F77+'Gjensidige Forsikring'!F77+'Gjensidige Pensjon'!F77+'If Skadeforsikring NUF'!F77+KLP!F77+'KLP Skadeforsikring AS'!F77+'Landkreditt Forsikring'!F77+'Nordea Liv '!F77+'Oslo Pensjonsforsikring'!F77+'Protector Forsikring'!F77+'Sparebank 1'!F77+'Storebrand Livsforsikring'!F77+'Telenor Forsikring'!F77+'Tryg Forsikring'!F77+'WaterCircles F'!F77+'Euro Accident'!F77+'Ly Forsikring'!F77+'Youplus Livsforsikring'!F77+'Oslo Forsikring'!F77</f>
        <v>11499296.935419999</v>
      </c>
      <c r="F77" s="44">
        <f>'Fremtind Livsforsikring'!G77+'DNB Livsforsikring'!G77+'Eika Forsikring AS'!G77+'Frende Livsforsikring'!G77+'Frende Skadeforsikring'!G77+'Gjensidige Forsikring'!G77+'Gjensidige Pensjon'!G77+'If Skadeforsikring NUF'!G77+KLP!G77+'KLP Skadeforsikring AS'!G77+'Landkreditt Forsikring'!G77+'Nordea Liv '!G77+'Oslo Pensjonsforsikring'!G77+'Protector Forsikring'!G77+'Sparebank 1'!G77+'Storebrand Livsforsikring'!G77+'Telenor Forsikring'!G77+'Tryg Forsikring'!G77+'WaterCircles F'!G77+'Euro Accident'!G77+'Ly Forsikring'!G77+'Youplus Livsforsikring'!G77+'Oslo Forsikring'!G77</f>
        <v>12151470.790210001</v>
      </c>
      <c r="G77" s="150">
        <f t="shared" si="24"/>
        <v>5.7</v>
      </c>
      <c r="H77" s="220">
        <f t="shared" si="25"/>
        <v>13713706.301037287</v>
      </c>
      <c r="I77" s="220">
        <f t="shared" si="26"/>
        <v>14063261.063256271</v>
      </c>
      <c r="J77" s="23">
        <f t="shared" si="27"/>
        <v>2.5</v>
      </c>
    </row>
    <row r="78" spans="1:10" ht="15.75" customHeight="1" x14ac:dyDescent="0.2">
      <c r="A78" s="21" t="s">
        <v>9</v>
      </c>
      <c r="B78" s="44">
        <f>'Fremtind Livsforsikring'!B78+'DNB Livsforsikring'!B78+'Eika Forsikring AS'!B78+'Frende Livsforsikring'!B78+'Frende Skadeforsikring'!B78+'Gjensidige Forsikring'!B78+'Gjensidige Pensjon'!B78+'If Skadeforsikring NUF'!B78+KLP!B78+'KLP Skadeforsikring AS'!B78+'Landkreditt Forsikring'!B78+'Nordea Liv '!B78+'Oslo Pensjonsforsikring'!B78+'Protector Forsikring'!B78+'Sparebank 1'!B78+'Storebrand Livsforsikring'!B78+'Telenor Forsikring'!B78+'Tryg Forsikring'!B78+'WaterCircles F'!B78+'Euro Accident'!B78+'Ly Forsikring'!B78+'Youplus Livsforsikring'!B78+'Oslo Forsikring'!B78</f>
        <v>2203665.6724372879</v>
      </c>
      <c r="C78" s="44">
        <f>'Fremtind Livsforsikring'!C78+'DNB Livsforsikring'!C78+'Eika Forsikring AS'!C78+'Frende Livsforsikring'!C78+'Frende Skadeforsikring'!C78+'Gjensidige Forsikring'!C78+'Gjensidige Pensjon'!C78+'If Skadeforsikring NUF'!C78+KLP!C78+'KLP Skadeforsikring AS'!C78+'Landkreditt Forsikring'!C78+'Nordea Liv '!C78+'Oslo Pensjonsforsikring'!C78+'Protector Forsikring'!C78+'Sparebank 1'!C78+'Storebrand Livsforsikring'!C78+'Telenor Forsikring'!C78+'Tryg Forsikring'!C78+'WaterCircles F'!C78+'Euro Accident'!C78+'Ly Forsikring'!C78+'Youplus Livsforsikring'!C78+'Oslo Forsikring'!C78</f>
        <v>1902101.2100262691</v>
      </c>
      <c r="D78" s="23">
        <f t="shared" si="23"/>
        <v>-13.7</v>
      </c>
      <c r="E78" s="44"/>
      <c r="F78" s="44"/>
      <c r="G78" s="150"/>
      <c r="H78" s="220">
        <f t="shared" si="25"/>
        <v>2203665.6724372879</v>
      </c>
      <c r="I78" s="220">
        <f t="shared" si="26"/>
        <v>1902101.2100262691</v>
      </c>
      <c r="J78" s="23">
        <f t="shared" si="27"/>
        <v>-13.7</v>
      </c>
    </row>
    <row r="79" spans="1:10" ht="15.75" customHeight="1" x14ac:dyDescent="0.2">
      <c r="A79" s="38" t="s">
        <v>366</v>
      </c>
      <c r="B79" s="44">
        <f>'Fremtind Livsforsikring'!B79+'DNB Livsforsikring'!B79+'Eika Forsikring AS'!B79+'Frende Livsforsikring'!B79+'Frende Skadeforsikring'!B79+'Gjensidige Forsikring'!B79+'Gjensidige Pensjon'!B79+'If Skadeforsikring NUF'!B79+KLP!B79+'KLP Skadeforsikring AS'!B79+'Landkreditt Forsikring'!B79+'Nordea Liv '!B79+'Oslo Pensjonsforsikring'!B79+'Protector Forsikring'!B79+'Sparebank 1'!B79+'Storebrand Livsforsikring'!B79+'Telenor Forsikring'!B79+'Tryg Forsikring'!B79+'WaterCircles F'!B79+'Euro Accident'!B79+'Ly Forsikring'!B79+'Youplus Livsforsikring'!B79+'Oslo Forsikring'!B79</f>
        <v>10743.69318</v>
      </c>
      <c r="C79" s="44">
        <f>'Fremtind Livsforsikring'!C79+'DNB Livsforsikring'!C79+'Eika Forsikring AS'!C79+'Frende Livsforsikring'!C79+'Frende Skadeforsikring'!C79+'Gjensidige Forsikring'!C79+'Gjensidige Pensjon'!C79+'If Skadeforsikring NUF'!C79+KLP!C79+'KLP Skadeforsikring AS'!C79+'Landkreditt Forsikring'!C79+'Nordea Liv '!C79+'Oslo Pensjonsforsikring'!C79+'Protector Forsikring'!C79+'Sparebank 1'!C79+'Storebrand Livsforsikring'!C79+'Telenor Forsikring'!C79+'Tryg Forsikring'!C79+'WaterCircles F'!C79+'Euro Accident'!C79+'Ly Forsikring'!C79+'Youplus Livsforsikring'!C79+'Oslo Forsikring'!C79</f>
        <v>9689.0630199999996</v>
      </c>
      <c r="D79" s="23">
        <f t="shared" si="23"/>
        <v>-9.8000000000000007</v>
      </c>
      <c r="E79" s="44">
        <f>'Fremtind Livsforsikring'!F79+'DNB Livsforsikring'!F79+'Eika Forsikring AS'!F79+'Frende Livsforsikring'!F79+'Frende Skadeforsikring'!F79+'Gjensidige Forsikring'!F79+'Gjensidige Pensjon'!F79+'If Skadeforsikring NUF'!F79+KLP!F79+'KLP Skadeforsikring AS'!F79+'Landkreditt Forsikring'!F79+'Nordea Liv '!F79+'Oslo Pensjonsforsikring'!F79+'Protector Forsikring'!F79+'Sparebank 1'!F79+'Storebrand Livsforsikring'!F79+'Telenor Forsikring'!F79+'Tryg Forsikring'!F79+'WaterCircles F'!F79+'Euro Accident'!F79+'Ly Forsikring'!F79+'Youplus Livsforsikring'!F79+'Oslo Forsikring'!F79</f>
        <v>11499296.935419999</v>
      </c>
      <c r="F79" s="44">
        <f>'Fremtind Livsforsikring'!G79+'DNB Livsforsikring'!G79+'Eika Forsikring AS'!G79+'Frende Livsforsikring'!G79+'Frende Skadeforsikring'!G79+'Gjensidige Forsikring'!G79+'Gjensidige Pensjon'!G79+'If Skadeforsikring NUF'!G79+KLP!G79+'KLP Skadeforsikring AS'!G79+'Landkreditt Forsikring'!G79+'Nordea Liv '!G79+'Oslo Pensjonsforsikring'!G79+'Protector Forsikring'!G79+'Sparebank 1'!G79+'Storebrand Livsforsikring'!G79+'Telenor Forsikring'!G79+'Tryg Forsikring'!G79+'WaterCircles F'!G79+'Euro Accident'!G79+'Ly Forsikring'!G79+'Youplus Livsforsikring'!G79+'Oslo Forsikring'!G79</f>
        <v>12151470.790210001</v>
      </c>
      <c r="G79" s="150">
        <f t="shared" si="24"/>
        <v>5.7</v>
      </c>
      <c r="H79" s="220">
        <f t="shared" si="25"/>
        <v>11510040.628599999</v>
      </c>
      <c r="I79" s="220">
        <f t="shared" si="26"/>
        <v>12161159.853230001</v>
      </c>
      <c r="J79" s="23">
        <f t="shared" si="27"/>
        <v>5.7</v>
      </c>
    </row>
    <row r="80" spans="1:10" ht="15.75" customHeight="1" x14ac:dyDescent="0.2">
      <c r="A80" s="281" t="s">
        <v>336</v>
      </c>
      <c r="B80" s="44"/>
      <c r="C80" s="44"/>
      <c r="D80" s="27"/>
      <c r="E80" s="44"/>
      <c r="F80" s="44"/>
      <c r="G80" s="150"/>
      <c r="H80" s="220"/>
      <c r="I80" s="220"/>
      <c r="J80" s="23"/>
    </row>
    <row r="81" spans="1:10" ht="15.75" customHeight="1" x14ac:dyDescent="0.2">
      <c r="A81" s="281" t="s">
        <v>12</v>
      </c>
      <c r="B81" s="218"/>
      <c r="C81" s="218"/>
      <c r="D81" s="27"/>
      <c r="E81" s="44"/>
      <c r="F81" s="44"/>
      <c r="G81" s="150"/>
      <c r="H81" s="220"/>
      <c r="I81" s="220"/>
      <c r="J81" s="23"/>
    </row>
    <row r="82" spans="1:10" ht="15.75" customHeight="1" x14ac:dyDescent="0.2">
      <c r="A82" s="281" t="s">
        <v>13</v>
      </c>
      <c r="B82" s="218"/>
      <c r="C82" s="218"/>
      <c r="D82" s="27"/>
      <c r="E82" s="44"/>
      <c r="F82" s="44"/>
      <c r="G82" s="150"/>
      <c r="H82" s="220"/>
      <c r="I82" s="220"/>
      <c r="J82" s="23"/>
    </row>
    <row r="83" spans="1:10" ht="15.75" customHeight="1" x14ac:dyDescent="0.2">
      <c r="A83" s="281" t="s">
        <v>337</v>
      </c>
      <c r="B83" s="44"/>
      <c r="C83" s="44"/>
      <c r="D83" s="27"/>
      <c r="E83" s="44"/>
      <c r="F83" s="44"/>
      <c r="G83" s="150"/>
      <c r="H83" s="220"/>
      <c r="I83" s="220"/>
      <c r="J83" s="24"/>
    </row>
    <row r="84" spans="1:10" ht="15.75" customHeight="1" x14ac:dyDescent="0.2">
      <c r="A84" s="281" t="s">
        <v>12</v>
      </c>
      <c r="B84" s="218"/>
      <c r="C84" s="218"/>
      <c r="D84" s="27"/>
      <c r="E84" s="44"/>
      <c r="F84" s="44"/>
      <c r="G84" s="150"/>
      <c r="H84" s="220"/>
      <c r="I84" s="220"/>
      <c r="J84" s="23"/>
    </row>
    <row r="85" spans="1:10" ht="15.75" customHeight="1" x14ac:dyDescent="0.2">
      <c r="A85" s="281" t="s">
        <v>13</v>
      </c>
      <c r="B85" s="218"/>
      <c r="C85" s="218"/>
      <c r="D85" s="27"/>
      <c r="E85" s="44"/>
      <c r="F85" s="44"/>
      <c r="G85" s="150"/>
      <c r="H85" s="220"/>
      <c r="I85" s="220"/>
      <c r="J85" s="23"/>
    </row>
    <row r="86" spans="1:10" ht="15.75" customHeight="1" x14ac:dyDescent="0.2">
      <c r="A86" s="21" t="s">
        <v>339</v>
      </c>
      <c r="B86" s="217">
        <f>'Fremtind Livsforsikring'!B86+'DNB Livsforsikring'!B86+'Eika Forsikring AS'!B86+'Frende Livsforsikring'!B86+'Frende Skadeforsikring'!B86+'Gjensidige Forsikring'!B86+'Gjensidige Pensjon'!B86+'If Skadeforsikring NUF'!B86+KLP!B86+'KLP Skadeforsikring AS'!B86+'Landkreditt Forsikring'!B86+'Nordea Liv '!B86+'Oslo Pensjonsforsikring'!B86+'Protector Forsikring'!B86+'Sparebank 1'!B86+'Storebrand Livsforsikring'!B86+'Telenor Forsikring'!B86+'Tryg Forsikring'!B86+'WaterCircles F'!B86+'Euro Accident'!B86+'Ly Forsikring'!B86+'Youplus Livsforsikring'!B86+'Oslo Forsikring'!B86</f>
        <v>74372.578000000009</v>
      </c>
      <c r="C86" s="217">
        <f>'Fremtind Livsforsikring'!C86+'DNB Livsforsikring'!C86+'Eika Forsikring AS'!C86+'Frende Livsforsikring'!C86+'Frende Skadeforsikring'!C86+'Gjensidige Forsikring'!C86+'Gjensidige Pensjon'!C86+'If Skadeforsikring NUF'!C86+KLP!C86+'KLP Skadeforsikring AS'!C86+'Landkreditt Forsikring'!C86+'Nordea Liv '!C86+'Oslo Pensjonsforsikring'!C86+'Protector Forsikring'!C86+'Sparebank 1'!C86+'Storebrand Livsforsikring'!C86+'Telenor Forsikring'!C86+'Tryg Forsikring'!C86+'WaterCircles F'!C86+'Euro Accident'!C86+'Ly Forsikring'!C86+'Youplus Livsforsikring'!C86+'Oslo Forsikring'!C86</f>
        <v>77895.804999999993</v>
      </c>
      <c r="D86" s="23">
        <f t="shared" si="23"/>
        <v>4.7</v>
      </c>
      <c r="E86" s="44">
        <f>'Fremtind Livsforsikring'!F86+'DNB Livsforsikring'!F86+'Eika Forsikring AS'!F86+'Frende Livsforsikring'!F86+'Frende Skadeforsikring'!F86+'Gjensidige Forsikring'!F86+'Gjensidige Pensjon'!F86+'If Skadeforsikring NUF'!F86+KLP!F86+'KLP Skadeforsikring AS'!F86+'Landkreditt Forsikring'!F86+'Nordea Liv '!F86+'Oslo Pensjonsforsikring'!F86+'Protector Forsikring'!F86+'Sparebank 1'!F86+'Storebrand Livsforsikring'!F86+'Telenor Forsikring'!F86+'Tryg Forsikring'!F86+'WaterCircles F'!F86+'Euro Accident'!F86+'Ly Forsikring'!F86+'Youplus Livsforsikring'!F86+'Oslo Forsikring'!F86</f>
        <v>3777.79619</v>
      </c>
      <c r="F86" s="44">
        <f>'Fremtind Livsforsikring'!G86+'DNB Livsforsikring'!G86+'Eika Forsikring AS'!G86+'Frende Livsforsikring'!G86+'Frende Skadeforsikring'!G86+'Gjensidige Forsikring'!G86+'Gjensidige Pensjon'!G86+'If Skadeforsikring NUF'!G86+KLP!G86+'KLP Skadeforsikring AS'!G86+'Landkreditt Forsikring'!G86+'Nordea Liv '!G86+'Oslo Pensjonsforsikring'!G86+'Protector Forsikring'!G86+'Sparebank 1'!G86+'Storebrand Livsforsikring'!G86+'Telenor Forsikring'!G86+'Tryg Forsikring'!G86+'WaterCircles F'!G86+'Euro Accident'!G86+'Ly Forsikring'!G86+'Youplus Livsforsikring'!G86+'Oslo Forsikring'!G86</f>
        <v>3622.6149999999998</v>
      </c>
      <c r="G86" s="150">
        <f t="shared" si="24"/>
        <v>-4.0999999999999996</v>
      </c>
      <c r="H86" s="220">
        <f t="shared" si="25"/>
        <v>78150.374190000002</v>
      </c>
      <c r="I86" s="220">
        <f t="shared" si="26"/>
        <v>81518.42</v>
      </c>
      <c r="J86" s="23">
        <f t="shared" si="27"/>
        <v>4.3</v>
      </c>
    </row>
    <row r="87" spans="1:10" s="43" customFormat="1" ht="15.75" customHeight="1" x14ac:dyDescent="0.2">
      <c r="A87" s="13" t="s">
        <v>321</v>
      </c>
      <c r="B87" s="293">
        <f>'Fremtind Livsforsikring'!B87+'DNB Livsforsikring'!B87+'Eika Forsikring AS'!B87+'Frende Livsforsikring'!B87+'Frende Skadeforsikring'!B87+'Gjensidige Forsikring'!B87+'Gjensidige Pensjon'!B87+'If Skadeforsikring NUF'!B87+KLP!B87+'KLP Skadeforsikring AS'!B87+'Landkreditt Forsikring'!B87+'Nordea Liv '!B87+'Oslo Pensjonsforsikring'!B87+'Protector Forsikring'!B87+'Sparebank 1'!B87+'Storebrand Livsforsikring'!B87+'Telenor Forsikring'!B87+'Tryg Forsikring'!B87+'WaterCircles F'!B87+'Euro Accident'!B87+'Ly Forsikring'!B87+'Youplus Livsforsikring'!B87+'Oslo Forsikring'!B87</f>
        <v>397806064.01605344</v>
      </c>
      <c r="C87" s="293">
        <f>'Fremtind Livsforsikring'!C87+'DNB Livsforsikring'!C87+'Eika Forsikring AS'!C87+'Frende Livsforsikring'!C87+'Frende Skadeforsikring'!C87+'Gjensidige Forsikring'!C87+'Gjensidige Pensjon'!C87+'If Skadeforsikring NUF'!C87+KLP!C87+'KLP Skadeforsikring AS'!C87+'Landkreditt Forsikring'!C87+'Nordea Liv '!C87+'Oslo Pensjonsforsikring'!C87+'Protector Forsikring'!C87+'Sparebank 1'!C87+'Storebrand Livsforsikring'!C87+'Telenor Forsikring'!C87+'Tryg Forsikring'!C87+'WaterCircles F'!C87+'Euro Accident'!C87+'Ly Forsikring'!C87+'Youplus Livsforsikring'!C87+'Oslo Forsikring'!C87</f>
        <v>403296727.56463414</v>
      </c>
      <c r="D87" s="24">
        <f t="shared" si="23"/>
        <v>1.4</v>
      </c>
      <c r="E87" s="219">
        <f>'Fremtind Livsforsikring'!F87+'DNB Livsforsikring'!F87+'Eika Forsikring AS'!F87+'Frende Livsforsikring'!F87+'Frende Skadeforsikring'!F87+'Gjensidige Forsikring'!F87+'Gjensidige Pensjon'!F87+'If Skadeforsikring NUF'!F87+KLP!F87+'KLP Skadeforsikring AS'!F87+'Landkreditt Forsikring'!F87+'Nordea Liv '!F87+'Oslo Pensjonsforsikring'!F87+'Protector Forsikring'!F87+'Sparebank 1'!F87+'Storebrand Livsforsikring'!F87+'Telenor Forsikring'!F87+'Tryg Forsikring'!F87+'WaterCircles F'!F87+'Euro Accident'!F87+'Ly Forsikring'!F87+'Youplus Livsforsikring'!F87+'Oslo Forsikring'!F87</f>
        <v>475664038.5901199</v>
      </c>
      <c r="F87" s="219">
        <f>'Fremtind Livsforsikring'!G87+'DNB Livsforsikring'!G87+'Eika Forsikring AS'!G87+'Frende Livsforsikring'!G87+'Frende Skadeforsikring'!G87+'Gjensidige Forsikring'!G87+'Gjensidige Pensjon'!G87+'If Skadeforsikring NUF'!G87+KLP!G87+'KLP Skadeforsikring AS'!G87+'Landkreditt Forsikring'!G87+'Nordea Liv '!G87+'Oslo Pensjonsforsikring'!G87+'Protector Forsikring'!G87+'Sparebank 1'!G87+'Storebrand Livsforsikring'!G87+'Telenor Forsikring'!G87+'Tryg Forsikring'!G87+'WaterCircles F'!G87+'Euro Accident'!G87+'Ly Forsikring'!G87+'Youplus Livsforsikring'!G87+'Oslo Forsikring'!G87</f>
        <v>588018205.22291994</v>
      </c>
      <c r="G87" s="155">
        <f t="shared" si="24"/>
        <v>23.6</v>
      </c>
      <c r="H87" s="313">
        <f t="shared" ref="H87:H111" si="32">SUM(B87,E87)</f>
        <v>873470102.60617328</v>
      </c>
      <c r="I87" s="313">
        <f t="shared" ref="I87:I111" si="33">SUM(C87,F87)</f>
        <v>991314932.78755403</v>
      </c>
      <c r="J87" s="24">
        <f t="shared" si="27"/>
        <v>13.5</v>
      </c>
    </row>
    <row r="88" spans="1:10" ht="15.75" customHeight="1" x14ac:dyDescent="0.2">
      <c r="A88" s="21" t="s">
        <v>9</v>
      </c>
      <c r="B88" s="217">
        <f>'Fremtind Livsforsikring'!B88+'DNB Livsforsikring'!B88+'Eika Forsikring AS'!B88+'Frende Livsforsikring'!B88+'Frende Skadeforsikring'!B88+'Gjensidige Forsikring'!B88+'Gjensidige Pensjon'!B88+'If Skadeforsikring NUF'!B88+KLP!B88+'KLP Skadeforsikring AS'!B88+'Landkreditt Forsikring'!B88+'Nordea Liv '!B88+'Oslo Pensjonsforsikring'!B88+'Protector Forsikring'!B88+'Sparebank 1'!B88+'Storebrand Livsforsikring'!B88+'Telenor Forsikring'!B88+'Tryg Forsikring'!B88+'WaterCircles F'!B88+'Euro Accident'!B88+'Ly Forsikring'!B88+'Youplus Livsforsikring'!B88+'Oslo Forsikring'!B88</f>
        <v>382530932.43491673</v>
      </c>
      <c r="C88" s="217">
        <f>'Fremtind Livsforsikring'!C88+'DNB Livsforsikring'!C88+'Eika Forsikring AS'!C88+'Frende Livsforsikring'!C88+'Frende Skadeforsikring'!C88+'Gjensidige Forsikring'!C88+'Gjensidige Pensjon'!C88+'If Skadeforsikring NUF'!C88+KLP!C88+'KLP Skadeforsikring AS'!C88+'Landkreditt Forsikring'!C88+'Nordea Liv '!C88+'Oslo Pensjonsforsikring'!C88+'Protector Forsikring'!C88+'Sparebank 1'!C88+'Storebrand Livsforsikring'!C88+'Telenor Forsikring'!C88+'Tryg Forsikring'!C88+'WaterCircles F'!C88+'Euro Accident'!C88+'Ly Forsikring'!C88+'Youplus Livsforsikring'!C88+'Oslo Forsikring'!C88</f>
        <v>384143420.58797789</v>
      </c>
      <c r="D88" s="23">
        <f t="shared" si="23"/>
        <v>0.4</v>
      </c>
      <c r="E88" s="44"/>
      <c r="F88" s="44"/>
      <c r="G88" s="150"/>
      <c r="H88" s="220">
        <f t="shared" si="32"/>
        <v>382530932.43491673</v>
      </c>
      <c r="I88" s="220">
        <f t="shared" si="33"/>
        <v>384143420.58797789</v>
      </c>
      <c r="J88" s="23">
        <f t="shared" si="27"/>
        <v>0.4</v>
      </c>
    </row>
    <row r="89" spans="1:10" ht="15.75" customHeight="1" x14ac:dyDescent="0.2">
      <c r="A89" s="21" t="s">
        <v>10</v>
      </c>
      <c r="B89" s="217">
        <f>'Fremtind Livsforsikring'!B89+'DNB Livsforsikring'!B89+'Eika Forsikring AS'!B89+'Frende Livsforsikring'!B89+'Frende Skadeforsikring'!B89+'Gjensidige Forsikring'!B89+'Gjensidige Pensjon'!B89+'If Skadeforsikring NUF'!B89+KLP!B89+'KLP Skadeforsikring AS'!B89+'Landkreditt Forsikring'!B89+'Nordea Liv '!B89+'Oslo Pensjonsforsikring'!B89+'Protector Forsikring'!B89+'Sparebank 1'!B89+'Storebrand Livsforsikring'!B89+'Telenor Forsikring'!B89+'Tryg Forsikring'!B89+'WaterCircles F'!B89+'Euro Accident'!B89+'Ly Forsikring'!B89+'Youplus Livsforsikring'!B89+'Oslo Forsikring'!B89</f>
        <v>2234395.1493767696</v>
      </c>
      <c r="C89" s="217">
        <f>'Fremtind Livsforsikring'!C89+'DNB Livsforsikring'!C89+'Eika Forsikring AS'!C89+'Frende Livsforsikring'!C89+'Frende Skadeforsikring'!C89+'Gjensidige Forsikring'!C89+'Gjensidige Pensjon'!C89+'If Skadeforsikring NUF'!C89+KLP!C89+'KLP Skadeforsikring AS'!C89+'Landkreditt Forsikring'!C89+'Nordea Liv '!C89+'Oslo Pensjonsforsikring'!C89+'Protector Forsikring'!C89+'Sparebank 1'!C89+'Storebrand Livsforsikring'!C89+'Telenor Forsikring'!C89+'Tryg Forsikring'!C89+'WaterCircles F'!C89+'Euro Accident'!C89+'Ly Forsikring'!C89+'Youplus Livsforsikring'!C89+'Oslo Forsikring'!C89</f>
        <v>2341369.6937462203</v>
      </c>
      <c r="D89" s="23">
        <f t="shared" si="23"/>
        <v>4.8</v>
      </c>
      <c r="E89" s="44">
        <f>'Fremtind Livsforsikring'!F89+'DNB Livsforsikring'!F89+'Eika Forsikring AS'!F89+'Frende Livsforsikring'!F89+'Frende Skadeforsikring'!F89+'Gjensidige Forsikring'!F89+'Gjensidige Pensjon'!F89+'If Skadeforsikring NUF'!F89+KLP!F89+'KLP Skadeforsikring AS'!F89+'Landkreditt Forsikring'!F89+'Nordea Liv '!F89+'Oslo Pensjonsforsikring'!F89+'Protector Forsikring'!F89+'Sparebank 1'!F89+'Storebrand Livsforsikring'!F89+'Telenor Forsikring'!F89+'Tryg Forsikring'!F89+'WaterCircles F'!F89+'Euro Accident'!F89+'Ly Forsikring'!F89+'Youplus Livsforsikring'!F89+'Oslo Forsikring'!F89</f>
        <v>469439958.41088986</v>
      </c>
      <c r="F89" s="44">
        <f>'Fremtind Livsforsikring'!G89+'DNB Livsforsikring'!G89+'Eika Forsikring AS'!G89+'Frende Livsforsikring'!G89+'Frende Skadeforsikring'!G89+'Gjensidige Forsikring'!G89+'Gjensidige Pensjon'!G89+'If Skadeforsikring NUF'!G89+KLP!G89+'KLP Skadeforsikring AS'!G89+'Landkreditt Forsikring'!G89+'Nordea Liv '!G89+'Oslo Pensjonsforsikring'!G89+'Protector Forsikring'!G89+'Sparebank 1'!G89+'Storebrand Livsforsikring'!G89+'Telenor Forsikring'!G89+'Tryg Forsikring'!G89+'WaterCircles F'!G89+'Euro Accident'!G89+'Ly Forsikring'!G89+'Youplus Livsforsikring'!G89+'Oslo Forsikring'!G89</f>
        <v>579321404.25250983</v>
      </c>
      <c r="G89" s="150">
        <f t="shared" si="24"/>
        <v>23.4</v>
      </c>
      <c r="H89" s="220">
        <f t="shared" si="32"/>
        <v>471674353.56026661</v>
      </c>
      <c r="I89" s="220">
        <f t="shared" si="33"/>
        <v>581662773.94625604</v>
      </c>
      <c r="J89" s="23">
        <f t="shared" si="27"/>
        <v>23.3</v>
      </c>
    </row>
    <row r="90" spans="1:10" ht="15.75" customHeight="1" x14ac:dyDescent="0.2">
      <c r="A90" s="281" t="s">
        <v>336</v>
      </c>
      <c r="B90" s="44"/>
      <c r="C90" s="44"/>
      <c r="D90" s="27"/>
      <c r="E90" s="44"/>
      <c r="F90" s="44"/>
      <c r="G90" s="150"/>
      <c r="H90" s="220"/>
      <c r="I90" s="220"/>
      <c r="J90" s="23"/>
    </row>
    <row r="91" spans="1:10" ht="15.75" customHeight="1" x14ac:dyDescent="0.2">
      <c r="A91" s="281" t="s">
        <v>12</v>
      </c>
      <c r="B91" s="218"/>
      <c r="C91" s="218"/>
      <c r="D91" s="27"/>
      <c r="E91" s="44"/>
      <c r="F91" s="44"/>
      <c r="G91" s="150"/>
      <c r="H91" s="220"/>
      <c r="I91" s="220"/>
      <c r="J91" s="23"/>
    </row>
    <row r="92" spans="1:10" ht="15.75" customHeight="1" x14ac:dyDescent="0.2">
      <c r="A92" s="281" t="s">
        <v>13</v>
      </c>
      <c r="B92" s="218"/>
      <c r="C92" s="218"/>
      <c r="D92" s="27"/>
      <c r="E92" s="44"/>
      <c r="F92" s="44"/>
      <c r="G92" s="150"/>
      <c r="H92" s="220"/>
      <c r="I92" s="220"/>
      <c r="J92" s="23"/>
    </row>
    <row r="93" spans="1:10" ht="15.75" customHeight="1" x14ac:dyDescent="0.2">
      <c r="A93" s="281" t="s">
        <v>337</v>
      </c>
      <c r="B93" s="44"/>
      <c r="C93" s="44"/>
      <c r="D93" s="27"/>
      <c r="E93" s="44"/>
      <c r="F93" s="44"/>
      <c r="G93" s="150"/>
      <c r="H93" s="220"/>
      <c r="I93" s="220"/>
      <c r="J93" s="23"/>
    </row>
    <row r="94" spans="1:10" ht="15.75" customHeight="1" x14ac:dyDescent="0.2">
      <c r="A94" s="281" t="s">
        <v>12</v>
      </c>
      <c r="B94" s="218"/>
      <c r="C94" s="218"/>
      <c r="D94" s="27"/>
      <c r="E94" s="44"/>
      <c r="F94" s="44"/>
      <c r="G94" s="150"/>
      <c r="H94" s="220"/>
      <c r="I94" s="220"/>
      <c r="J94" s="23"/>
    </row>
    <row r="95" spans="1:10" ht="15.75" customHeight="1" x14ac:dyDescent="0.2">
      <c r="A95" s="281" t="s">
        <v>13</v>
      </c>
      <c r="B95" s="218"/>
      <c r="C95" s="218"/>
      <c r="D95" s="27"/>
      <c r="E95" s="44"/>
      <c r="F95" s="44"/>
      <c r="G95" s="150"/>
      <c r="H95" s="220"/>
      <c r="I95" s="220"/>
      <c r="J95" s="23"/>
    </row>
    <row r="96" spans="1:10" ht="15.75" customHeight="1" x14ac:dyDescent="0.2">
      <c r="A96" s="21" t="s">
        <v>308</v>
      </c>
      <c r="B96" s="217">
        <f>'Fremtind Livsforsikring'!B96+'DNB Livsforsikring'!B96+'Eika Forsikring AS'!B96+'Frende Livsforsikring'!B96+'Frende Skadeforsikring'!B96+'Gjensidige Forsikring'!B96+'Gjensidige Pensjon'!B96+'If Skadeforsikring NUF'!B96+KLP!B96+'KLP Skadeforsikring AS'!B96+'Landkreditt Forsikring'!B96+'Nordea Liv '!B96+'Oslo Pensjonsforsikring'!B96+'Protector Forsikring'!B96+'Sparebank 1'!B96+'Storebrand Livsforsikring'!B96+'Telenor Forsikring'!B96+'Tryg Forsikring'!B96+'WaterCircles F'!B96+'Euro Accident'!B96+'Ly Forsikring'!B96+'Youplus Livsforsikring'!B96+'Oslo Forsikring'!B96</f>
        <v>4038661.5210600002</v>
      </c>
      <c r="C96" s="217">
        <f>'Fremtind Livsforsikring'!C96+'DNB Livsforsikring'!C96+'Eika Forsikring AS'!C96+'Frende Livsforsikring'!C96+'Frende Skadeforsikring'!C96+'Gjensidige Forsikring'!C96+'Gjensidige Pensjon'!C96+'If Skadeforsikring NUF'!C96+KLP!C96+'KLP Skadeforsikring AS'!C96+'Landkreditt Forsikring'!C96+'Nordea Liv '!C96+'Oslo Pensjonsforsikring'!C96+'Protector Forsikring'!C96+'Sparebank 1'!C96+'Storebrand Livsforsikring'!C96+'Telenor Forsikring'!C96+'Tryg Forsikring'!C96+'WaterCircles F'!C96+'Euro Accident'!C96+'Ly Forsikring'!C96+'Youplus Livsforsikring'!C96+'Oslo Forsikring'!C96</f>
        <v>5645075.0129700005</v>
      </c>
      <c r="D96" s="23">
        <f t="shared" si="23"/>
        <v>39.799999999999997</v>
      </c>
      <c r="E96" s="44">
        <f>'Fremtind Livsforsikring'!F96+'DNB Livsforsikring'!F96+'Eika Forsikring AS'!F96+'Frende Livsforsikring'!F96+'Frende Skadeforsikring'!F96+'Gjensidige Forsikring'!F96+'Gjensidige Pensjon'!F96+'If Skadeforsikring NUF'!F96+KLP!F96+'KLP Skadeforsikring AS'!F96+'Landkreditt Forsikring'!F96+'Nordea Liv '!F96+'Oslo Pensjonsforsikring'!F96+'Protector Forsikring'!F96+'Sparebank 1'!F96+'Storebrand Livsforsikring'!F96+'Telenor Forsikring'!F96+'Tryg Forsikring'!F96+'WaterCircles F'!F96+'Euro Accident'!F96+'Ly Forsikring'!F96+'Youplus Livsforsikring'!F96+'Oslo Forsikring'!F96</f>
        <v>6224080.1792300008</v>
      </c>
      <c r="F96" s="44">
        <f>'Fremtind Livsforsikring'!G96+'DNB Livsforsikring'!G96+'Eika Forsikring AS'!G96+'Frende Livsforsikring'!G96+'Frende Skadeforsikring'!G96+'Gjensidige Forsikring'!G96+'Gjensidige Pensjon'!G96+'If Skadeforsikring NUF'!G96+KLP!G96+'KLP Skadeforsikring AS'!G96+'Landkreditt Forsikring'!G96+'Nordea Liv '!G96+'Oslo Pensjonsforsikring'!G96+'Protector Forsikring'!G96+'Sparebank 1'!G96+'Storebrand Livsforsikring'!G96+'Telenor Forsikring'!G96+'Tryg Forsikring'!G96+'WaterCircles F'!G96+'Euro Accident'!G96+'Ly Forsikring'!G96+'Youplus Livsforsikring'!G96+'Oslo Forsikring'!G96</f>
        <v>8696800.9704100005</v>
      </c>
      <c r="G96" s="150">
        <f t="shared" si="24"/>
        <v>39.700000000000003</v>
      </c>
      <c r="H96" s="220">
        <f t="shared" si="32"/>
        <v>10262741.700290002</v>
      </c>
      <c r="I96" s="220">
        <f t="shared" si="33"/>
        <v>14341875.983380001</v>
      </c>
      <c r="J96" s="23">
        <f t="shared" si="27"/>
        <v>39.700000000000003</v>
      </c>
    </row>
    <row r="97" spans="1:12" ht="15.75" customHeight="1" x14ac:dyDescent="0.2">
      <c r="A97" s="21" t="s">
        <v>307</v>
      </c>
      <c r="B97" s="217">
        <f>'Fremtind Livsforsikring'!B97+'DNB Livsforsikring'!B97+'Eika Forsikring AS'!B97+'Frende Livsforsikring'!B97+'Frende Skadeforsikring'!B97+'Gjensidige Forsikring'!B97+'Gjensidige Pensjon'!B97+'If Skadeforsikring NUF'!B97+KLP!B97+'KLP Skadeforsikring AS'!B97+'Landkreditt Forsikring'!B97+'Nordea Liv '!B97+'Oslo Pensjonsforsikring'!B97+'Protector Forsikring'!B97+'Sparebank 1'!B97+'Storebrand Livsforsikring'!B97+'Telenor Forsikring'!B97+'Tryg Forsikring'!B97+'WaterCircles F'!B97+'Euro Accident'!B97+'Ly Forsikring'!B97+'Youplus Livsforsikring'!B97+'Oslo Forsikring'!B97</f>
        <v>9002074.9107000008</v>
      </c>
      <c r="C97" s="217">
        <f>'Fremtind Livsforsikring'!C97+'DNB Livsforsikring'!C97+'Eika Forsikring AS'!C97+'Frende Livsforsikring'!C97+'Frende Skadeforsikring'!C97+'Gjensidige Forsikring'!C97+'Gjensidige Pensjon'!C97+'If Skadeforsikring NUF'!C97+KLP!C97+'KLP Skadeforsikring AS'!C97+'Landkreditt Forsikring'!C97+'Nordea Liv '!C97+'Oslo Pensjonsforsikring'!C97+'Protector Forsikring'!C97+'Sparebank 1'!C97+'Storebrand Livsforsikring'!C97+'Telenor Forsikring'!C97+'Tryg Forsikring'!C97+'WaterCircles F'!C97+'Euro Accident'!C97+'Ly Forsikring'!C97+'Youplus Livsforsikring'!C97+'Oslo Forsikring'!C97</f>
        <v>11166862.26994</v>
      </c>
      <c r="D97" s="23">
        <f t="shared" ref="D97" si="34">IF(B97=0, "    ---- ", IF(ABS(ROUND(100/B97*C97-100,1))&lt;999,ROUND(100/B97*C97-100,1),IF(ROUND(100/B97*C97-100,1)&gt;999,999,-999)))</f>
        <v>24</v>
      </c>
      <c r="E97" s="44"/>
      <c r="F97" s="44"/>
      <c r="G97" s="150"/>
      <c r="H97" s="220">
        <f t="shared" ref="H97" si="35">SUM(B97,E97)</f>
        <v>9002074.9107000008</v>
      </c>
      <c r="I97" s="220">
        <f t="shared" ref="I97" si="36">SUM(C97,F97)</f>
        <v>11166862.26994</v>
      </c>
      <c r="J97" s="23">
        <f t="shared" ref="J97" si="37">IF(H97=0, "    ---- ", IF(ABS(ROUND(100/H97*I97-100,1))&lt;999,ROUND(100/H97*I97-100,1),IF(ROUND(100/H97*I97-100,1)&gt;999,999,-999)))</f>
        <v>24</v>
      </c>
    </row>
    <row r="98" spans="1:12" ht="15.75" customHeight="1" x14ac:dyDescent="0.2">
      <c r="A98" s="21" t="s">
        <v>338</v>
      </c>
      <c r="B98" s="217">
        <f>'Fremtind Livsforsikring'!B98+'DNB Livsforsikring'!B98+'Eika Forsikring AS'!B98+'Frende Livsforsikring'!B98+'Frende Skadeforsikring'!B98+'Gjensidige Forsikring'!B98+'Gjensidige Pensjon'!B98+'If Skadeforsikring NUF'!B98+KLP!B98+'KLP Skadeforsikring AS'!B98+'Landkreditt Forsikring'!B98+'Nordea Liv '!B98+'Oslo Pensjonsforsikring'!B98+'Protector Forsikring'!B98+'Sparebank 1'!B98+'Storebrand Livsforsikring'!B98+'Telenor Forsikring'!B98+'Tryg Forsikring'!B98+'WaterCircles F'!B98+'Euro Accident'!B98+'Ly Forsikring'!B98+'Youplus Livsforsikring'!B98+'Oslo Forsikring'!B98</f>
        <v>380365989.91929346</v>
      </c>
      <c r="C98" s="217">
        <f>'Fremtind Livsforsikring'!C98+'DNB Livsforsikring'!C98+'Eika Forsikring AS'!C98+'Frende Livsforsikring'!C98+'Frende Skadeforsikring'!C98+'Gjensidige Forsikring'!C98+'Gjensidige Pensjon'!C98+'If Skadeforsikring NUF'!C98+KLP!C98+'KLP Skadeforsikring AS'!C98+'Landkreditt Forsikring'!C98+'Nordea Liv '!C98+'Oslo Pensjonsforsikring'!C98+'Protector Forsikring'!C98+'Sparebank 1'!C98+'Storebrand Livsforsikring'!C98+'Telenor Forsikring'!C98+'Tryg Forsikring'!C98+'WaterCircles F'!C98+'Euro Accident'!C98+'Ly Forsikring'!C98+'Youplus Livsforsikring'!C98+'Oslo Forsikring'!C98</f>
        <v>382144696.30372411</v>
      </c>
      <c r="D98" s="23">
        <f t="shared" si="23"/>
        <v>0.5</v>
      </c>
      <c r="E98" s="44">
        <f>'Fremtind Livsforsikring'!F98+'DNB Livsforsikring'!F98+'Eika Forsikring AS'!F98+'Frende Livsforsikring'!F98+'Frende Skadeforsikring'!F98+'Gjensidige Forsikring'!F98+'Gjensidige Pensjon'!F98+'If Skadeforsikring NUF'!F98+KLP!F98+'KLP Skadeforsikring AS'!F98+'Landkreditt Forsikring'!F98+'Nordea Liv '!F98+'Oslo Pensjonsforsikring'!F98+'Protector Forsikring'!F98+'Sparebank 1'!F98+'Storebrand Livsforsikring'!F98+'Telenor Forsikring'!F98+'Tryg Forsikring'!F98+'WaterCircles F'!F98+'Euro Accident'!F98+'Ly Forsikring'!F98+'Youplus Livsforsikring'!F98+'Oslo Forsikring'!F98</f>
        <v>469245863.43257987</v>
      </c>
      <c r="F98" s="44">
        <f>'Fremtind Livsforsikring'!G98+'DNB Livsforsikring'!G98+'Eika Forsikring AS'!G98+'Frende Livsforsikring'!G98+'Frende Skadeforsikring'!G98+'Gjensidige Forsikring'!G98+'Gjensidige Pensjon'!G98+'If Skadeforsikring NUF'!G98+KLP!G98+'KLP Skadeforsikring AS'!G98+'Landkreditt Forsikring'!G98+'Nordea Liv '!G98+'Oslo Pensjonsforsikring'!G98+'Protector Forsikring'!G98+'Sparebank 1'!G98+'Storebrand Livsforsikring'!G98+'Telenor Forsikring'!G98+'Tryg Forsikring'!G98+'WaterCircles F'!G98+'Euro Accident'!G98+'Ly Forsikring'!G98+'Youplus Livsforsikring'!G98+'Oslo Forsikring'!G98</f>
        <v>578922732.48428988</v>
      </c>
      <c r="G98" s="150">
        <f t="shared" si="24"/>
        <v>23.4</v>
      </c>
      <c r="H98" s="220">
        <f t="shared" si="32"/>
        <v>849611853.3518734</v>
      </c>
      <c r="I98" s="220">
        <f t="shared" si="33"/>
        <v>961067428.78801394</v>
      </c>
      <c r="J98" s="23">
        <f t="shared" si="27"/>
        <v>13.1</v>
      </c>
    </row>
    <row r="99" spans="1:12" ht="15.75" customHeight="1" x14ac:dyDescent="0.2">
      <c r="A99" s="21" t="s">
        <v>9</v>
      </c>
      <c r="B99" s="217">
        <f>'Fremtind Livsforsikring'!B99+'DNB Livsforsikring'!B99+'Eika Forsikring AS'!B99+'Frende Livsforsikring'!B99+'Frende Skadeforsikring'!B99+'Gjensidige Forsikring'!B99+'Gjensidige Pensjon'!B99+'If Skadeforsikring NUF'!B99+KLP!B99+'KLP Skadeforsikring AS'!B99+'Landkreditt Forsikring'!B99+'Nordea Liv '!B99+'Oslo Pensjonsforsikring'!B99+'Protector Forsikring'!B99+'Sparebank 1'!B99+'Storebrand Livsforsikring'!B99+'Telenor Forsikring'!B99+'Tryg Forsikring'!B99+'WaterCircles F'!B99+'Euro Accident'!B99+'Ly Forsikring'!B99+'Youplus Livsforsikring'!B99+'Oslo Forsikring'!B99</f>
        <v>378131594.76991665</v>
      </c>
      <c r="C99" s="217">
        <f>'Fremtind Livsforsikring'!C99+'DNB Livsforsikring'!C99+'Eika Forsikring AS'!C99+'Frende Livsforsikring'!C99+'Frende Skadeforsikring'!C99+'Gjensidige Forsikring'!C99+'Gjensidige Pensjon'!C99+'If Skadeforsikring NUF'!C99+KLP!C99+'KLP Skadeforsikring AS'!C99+'Landkreditt Forsikring'!C99+'Nordea Liv '!C99+'Oslo Pensjonsforsikring'!C99+'Protector Forsikring'!C99+'Sparebank 1'!C99+'Storebrand Livsforsikring'!C99+'Telenor Forsikring'!C99+'Tryg Forsikring'!C99+'WaterCircles F'!C99+'Euro Accident'!C99+'Ly Forsikring'!C99+'Youplus Livsforsikring'!C99+'Oslo Forsikring'!C99</f>
        <v>379803326.6099779</v>
      </c>
      <c r="D99" s="23">
        <f t="shared" si="23"/>
        <v>0.4</v>
      </c>
      <c r="E99" s="44"/>
      <c r="F99" s="44"/>
      <c r="G99" s="150"/>
      <c r="H99" s="220">
        <f t="shared" si="32"/>
        <v>378131594.76991665</v>
      </c>
      <c r="I99" s="220">
        <f t="shared" si="33"/>
        <v>379803326.6099779</v>
      </c>
      <c r="J99" s="23">
        <f t="shared" si="27"/>
        <v>0.4</v>
      </c>
    </row>
    <row r="100" spans="1:12" ht="15.75" customHeight="1" x14ac:dyDescent="0.2">
      <c r="A100" s="38" t="s">
        <v>366</v>
      </c>
      <c r="B100" s="217">
        <f>'Fremtind Livsforsikring'!B100+'DNB Livsforsikring'!B100+'Eika Forsikring AS'!B100+'Frende Livsforsikring'!B100+'Frende Skadeforsikring'!B100+'Gjensidige Forsikring'!B100+'Gjensidige Pensjon'!B100+'If Skadeforsikring NUF'!B100+KLP!B100+'KLP Skadeforsikring AS'!B100+'Landkreditt Forsikring'!B100+'Nordea Liv '!B100+'Oslo Pensjonsforsikring'!B100+'Protector Forsikring'!B100+'Sparebank 1'!B100+'Storebrand Livsforsikring'!B100+'Telenor Forsikring'!B100+'Tryg Forsikring'!B100+'WaterCircles F'!B100+'Euro Accident'!B100+'Ly Forsikring'!B100+'Youplus Livsforsikring'!B100+'Oslo Forsikring'!B100</f>
        <v>2234395.1493767696</v>
      </c>
      <c r="C100" s="217">
        <f>'Fremtind Livsforsikring'!C100+'DNB Livsforsikring'!C100+'Eika Forsikring AS'!C100+'Frende Livsforsikring'!C100+'Frende Skadeforsikring'!C100+'Gjensidige Forsikring'!C100+'Gjensidige Pensjon'!C100+'If Skadeforsikring NUF'!C100+KLP!C100+'KLP Skadeforsikring AS'!C100+'Landkreditt Forsikring'!C100+'Nordea Liv '!C100+'Oslo Pensjonsforsikring'!C100+'Protector Forsikring'!C100+'Sparebank 1'!C100+'Storebrand Livsforsikring'!C100+'Telenor Forsikring'!C100+'Tryg Forsikring'!C100+'WaterCircles F'!C100+'Euro Accident'!C100+'Ly Forsikring'!C100+'Youplus Livsforsikring'!C100+'Oslo Forsikring'!C100</f>
        <v>2341369.6937462203</v>
      </c>
      <c r="D100" s="23">
        <f t="shared" si="23"/>
        <v>4.8</v>
      </c>
      <c r="E100" s="44">
        <f>'Fremtind Livsforsikring'!F100+'DNB Livsforsikring'!F100+'Eika Forsikring AS'!F100+'Frende Livsforsikring'!F100+'Frende Skadeforsikring'!F100+'Gjensidige Forsikring'!F100+'Gjensidige Pensjon'!F100+'If Skadeforsikring NUF'!F100+KLP!F100+'KLP Skadeforsikring AS'!F100+'Landkreditt Forsikring'!F100+'Nordea Liv '!F100+'Oslo Pensjonsforsikring'!F100+'Protector Forsikring'!F100+'Sparebank 1'!F100+'Storebrand Livsforsikring'!F100+'Telenor Forsikring'!F100+'Tryg Forsikring'!F100+'WaterCircles F'!F100+'Euro Accident'!F100+'Ly Forsikring'!F100+'Youplus Livsforsikring'!F100+'Oslo Forsikring'!F100</f>
        <v>469245863.43257987</v>
      </c>
      <c r="F100" s="44">
        <f>'Fremtind Livsforsikring'!G100+'DNB Livsforsikring'!G100+'Eika Forsikring AS'!G100+'Frende Livsforsikring'!G100+'Frende Skadeforsikring'!G100+'Gjensidige Forsikring'!G100+'Gjensidige Pensjon'!G100+'If Skadeforsikring NUF'!G100+KLP!G100+'KLP Skadeforsikring AS'!G100+'Landkreditt Forsikring'!G100+'Nordea Liv '!G100+'Oslo Pensjonsforsikring'!G100+'Protector Forsikring'!G100+'Sparebank 1'!G100+'Storebrand Livsforsikring'!G100+'Telenor Forsikring'!G100+'Tryg Forsikring'!G100+'WaterCircles F'!G100+'Euro Accident'!G100+'Ly Forsikring'!G100+'Youplus Livsforsikring'!G100+'Oslo Forsikring'!G100</f>
        <v>578922732.48428988</v>
      </c>
      <c r="G100" s="150">
        <f t="shared" si="24"/>
        <v>23.4</v>
      </c>
      <c r="H100" s="220">
        <f t="shared" si="32"/>
        <v>471480258.58195662</v>
      </c>
      <c r="I100" s="220">
        <f t="shared" si="33"/>
        <v>581264102.17803609</v>
      </c>
      <c r="J100" s="23">
        <f t="shared" si="27"/>
        <v>23.3</v>
      </c>
    </row>
    <row r="101" spans="1:12" ht="15.75" customHeight="1" x14ac:dyDescent="0.2">
      <c r="A101" s="281" t="s">
        <v>336</v>
      </c>
      <c r="B101" s="44"/>
      <c r="C101" s="44"/>
      <c r="D101" s="27"/>
      <c r="E101" s="44"/>
      <c r="F101" s="44"/>
      <c r="G101" s="150"/>
      <c r="H101" s="220"/>
      <c r="I101" s="220"/>
      <c r="J101" s="23"/>
    </row>
    <row r="102" spans="1:12" ht="15.75" customHeight="1" x14ac:dyDescent="0.2">
      <c r="A102" s="281" t="s">
        <v>12</v>
      </c>
      <c r="B102" s="218"/>
      <c r="C102" s="218"/>
      <c r="D102" s="27"/>
      <c r="E102" s="44"/>
      <c r="F102" s="44"/>
      <c r="G102" s="150"/>
      <c r="H102" s="220"/>
      <c r="I102" s="220"/>
      <c r="J102" s="23"/>
    </row>
    <row r="103" spans="1:12" ht="15.75" customHeight="1" x14ac:dyDescent="0.2">
      <c r="A103" s="281" t="s">
        <v>13</v>
      </c>
      <c r="B103" s="218"/>
      <c r="C103" s="218"/>
      <c r="D103" s="27"/>
      <c r="E103" s="44"/>
      <c r="F103" s="44"/>
      <c r="G103" s="150"/>
      <c r="H103" s="220"/>
      <c r="I103" s="220"/>
      <c r="J103" s="23"/>
    </row>
    <row r="104" spans="1:12" ht="15.75" customHeight="1" x14ac:dyDescent="0.2">
      <c r="A104" s="281" t="s">
        <v>337</v>
      </c>
      <c r="B104" s="44"/>
      <c r="C104" s="44"/>
      <c r="D104" s="27"/>
      <c r="E104" s="44"/>
      <c r="F104" s="44"/>
      <c r="G104" s="150"/>
      <c r="H104" s="220"/>
      <c r="I104" s="220"/>
      <c r="J104" s="23"/>
    </row>
    <row r="105" spans="1:12" ht="15.75" customHeight="1" x14ac:dyDescent="0.2">
      <c r="A105" s="281" t="s">
        <v>12</v>
      </c>
      <c r="B105" s="218"/>
      <c r="C105" s="218"/>
      <c r="D105" s="27"/>
      <c r="E105" s="44"/>
      <c r="F105" s="44"/>
      <c r="G105" s="150"/>
      <c r="H105" s="220"/>
      <c r="I105" s="220"/>
      <c r="J105" s="23"/>
    </row>
    <row r="106" spans="1:12" ht="15.75" customHeight="1" x14ac:dyDescent="0.2">
      <c r="A106" s="281" t="s">
        <v>13</v>
      </c>
      <c r="B106" s="218"/>
      <c r="C106" s="218"/>
      <c r="D106" s="27"/>
      <c r="E106" s="44"/>
      <c r="F106" s="44"/>
      <c r="G106" s="150"/>
      <c r="H106" s="220"/>
      <c r="I106" s="220"/>
      <c r="J106" s="23"/>
    </row>
    <row r="107" spans="1:12" ht="15.75" customHeight="1" x14ac:dyDescent="0.2">
      <c r="A107" s="21" t="s">
        <v>339</v>
      </c>
      <c r="B107" s="217">
        <f>'Fremtind Livsforsikring'!B107+'DNB Livsforsikring'!B107+'Eika Forsikring AS'!B107+'Frende Livsforsikring'!B107+'Frende Skadeforsikring'!B107+'Gjensidige Forsikring'!B107+'Gjensidige Pensjon'!B107+'If Skadeforsikring NUF'!B107+KLP!B107+'KLP Skadeforsikring AS'!B107+'Landkreditt Forsikring'!B107+'Nordea Liv '!B107+'Oslo Pensjonsforsikring'!B107+'Protector Forsikring'!B107+'Sparebank 1'!B107+'Storebrand Livsforsikring'!B107+'Telenor Forsikring'!B107+'Tryg Forsikring'!B107+'WaterCircles F'!B107+'Euro Accident'!B107+'Ly Forsikring'!B107+'Youplus Livsforsikring'!B107+'Oslo Forsikring'!B107</f>
        <v>4399337.665</v>
      </c>
      <c r="C107" s="217">
        <f>'Fremtind Livsforsikring'!C107+'DNB Livsforsikring'!C107+'Eika Forsikring AS'!C107+'Frende Livsforsikring'!C107+'Frende Skadeforsikring'!C107+'Gjensidige Forsikring'!C107+'Gjensidige Pensjon'!C107+'If Skadeforsikring NUF'!C107+KLP!C107+'KLP Skadeforsikring AS'!C107+'Landkreditt Forsikring'!C107+'Nordea Liv '!C107+'Oslo Pensjonsforsikring'!C107+'Protector Forsikring'!C107+'Sparebank 1'!C107+'Storebrand Livsforsikring'!C107+'Telenor Forsikring'!C107+'Tryg Forsikring'!C107+'WaterCircles F'!C107+'Euro Accident'!C107+'Ly Forsikring'!C107+'Youplus Livsforsikring'!C107+'Oslo Forsikring'!C107</f>
        <v>4340093.9780000001</v>
      </c>
      <c r="D107" s="23">
        <f t="shared" si="23"/>
        <v>-1.3</v>
      </c>
      <c r="E107" s="44">
        <f>'Fremtind Livsforsikring'!F107+'DNB Livsforsikring'!F107+'Eika Forsikring AS'!F107+'Frende Livsforsikring'!F107+'Frende Skadeforsikring'!F107+'Gjensidige Forsikring'!F107+'Gjensidige Pensjon'!F107+'If Skadeforsikring NUF'!F107+KLP!F107+'KLP Skadeforsikring AS'!F107+'Landkreditt Forsikring'!F107+'Nordea Liv '!F107+'Oslo Pensjonsforsikring'!F107+'Protector Forsikring'!F107+'Sparebank 1'!F107+'Storebrand Livsforsikring'!F107+'Telenor Forsikring'!F107+'Tryg Forsikring'!F107+'WaterCircles F'!F107+'Euro Accident'!F107+'Ly Forsikring'!F107+'Youplus Livsforsikring'!F107+'Oslo Forsikring'!F107</f>
        <v>194094.97830999992</v>
      </c>
      <c r="F107" s="44">
        <f>'Fremtind Livsforsikring'!G107+'DNB Livsforsikring'!G107+'Eika Forsikring AS'!G107+'Frende Livsforsikring'!G107+'Frende Skadeforsikring'!G107+'Gjensidige Forsikring'!G107+'Gjensidige Pensjon'!G107+'If Skadeforsikring NUF'!G107+KLP!G107+'KLP Skadeforsikring AS'!G107+'Landkreditt Forsikring'!G107+'Nordea Liv '!G107+'Oslo Pensjonsforsikring'!G107+'Protector Forsikring'!G107+'Sparebank 1'!G107+'Storebrand Livsforsikring'!G107+'Telenor Forsikring'!G107+'Tryg Forsikring'!G107+'WaterCircles F'!G107+'Euro Accident'!G107+'Ly Forsikring'!G107+'Youplus Livsforsikring'!G107+'Oslo Forsikring'!G107</f>
        <v>398672.08821999992</v>
      </c>
      <c r="G107" s="150">
        <f t="shared" si="24"/>
        <v>105.4</v>
      </c>
      <c r="H107" s="220">
        <f t="shared" si="32"/>
        <v>4593432.6433100002</v>
      </c>
      <c r="I107" s="220">
        <f t="shared" si="33"/>
        <v>4738766.0662200004</v>
      </c>
      <c r="J107" s="23">
        <f t="shared" si="27"/>
        <v>3.2</v>
      </c>
    </row>
    <row r="108" spans="1:12" ht="15.75" customHeight="1" x14ac:dyDescent="0.2">
      <c r="A108" s="21" t="s">
        <v>340</v>
      </c>
      <c r="B108" s="217">
        <f>'Fremtind Livsforsikring'!B108+'DNB Livsforsikring'!B108+'Eika Forsikring AS'!B108+'Frende Livsforsikring'!B108+'Frende Skadeforsikring'!B108+'Gjensidige Forsikring'!B108+'Gjensidige Pensjon'!B108+'If Skadeforsikring NUF'!B108+KLP!B108+'KLP Skadeforsikring AS'!B108+'Landkreditt Forsikring'!B108+'Nordea Liv '!B108+'Oslo Pensjonsforsikring'!B108+'Protector Forsikring'!B108+'Sparebank 1'!B108+'Storebrand Livsforsikring'!B108+'Telenor Forsikring'!B108+'Tryg Forsikring'!B108+'WaterCircles F'!B108+'Euro Accident'!B108+'Ly Forsikring'!B108+'Youplus Livsforsikring'!B108+'Oslo Forsikring'!B108</f>
        <v>328156500.46771461</v>
      </c>
      <c r="C108" s="217">
        <f>'Fremtind Livsforsikring'!C108+'DNB Livsforsikring'!C108+'Eika Forsikring AS'!C108+'Frende Livsforsikring'!C108+'Frende Skadeforsikring'!C108+'Gjensidige Forsikring'!C108+'Gjensidige Pensjon'!C108+'If Skadeforsikring NUF'!C108+KLP!C108+'KLP Skadeforsikring AS'!C108+'Landkreditt Forsikring'!C108+'Nordea Liv '!C108+'Oslo Pensjonsforsikring'!C108+'Protector Forsikring'!C108+'Sparebank 1'!C108+'Storebrand Livsforsikring'!C108+'Telenor Forsikring'!C108+'Tryg Forsikring'!C108+'WaterCircles F'!C108+'Euro Accident'!C108+'Ly Forsikring'!C108+'Youplus Livsforsikring'!C108+'Oslo Forsikring'!C108</f>
        <v>331647229.39409208</v>
      </c>
      <c r="D108" s="23">
        <f t="shared" si="23"/>
        <v>1.1000000000000001</v>
      </c>
      <c r="E108" s="44">
        <f>'Fremtind Livsforsikring'!F108+'DNB Livsforsikring'!F108+'Eika Forsikring AS'!F108+'Frende Livsforsikring'!F108+'Frende Skadeforsikring'!F108+'Gjensidige Forsikring'!F108+'Gjensidige Pensjon'!F108+'If Skadeforsikring NUF'!F108+KLP!F108+'KLP Skadeforsikring AS'!F108+'Landkreditt Forsikring'!F108+'Nordea Liv '!F108+'Oslo Pensjonsforsikring'!F108+'Protector Forsikring'!F108+'Sparebank 1'!F108+'Storebrand Livsforsikring'!F108+'Telenor Forsikring'!F108+'Tryg Forsikring'!F108+'WaterCircles F'!F108+'Euro Accident'!F108+'Ly Forsikring'!F108+'Youplus Livsforsikring'!F108+'Oslo Forsikring'!F108</f>
        <v>20242438.885469999</v>
      </c>
      <c r="F108" s="44">
        <f>'Fremtind Livsforsikring'!G108+'DNB Livsforsikring'!G108+'Eika Forsikring AS'!G108+'Frende Livsforsikring'!G108+'Frende Skadeforsikring'!G108+'Gjensidige Forsikring'!G108+'Gjensidige Pensjon'!G108+'If Skadeforsikring NUF'!G108+KLP!G108+'KLP Skadeforsikring AS'!G108+'Landkreditt Forsikring'!G108+'Nordea Liv '!G108+'Oslo Pensjonsforsikring'!G108+'Protector Forsikring'!G108+'Sparebank 1'!G108+'Storebrand Livsforsikring'!G108+'Telenor Forsikring'!G108+'Tryg Forsikring'!G108+'WaterCircles F'!G108+'Euro Accident'!G108+'Ly Forsikring'!G108+'Youplus Livsforsikring'!G108+'Oslo Forsikring'!G108</f>
        <v>22094005.88084</v>
      </c>
      <c r="G108" s="150">
        <f t="shared" si="24"/>
        <v>9.1</v>
      </c>
      <c r="H108" s="220">
        <f t="shared" si="32"/>
        <v>348398939.35318458</v>
      </c>
      <c r="I108" s="220">
        <f t="shared" si="33"/>
        <v>353741235.27493209</v>
      </c>
      <c r="J108" s="23">
        <f t="shared" si="27"/>
        <v>1.5</v>
      </c>
    </row>
    <row r="109" spans="1:12" ht="15.75" customHeight="1" x14ac:dyDescent="0.2">
      <c r="A109" s="38" t="s">
        <v>374</v>
      </c>
      <c r="B109" s="217">
        <f>'Fremtind Livsforsikring'!B109+'DNB Livsforsikring'!B109+'Eika Forsikring AS'!B109+'Frende Livsforsikring'!B109+'Frende Skadeforsikring'!B109+'Gjensidige Forsikring'!B109+'Gjensidige Pensjon'!B109+'If Skadeforsikring NUF'!B109+KLP!B109+'KLP Skadeforsikring AS'!B109+'Landkreditt Forsikring'!B109+'Nordea Liv '!B109+'Oslo Pensjonsforsikring'!B109+'Protector Forsikring'!B109+'Sparebank 1'!B109+'Storebrand Livsforsikring'!B109+'Telenor Forsikring'!B109+'Tryg Forsikring'!B109+'WaterCircles F'!B109+'Euro Accident'!B109+'Ly Forsikring'!B109+'Youplus Livsforsikring'!B109+'Oslo Forsikring'!B109</f>
        <v>2099900.0116172503</v>
      </c>
      <c r="C109" s="217">
        <f>'Fremtind Livsforsikring'!C109+'DNB Livsforsikring'!C109+'Eika Forsikring AS'!C109+'Frende Livsforsikring'!C109+'Frende Skadeforsikring'!C109+'Gjensidige Forsikring'!C109+'Gjensidige Pensjon'!C109+'If Skadeforsikring NUF'!C109+KLP!C109+'KLP Skadeforsikring AS'!C109+'Landkreditt Forsikring'!C109+'Nordea Liv '!C109+'Oslo Pensjonsforsikring'!C109+'Protector Forsikring'!C109+'Sparebank 1'!C109+'Storebrand Livsforsikring'!C109+'Telenor Forsikring'!C109+'Tryg Forsikring'!C109+'WaterCircles F'!C109+'Euro Accident'!C109+'Ly Forsikring'!C109+'Youplus Livsforsikring'!C109+'Oslo Forsikring'!C109</f>
        <v>2452719.7451200499</v>
      </c>
      <c r="D109" s="23">
        <f t="shared" si="23"/>
        <v>16.8</v>
      </c>
      <c r="E109" s="44">
        <f>'Fremtind Livsforsikring'!F109+'DNB Livsforsikring'!F109+'Eika Forsikring AS'!F109+'Frende Livsforsikring'!F109+'Frende Skadeforsikring'!F109+'Gjensidige Forsikring'!F109+'Gjensidige Pensjon'!F109+'If Skadeforsikring NUF'!F109+KLP!F109+'KLP Skadeforsikring AS'!F109+'Landkreditt Forsikring'!F109+'Nordea Liv '!F109+'Oslo Pensjonsforsikring'!F109+'Protector Forsikring'!F109+'Sparebank 1'!F109+'Storebrand Livsforsikring'!F109+'Telenor Forsikring'!F109+'Tryg Forsikring'!F109+'WaterCircles F'!F109+'Euro Accident'!F109+'Ly Forsikring'!F109+'Youplus Livsforsikring'!F109+'Oslo Forsikring'!F109</f>
        <v>172513311.17293981</v>
      </c>
      <c r="F109" s="44">
        <f>'Fremtind Livsforsikring'!G109+'DNB Livsforsikring'!G109+'Eika Forsikring AS'!G109+'Frende Livsforsikring'!G109+'Frende Skadeforsikring'!G109+'Gjensidige Forsikring'!G109+'Gjensidige Pensjon'!G109+'If Skadeforsikring NUF'!G109+KLP!G109+'KLP Skadeforsikring AS'!G109+'Landkreditt Forsikring'!G109+'Nordea Liv '!G109+'Oslo Pensjonsforsikring'!G109+'Protector Forsikring'!G109+'Sparebank 1'!G109+'Storebrand Livsforsikring'!G109+'Telenor Forsikring'!G109+'Tryg Forsikring'!G109+'WaterCircles F'!G109+'Euro Accident'!G109+'Ly Forsikring'!G109+'Youplus Livsforsikring'!G109+'Oslo Forsikring'!G109</f>
        <v>217353381.23025</v>
      </c>
      <c r="G109" s="150">
        <f t="shared" si="24"/>
        <v>26</v>
      </c>
      <c r="H109" s="220">
        <f t="shared" si="32"/>
        <v>174613211.18455705</v>
      </c>
      <c r="I109" s="220">
        <f t="shared" si="33"/>
        <v>219806100.97537005</v>
      </c>
      <c r="J109" s="23">
        <f t="shared" si="27"/>
        <v>25.9</v>
      </c>
      <c r="L109" s="3"/>
    </row>
    <row r="110" spans="1:12" ht="15.75" customHeight="1" x14ac:dyDescent="0.2">
      <c r="A110" s="21" t="s">
        <v>341</v>
      </c>
      <c r="B110" s="217">
        <f>'Fremtind Livsforsikring'!B110+'DNB Livsforsikring'!B110+'Eika Forsikring AS'!B110+'Frende Livsforsikring'!B110+'Frende Skadeforsikring'!B110+'Gjensidige Forsikring'!B110+'Gjensidige Pensjon'!B110+'If Skadeforsikring NUF'!B110+KLP!B110+'KLP Skadeforsikring AS'!B110+'Landkreditt Forsikring'!B110+'Nordea Liv '!B110+'Oslo Pensjonsforsikring'!B110+'Protector Forsikring'!B110+'Sparebank 1'!B110+'Storebrand Livsforsikring'!B110+'Telenor Forsikring'!B110+'Tryg Forsikring'!B110+'WaterCircles F'!B110+'Euro Accident'!B110+'Ly Forsikring'!B110+'Youplus Livsforsikring'!B110+'Oslo Forsikring'!B110</f>
        <v>1699372.4672900001</v>
      </c>
      <c r="C110" s="217">
        <f>'Fremtind Livsforsikring'!C110+'DNB Livsforsikring'!C110+'Eika Forsikring AS'!C110+'Frende Livsforsikring'!C110+'Frende Skadeforsikring'!C110+'Gjensidige Forsikring'!C110+'Gjensidige Pensjon'!C110+'If Skadeforsikring NUF'!C110+KLP!C110+'KLP Skadeforsikring AS'!C110+'Landkreditt Forsikring'!C110+'Nordea Liv '!C110+'Oslo Pensjonsforsikring'!C110+'Protector Forsikring'!C110+'Sparebank 1'!C110+'Storebrand Livsforsikring'!C110+'Telenor Forsikring'!C110+'Tryg Forsikring'!C110+'WaterCircles F'!C110+'Euro Accident'!C110+'Ly Forsikring'!C110+'Youplus Livsforsikring'!C110+'Oslo Forsikring'!C110</f>
        <v>2649743.7932099998</v>
      </c>
      <c r="D110" s="23">
        <f t="shared" si="23"/>
        <v>55.9</v>
      </c>
      <c r="E110" s="44"/>
      <c r="F110" s="44"/>
      <c r="G110" s="150"/>
      <c r="H110" s="220">
        <f t="shared" si="32"/>
        <v>1699372.4672900001</v>
      </c>
      <c r="I110" s="220">
        <f t="shared" si="33"/>
        <v>2649743.7932099998</v>
      </c>
      <c r="J110" s="23">
        <f t="shared" si="27"/>
        <v>55.9</v>
      </c>
    </row>
    <row r="111" spans="1:12" s="43" customFormat="1" ht="15.75" customHeight="1" x14ac:dyDescent="0.2">
      <c r="A111" s="13" t="s">
        <v>322</v>
      </c>
      <c r="B111" s="293">
        <f>'Fremtind Livsforsikring'!B111+'DNB Livsforsikring'!B111+'Eika Forsikring AS'!B111+'Frende Livsforsikring'!B111+'Frende Skadeforsikring'!B111+'Gjensidige Forsikring'!B111+'Gjensidige Pensjon'!B111+'If Skadeforsikring NUF'!B111+KLP!B111+'KLP Skadeforsikring AS'!B111+'Landkreditt Forsikring'!B111+'Nordea Liv '!B111+'Oslo Pensjonsforsikring'!B111+'Protector Forsikring'!B111+'Sparebank 1'!B111+'Storebrand Livsforsikring'!B111+'Telenor Forsikring'!B111+'Tryg Forsikring'!B111+'WaterCircles F'!B111+'Euro Accident'!B111+'Ly Forsikring'!B111+'Youplus Livsforsikring'!B111+'Oslo Forsikring'!B111</f>
        <v>149135.51766000001</v>
      </c>
      <c r="C111" s="293">
        <f>'Fremtind Livsforsikring'!C111+'DNB Livsforsikring'!C111+'Eika Forsikring AS'!C111+'Frende Livsforsikring'!C111+'Frende Skadeforsikring'!C111+'Gjensidige Forsikring'!C111+'Gjensidige Pensjon'!C111+'If Skadeforsikring NUF'!C111+KLP!C111+'KLP Skadeforsikring AS'!C111+'Landkreditt Forsikring'!C111+'Nordea Liv '!C111+'Oslo Pensjonsforsikring'!C111+'Protector Forsikring'!C111+'Sparebank 1'!C111+'Storebrand Livsforsikring'!C111+'Telenor Forsikring'!C111+'Tryg Forsikring'!C111+'WaterCircles F'!C111+'Euro Accident'!C111+'Ly Forsikring'!C111+'Youplus Livsforsikring'!C111+'Oslo Forsikring'!C111</f>
        <v>221664.91381</v>
      </c>
      <c r="D111" s="24">
        <f t="shared" si="23"/>
        <v>48.6</v>
      </c>
      <c r="E111" s="219">
        <f>'Fremtind Livsforsikring'!F111+'DNB Livsforsikring'!F111+'Eika Forsikring AS'!F111+'Frende Livsforsikring'!F111+'Frende Skadeforsikring'!F111+'Gjensidige Forsikring'!F111+'Gjensidige Pensjon'!F111+'If Skadeforsikring NUF'!F111+KLP!F111+'KLP Skadeforsikring AS'!F111+'Landkreditt Forsikring'!F111+'Nordea Liv '!F111+'Oslo Pensjonsforsikring'!F111+'Protector Forsikring'!F111+'Sparebank 1'!F111+'Storebrand Livsforsikring'!F111+'Telenor Forsikring'!F111+'Tryg Forsikring'!F111+'WaterCircles F'!F111+'Euro Accident'!F111+'Ly Forsikring'!F111+'Youplus Livsforsikring'!F111+'Oslo Forsikring'!F111</f>
        <v>12279847.38036</v>
      </c>
      <c r="F111" s="219">
        <f>'Fremtind Livsforsikring'!G111+'DNB Livsforsikring'!G111+'Eika Forsikring AS'!G111+'Frende Livsforsikring'!G111+'Frende Skadeforsikring'!G111+'Gjensidige Forsikring'!G111+'Gjensidige Pensjon'!G111+'If Skadeforsikring NUF'!G111+KLP!G111+'KLP Skadeforsikring AS'!G111+'Landkreditt Forsikring'!G111+'Nordea Liv '!G111+'Oslo Pensjonsforsikring'!G111+'Protector Forsikring'!G111+'Sparebank 1'!G111+'Storebrand Livsforsikring'!G111+'Telenor Forsikring'!G111+'Tryg Forsikring'!G111+'WaterCircles F'!G111+'Euro Accident'!G111+'Ly Forsikring'!G111+'Youplus Livsforsikring'!G111+'Oslo Forsikring'!G111</f>
        <v>13895686.955789998</v>
      </c>
      <c r="G111" s="155">
        <f t="shared" si="24"/>
        <v>13.2</v>
      </c>
      <c r="H111" s="313">
        <f t="shared" si="32"/>
        <v>12428982.898019999</v>
      </c>
      <c r="I111" s="313">
        <f t="shared" si="33"/>
        <v>14117351.869599998</v>
      </c>
      <c r="J111" s="24">
        <f t="shared" si="27"/>
        <v>13.6</v>
      </c>
    </row>
    <row r="112" spans="1:12" ht="15.75" customHeight="1" x14ac:dyDescent="0.2">
      <c r="A112" s="21" t="s">
        <v>9</v>
      </c>
      <c r="B112" s="217">
        <f>'Fremtind Livsforsikring'!B112+'DNB Livsforsikring'!B112+'Eika Forsikring AS'!B112+'Frende Livsforsikring'!B112+'Frende Skadeforsikring'!B112+'Gjensidige Forsikring'!B112+'Gjensidige Pensjon'!B112+'If Skadeforsikring NUF'!B112+KLP!B112+'KLP Skadeforsikring AS'!B112+'Landkreditt Forsikring'!B112+'Nordea Liv '!B112+'Oslo Pensjonsforsikring'!B112+'Protector Forsikring'!B112+'Sparebank 1'!B112+'Storebrand Livsforsikring'!B112+'Telenor Forsikring'!B112+'Tryg Forsikring'!B112+'WaterCircles F'!B112+'Euro Accident'!B112+'Ly Forsikring'!B112+'Youplus Livsforsikring'!B112+'Oslo Forsikring'!B112</f>
        <v>92070.709000000003</v>
      </c>
      <c r="C112" s="217">
        <f>'Fremtind Livsforsikring'!C112+'DNB Livsforsikring'!C112+'Eika Forsikring AS'!C112+'Frende Livsforsikring'!C112+'Frende Skadeforsikring'!C112+'Gjensidige Forsikring'!C112+'Gjensidige Pensjon'!C112+'If Skadeforsikring NUF'!C112+KLP!C112+'KLP Skadeforsikring AS'!C112+'Landkreditt Forsikring'!C112+'Nordea Liv '!C112+'Oslo Pensjonsforsikring'!C112+'Protector Forsikring'!C112+'Sparebank 1'!C112+'Storebrand Livsforsikring'!C112+'Telenor Forsikring'!C112+'Tryg Forsikring'!C112+'WaterCircles F'!C112+'Euro Accident'!C112+'Ly Forsikring'!C112+'Youplus Livsforsikring'!C112+'Oslo Forsikring'!C112</f>
        <v>160399.74997</v>
      </c>
      <c r="D112" s="23">
        <f t="shared" ref="D112:D125" si="38">IF(B112=0, "    ---- ", IF(ABS(ROUND(100/B112*C112-100,1))&lt;999,ROUND(100/B112*C112-100,1),IF(ROUND(100/B112*C112-100,1)&gt;999,999,-999)))</f>
        <v>74.2</v>
      </c>
      <c r="E112" s="44">
        <f>'Fremtind Livsforsikring'!F112+'DNB Livsforsikring'!F112+'Eika Forsikring AS'!F112+'Frende Livsforsikring'!F112+'Frende Skadeforsikring'!F112+'Gjensidige Forsikring'!F112+'Gjensidige Pensjon'!F112+'If Skadeforsikring NUF'!F112+KLP!F112+'KLP Skadeforsikring AS'!F112+'Landkreditt Forsikring'!F112+'Nordea Liv '!F112+'Oslo Pensjonsforsikring'!F112+'Protector Forsikring'!F112+'Sparebank 1'!F112+'Storebrand Livsforsikring'!F112+'Telenor Forsikring'!F112+'Tryg Forsikring'!F112+'WaterCircles F'!F112+'Euro Accident'!F112+'Ly Forsikring'!F112+'Youplus Livsforsikring'!F112+'Oslo Forsikring'!F112</f>
        <v>1378.0809999999999</v>
      </c>
      <c r="F112" s="44">
        <f>'Fremtind Livsforsikring'!G112+'DNB Livsforsikring'!G112+'Eika Forsikring AS'!G112+'Frende Livsforsikring'!G112+'Frende Skadeforsikring'!G112+'Gjensidige Forsikring'!G112+'Gjensidige Pensjon'!G112+'If Skadeforsikring NUF'!G112+KLP!G112+'KLP Skadeforsikring AS'!G112+'Landkreditt Forsikring'!G112+'Nordea Liv '!G112+'Oslo Pensjonsforsikring'!G112+'Protector Forsikring'!G112+'Sparebank 1'!G112+'Storebrand Livsforsikring'!G112+'Telenor Forsikring'!G112+'Tryg Forsikring'!G112+'WaterCircles F'!G112+'Euro Accident'!G112+'Ly Forsikring'!G112+'Youplus Livsforsikring'!G112+'Oslo Forsikring'!G112</f>
        <v>983.60799999999995</v>
      </c>
      <c r="G112" s="150">
        <f t="shared" si="24"/>
        <v>-28.6</v>
      </c>
      <c r="H112" s="220">
        <f t="shared" ref="H112:H125" si="39">SUM(B112,E112)</f>
        <v>93448.790000000008</v>
      </c>
      <c r="I112" s="220">
        <f t="shared" ref="I112:I125" si="40">SUM(C112,F112)</f>
        <v>161383.35797000001</v>
      </c>
      <c r="J112" s="23">
        <f t="shared" ref="J112:J125" si="41">IF(H112=0, "    ---- ", IF(ABS(ROUND(100/H112*I112-100,1))&lt;999,ROUND(100/H112*I112-100,1),IF(ROUND(100/H112*I112-100,1)&gt;999,999,-999)))</f>
        <v>72.7</v>
      </c>
    </row>
    <row r="113" spans="1:10" ht="15.75" customHeight="1" x14ac:dyDescent="0.2">
      <c r="A113" s="21" t="s">
        <v>10</v>
      </c>
      <c r="B113" s="217">
        <f>'Fremtind Livsforsikring'!B113+'DNB Livsforsikring'!B113+'Eika Forsikring AS'!B113+'Frende Livsforsikring'!B113+'Frende Skadeforsikring'!B113+'Gjensidige Forsikring'!B113+'Gjensidige Pensjon'!B113+'If Skadeforsikring NUF'!B113+KLP!B113+'KLP Skadeforsikring AS'!B113+'Landkreditt Forsikring'!B113+'Nordea Liv '!B113+'Oslo Pensjonsforsikring'!B113+'Protector Forsikring'!B113+'Sparebank 1'!B113+'Storebrand Livsforsikring'!B113+'Telenor Forsikring'!B113+'Tryg Forsikring'!B113+'WaterCircles F'!B113+'Euro Accident'!B113+'Ly Forsikring'!B113+'Youplus Livsforsikring'!B113+'Oslo Forsikring'!B113</f>
        <v>105.152</v>
      </c>
      <c r="C113" s="217">
        <f>'Fremtind Livsforsikring'!C113+'DNB Livsforsikring'!C113+'Eika Forsikring AS'!C113+'Frende Livsforsikring'!C113+'Frende Skadeforsikring'!C113+'Gjensidige Forsikring'!C113+'Gjensidige Pensjon'!C113+'If Skadeforsikring NUF'!C113+KLP!C113+'KLP Skadeforsikring AS'!C113+'Landkreditt Forsikring'!C113+'Nordea Liv '!C113+'Oslo Pensjonsforsikring'!C113+'Protector Forsikring'!C113+'Sparebank 1'!C113+'Storebrand Livsforsikring'!C113+'Telenor Forsikring'!C113+'Tryg Forsikring'!C113+'WaterCircles F'!C113+'Euro Accident'!C113+'Ly Forsikring'!C113+'Youplus Livsforsikring'!C113+'Oslo Forsikring'!C113</f>
        <v>0</v>
      </c>
      <c r="D113" s="23">
        <f t="shared" si="38"/>
        <v>-100</v>
      </c>
      <c r="E113" s="44">
        <f>'Fremtind Livsforsikring'!F113+'DNB Livsforsikring'!F113+'Eika Forsikring AS'!F113+'Frende Livsforsikring'!F113+'Frende Skadeforsikring'!F113+'Gjensidige Forsikring'!F113+'Gjensidige Pensjon'!F113+'If Skadeforsikring NUF'!F113+KLP!F113+'KLP Skadeforsikring AS'!F113+'Landkreditt Forsikring'!F113+'Nordea Liv '!F113+'Oslo Pensjonsforsikring'!F113+'Protector Forsikring'!F113+'Sparebank 1'!F113+'Storebrand Livsforsikring'!F113+'Telenor Forsikring'!F113+'Tryg Forsikring'!F113+'WaterCircles F'!F113+'Euro Accident'!F113+'Ly Forsikring'!F113+'Youplus Livsforsikring'!F113+'Oslo Forsikring'!F113</f>
        <v>12278469.29936</v>
      </c>
      <c r="F113" s="44">
        <f>'Fremtind Livsforsikring'!G113+'DNB Livsforsikring'!G113+'Eika Forsikring AS'!G113+'Frende Livsforsikring'!G113+'Frende Skadeforsikring'!G113+'Gjensidige Forsikring'!G113+'Gjensidige Pensjon'!G113+'If Skadeforsikring NUF'!G113+KLP!G113+'KLP Skadeforsikring AS'!G113+'Landkreditt Forsikring'!G113+'Nordea Liv '!G113+'Oslo Pensjonsforsikring'!G113+'Protector Forsikring'!G113+'Sparebank 1'!G113+'Storebrand Livsforsikring'!G113+'Telenor Forsikring'!G113+'Tryg Forsikring'!G113+'WaterCircles F'!G113+'Euro Accident'!G113+'Ly Forsikring'!G113+'Youplus Livsforsikring'!G113+'Oslo Forsikring'!G113</f>
        <v>13894703.347789999</v>
      </c>
      <c r="G113" s="155">
        <f t="shared" si="24"/>
        <v>13.2</v>
      </c>
      <c r="H113" s="220">
        <f t="shared" si="39"/>
        <v>12278574.45136</v>
      </c>
      <c r="I113" s="220">
        <f t="shared" si="40"/>
        <v>13894703.347789999</v>
      </c>
      <c r="J113" s="24">
        <f t="shared" si="41"/>
        <v>13.2</v>
      </c>
    </row>
    <row r="114" spans="1:10" ht="15.75" customHeight="1" x14ac:dyDescent="0.2">
      <c r="A114" s="21" t="s">
        <v>26</v>
      </c>
      <c r="B114" s="217">
        <f>'Fremtind Livsforsikring'!B114+'DNB Livsforsikring'!B114+'Eika Forsikring AS'!B114+'Frende Livsforsikring'!B114+'Frende Skadeforsikring'!B114+'Gjensidige Forsikring'!B114+'Gjensidige Pensjon'!B114+'If Skadeforsikring NUF'!B114+KLP!B114+'KLP Skadeforsikring AS'!B114+'Landkreditt Forsikring'!B114+'Nordea Liv '!B114+'Oslo Pensjonsforsikring'!B114+'Protector Forsikring'!B114+'Sparebank 1'!B114+'Storebrand Livsforsikring'!B114+'Telenor Forsikring'!B114+'Tryg Forsikring'!B114+'WaterCircles F'!B114+'Euro Accident'!B114+'Ly Forsikring'!B114+'Youplus Livsforsikring'!B114+'Oslo Forsikring'!B114</f>
        <v>56959.656660000001</v>
      </c>
      <c r="C114" s="217">
        <f>'Fremtind Livsforsikring'!C114+'DNB Livsforsikring'!C114+'Eika Forsikring AS'!C114+'Frende Livsforsikring'!C114+'Frende Skadeforsikring'!C114+'Gjensidige Forsikring'!C114+'Gjensidige Pensjon'!C114+'If Skadeforsikring NUF'!C114+KLP!C114+'KLP Skadeforsikring AS'!C114+'Landkreditt Forsikring'!C114+'Nordea Liv '!C114+'Oslo Pensjonsforsikring'!C114+'Protector Forsikring'!C114+'Sparebank 1'!C114+'Storebrand Livsforsikring'!C114+'Telenor Forsikring'!C114+'Tryg Forsikring'!C114+'WaterCircles F'!C114+'Euro Accident'!C114+'Ly Forsikring'!C114+'Youplus Livsforsikring'!C114+'Oslo Forsikring'!C114</f>
        <v>61265.163840000001</v>
      </c>
      <c r="D114" s="23">
        <f t="shared" si="38"/>
        <v>7.6</v>
      </c>
      <c r="E114" s="44"/>
      <c r="F114" s="44"/>
      <c r="G114" s="155"/>
      <c r="H114" s="220">
        <f t="shared" si="39"/>
        <v>56959.656660000001</v>
      </c>
      <c r="I114" s="220">
        <f t="shared" si="40"/>
        <v>61265.163840000001</v>
      </c>
      <c r="J114" s="24">
        <f t="shared" si="41"/>
        <v>7.6</v>
      </c>
    </row>
    <row r="115" spans="1:10" ht="15.75" customHeight="1" x14ac:dyDescent="0.2">
      <c r="A115" s="281" t="s">
        <v>15</v>
      </c>
      <c r="B115" s="44"/>
      <c r="C115" s="44"/>
      <c r="D115" s="27"/>
      <c r="E115" s="44"/>
      <c r="F115" s="44"/>
      <c r="G115" s="150"/>
      <c r="H115" s="220"/>
      <c r="I115" s="220"/>
      <c r="J115" s="23"/>
    </row>
    <row r="116" spans="1:10" ht="15.75" customHeight="1" x14ac:dyDescent="0.2">
      <c r="A116" s="21" t="s">
        <v>342</v>
      </c>
      <c r="B116" s="217">
        <f>'Fremtind Livsforsikring'!B116+'DNB Livsforsikring'!B116+'Eika Forsikring AS'!B116+'Frende Livsforsikring'!B116+'Frende Skadeforsikring'!B116+'Gjensidige Forsikring'!B116+'Gjensidige Pensjon'!B116+'If Skadeforsikring NUF'!B116+KLP!B116+'KLP Skadeforsikring AS'!B116+'Landkreditt Forsikring'!B116+'Nordea Liv '!B116+'Oslo Pensjonsforsikring'!B116+'Protector Forsikring'!B116+'Sparebank 1'!B116+'Storebrand Livsforsikring'!B116+'Telenor Forsikring'!B116+'Tryg Forsikring'!B116+'WaterCircles F'!B116+'Euro Accident'!B116+'Ly Forsikring'!B116+'Youplus Livsforsikring'!B116+'Oslo Forsikring'!B116</f>
        <v>25825.402000000002</v>
      </c>
      <c r="C116" s="217">
        <f>'Fremtind Livsforsikring'!C116+'DNB Livsforsikring'!C116+'Eika Forsikring AS'!C116+'Frende Livsforsikring'!C116+'Frende Skadeforsikring'!C116+'Gjensidige Forsikring'!C116+'Gjensidige Pensjon'!C116+'If Skadeforsikring NUF'!C116+KLP!C116+'KLP Skadeforsikring AS'!C116+'Landkreditt Forsikring'!C116+'Nordea Liv '!C116+'Oslo Pensjonsforsikring'!C116+'Protector Forsikring'!C116+'Sparebank 1'!C116+'Storebrand Livsforsikring'!C116+'Telenor Forsikring'!C116+'Tryg Forsikring'!C116+'WaterCircles F'!C116+'Euro Accident'!C116+'Ly Forsikring'!C116+'Youplus Livsforsikring'!C116+'Oslo Forsikring'!C116</f>
        <v>25352.241000000002</v>
      </c>
      <c r="D116" s="23">
        <f t="shared" si="38"/>
        <v>-1.8</v>
      </c>
      <c r="E116" s="44">
        <f>'Fremtind Livsforsikring'!F116+'DNB Livsforsikring'!F116+'Eika Forsikring AS'!F116+'Frende Livsforsikring'!F116+'Frende Skadeforsikring'!F116+'Gjensidige Forsikring'!F116+'Gjensidige Pensjon'!F116+'If Skadeforsikring NUF'!F116+KLP!F116+'KLP Skadeforsikring AS'!F116+'Landkreditt Forsikring'!F116+'Nordea Liv '!F116+'Oslo Pensjonsforsikring'!F116+'Protector Forsikring'!F116+'Sparebank 1'!F116+'Storebrand Livsforsikring'!F116+'Telenor Forsikring'!F116+'Tryg Forsikring'!F116+'WaterCircles F'!F116+'Euro Accident'!F116+'Ly Forsikring'!F116+'Youplus Livsforsikring'!F116+'Oslo Forsikring'!F116</f>
        <v>1378.0809999999999</v>
      </c>
      <c r="F116" s="44">
        <f>'Fremtind Livsforsikring'!G116+'DNB Livsforsikring'!G116+'Eika Forsikring AS'!G116+'Frende Livsforsikring'!G116+'Frende Skadeforsikring'!G116+'Gjensidige Forsikring'!G116+'Gjensidige Pensjon'!G116+'If Skadeforsikring NUF'!G116+KLP!G116+'KLP Skadeforsikring AS'!G116+'Landkreditt Forsikring'!G116+'Nordea Liv '!G116+'Oslo Pensjonsforsikring'!G116+'Protector Forsikring'!G116+'Sparebank 1'!G116+'Storebrand Livsforsikring'!G116+'Telenor Forsikring'!G116+'Tryg Forsikring'!G116+'WaterCircles F'!G116+'Euro Accident'!G116+'Ly Forsikring'!G116+'Youplus Livsforsikring'!G116+'Oslo Forsikring'!G116</f>
        <v>983.60799999999995</v>
      </c>
      <c r="G116" s="150">
        <f t="shared" si="24"/>
        <v>-28.6</v>
      </c>
      <c r="H116" s="220">
        <f t="shared" si="39"/>
        <v>27203.483</v>
      </c>
      <c r="I116" s="220">
        <f t="shared" si="40"/>
        <v>26335.849000000002</v>
      </c>
      <c r="J116" s="23">
        <f t="shared" si="41"/>
        <v>-3.2</v>
      </c>
    </row>
    <row r="117" spans="1:10" ht="15.75" customHeight="1" x14ac:dyDescent="0.2">
      <c r="A117" s="38" t="s">
        <v>374</v>
      </c>
      <c r="B117" s="217">
        <f>'Fremtind Livsforsikring'!B117+'DNB Livsforsikring'!B117+'Eika Forsikring AS'!B117+'Frende Livsforsikring'!B117+'Frende Skadeforsikring'!B117+'Gjensidige Forsikring'!B117+'Gjensidige Pensjon'!B117+'If Skadeforsikring NUF'!B117+KLP!B117+'KLP Skadeforsikring AS'!B117+'Landkreditt Forsikring'!B117+'Nordea Liv '!B117+'Oslo Pensjonsforsikring'!B117+'Protector Forsikring'!B117+'Sparebank 1'!B117+'Storebrand Livsforsikring'!B117+'Telenor Forsikring'!B117+'Tryg Forsikring'!B117+'WaterCircles F'!B117+'Euro Accident'!B117+'Ly Forsikring'!B117+'Youplus Livsforsikring'!B117+'Oslo Forsikring'!B117</f>
        <v>105.152</v>
      </c>
      <c r="C117" s="217">
        <f>'Fremtind Livsforsikring'!C117+'DNB Livsforsikring'!C117+'Eika Forsikring AS'!C117+'Frende Livsforsikring'!C117+'Frende Skadeforsikring'!C117+'Gjensidige Forsikring'!C117+'Gjensidige Pensjon'!C117+'If Skadeforsikring NUF'!C117+KLP!C117+'KLP Skadeforsikring AS'!C117+'Landkreditt Forsikring'!C117+'Nordea Liv '!C117+'Oslo Pensjonsforsikring'!C117+'Protector Forsikring'!C117+'Sparebank 1'!C117+'Storebrand Livsforsikring'!C117+'Telenor Forsikring'!C117+'Tryg Forsikring'!C117+'WaterCircles F'!C117+'Euro Accident'!C117+'Ly Forsikring'!C117+'Youplus Livsforsikring'!C117+'Oslo Forsikring'!C117</f>
        <v>0</v>
      </c>
      <c r="D117" s="23">
        <f t="shared" si="38"/>
        <v>-100</v>
      </c>
      <c r="E117" s="44">
        <f>'Fremtind Livsforsikring'!F117+'DNB Livsforsikring'!F117+'Eika Forsikring AS'!F117+'Frende Livsforsikring'!F117+'Frende Skadeforsikring'!F117+'Gjensidige Forsikring'!F117+'Gjensidige Pensjon'!F117+'If Skadeforsikring NUF'!F117+KLP!F117+'KLP Skadeforsikring AS'!F117+'Landkreditt Forsikring'!F117+'Nordea Liv '!F117+'Oslo Pensjonsforsikring'!F117+'Protector Forsikring'!F117+'Sparebank 1'!F117+'Storebrand Livsforsikring'!F117+'Telenor Forsikring'!F117+'Tryg Forsikring'!F117+'WaterCircles F'!F117+'Euro Accident'!F117+'Ly Forsikring'!F117+'Youplus Livsforsikring'!F117+'Oslo Forsikring'!F117</f>
        <v>6490966.7285000002</v>
      </c>
      <c r="F117" s="44">
        <f>'Fremtind Livsforsikring'!G117+'DNB Livsforsikring'!G117+'Eika Forsikring AS'!G117+'Frende Livsforsikring'!G117+'Frende Skadeforsikring'!G117+'Gjensidige Forsikring'!G117+'Gjensidige Pensjon'!G117+'If Skadeforsikring NUF'!G117+KLP!G117+'KLP Skadeforsikring AS'!G117+'Landkreditt Forsikring'!G117+'Nordea Liv '!G117+'Oslo Pensjonsforsikring'!G117+'Protector Forsikring'!G117+'Sparebank 1'!G117+'Storebrand Livsforsikring'!G117+'Telenor Forsikring'!G117+'Tryg Forsikring'!G117+'WaterCircles F'!G117+'Euro Accident'!G117+'Ly Forsikring'!G117+'Youplus Livsforsikring'!G117+'Oslo Forsikring'!G117</f>
        <v>6728184.5957699995</v>
      </c>
      <c r="G117" s="150">
        <f t="shared" si="24"/>
        <v>3.7</v>
      </c>
      <c r="H117" s="220">
        <f t="shared" si="39"/>
        <v>6491071.8805</v>
      </c>
      <c r="I117" s="220">
        <f t="shared" si="40"/>
        <v>6728184.5957699995</v>
      </c>
      <c r="J117" s="23">
        <f t="shared" si="41"/>
        <v>3.7</v>
      </c>
    </row>
    <row r="118" spans="1:10" ht="15.75" customHeight="1" x14ac:dyDescent="0.2">
      <c r="A118" s="21" t="s">
        <v>341</v>
      </c>
      <c r="B118" s="217"/>
      <c r="C118" s="217"/>
      <c r="D118" s="23"/>
      <c r="E118" s="44"/>
      <c r="F118" s="44"/>
      <c r="G118" s="150"/>
      <c r="H118" s="220"/>
      <c r="I118" s="220"/>
      <c r="J118" s="23"/>
    </row>
    <row r="119" spans="1:10" s="43" customFormat="1" ht="15.75" customHeight="1" x14ac:dyDescent="0.2">
      <c r="A119" s="13" t="s">
        <v>323</v>
      </c>
      <c r="B119" s="313">
        <f>'Fremtind Livsforsikring'!B119+'DNB Livsforsikring'!B119+'Eika Forsikring AS'!B119+'Frende Livsforsikring'!B119+'Frende Skadeforsikring'!B119+'Gjensidige Forsikring'!B119+'Gjensidige Pensjon'!B119+'If Skadeforsikring NUF'!B119+KLP!B119+'KLP Skadeforsikring AS'!B119+'Landkreditt Forsikring'!B119+'Nordea Liv '!B119+'Oslo Pensjonsforsikring'!B119+'Protector Forsikring'!B119+'Sparebank 1'!B119+'Storebrand Livsforsikring'!B119+'Telenor Forsikring'!B119+'Tryg Forsikring'!B119+'WaterCircles F'!B119+'Euro Accident'!B119+'Ly Forsikring'!B119+'Youplus Livsforsikring'!B119+'Oslo Forsikring'!B119</f>
        <v>141130.24180000013</v>
      </c>
      <c r="C119" s="313">
        <f>'Fremtind Livsforsikring'!C119+'DNB Livsforsikring'!C119+'Eika Forsikring AS'!C119+'Frende Livsforsikring'!C119+'Frende Skadeforsikring'!C119+'Gjensidige Forsikring'!C119+'Gjensidige Pensjon'!C119+'If Skadeforsikring NUF'!C119+KLP!C119+'KLP Skadeforsikring AS'!C119+'Landkreditt Forsikring'!C119+'Nordea Liv '!C119+'Oslo Pensjonsforsikring'!C119+'Protector Forsikring'!C119+'Sparebank 1'!C119+'Storebrand Livsforsikring'!C119+'Telenor Forsikring'!C119+'Tryg Forsikring'!C119+'WaterCircles F'!C119+'Euro Accident'!C119+'Ly Forsikring'!C119+'Youplus Livsforsikring'!C119+'Oslo Forsikring'!C119</f>
        <v>104825.06533000006</v>
      </c>
      <c r="D119" s="24">
        <f t="shared" si="38"/>
        <v>-25.7</v>
      </c>
      <c r="E119" s="219">
        <f>'Fremtind Livsforsikring'!F119+'DNB Livsforsikring'!F119+'Eika Forsikring AS'!F119+'Frende Livsforsikring'!F119+'Frende Skadeforsikring'!F119+'Gjensidige Forsikring'!F119+'Gjensidige Pensjon'!F119+'If Skadeforsikring NUF'!F119+KLP!F119+'KLP Skadeforsikring AS'!F119+'Landkreditt Forsikring'!F119+'Nordea Liv '!F119+'Oslo Pensjonsforsikring'!F119+'Protector Forsikring'!F119+'Sparebank 1'!F119+'Storebrand Livsforsikring'!F119+'Telenor Forsikring'!F119+'Tryg Forsikring'!F119+'WaterCircles F'!F119+'Euro Accident'!F119+'Ly Forsikring'!F119+'Youplus Livsforsikring'!F119+'Oslo Forsikring'!F119</f>
        <v>12991227.805500001</v>
      </c>
      <c r="F119" s="219">
        <f>'Fremtind Livsforsikring'!G119+'DNB Livsforsikring'!G119+'Eika Forsikring AS'!G119+'Frende Livsforsikring'!G119+'Frende Skadeforsikring'!G119+'Gjensidige Forsikring'!G119+'Gjensidige Pensjon'!G119+'If Skadeforsikring NUF'!G119+KLP!G119+'KLP Skadeforsikring AS'!G119+'Landkreditt Forsikring'!G119+'Nordea Liv '!G119+'Oslo Pensjonsforsikring'!G119+'Protector Forsikring'!G119+'Sparebank 1'!G119+'Storebrand Livsforsikring'!G119+'Telenor Forsikring'!G119+'Tryg Forsikring'!G119+'WaterCircles F'!G119+'Euro Accident'!G119+'Ly Forsikring'!G119+'Youplus Livsforsikring'!G119+'Oslo Forsikring'!G119</f>
        <v>15328502.457100002</v>
      </c>
      <c r="G119" s="155">
        <f t="shared" si="24"/>
        <v>18</v>
      </c>
      <c r="H119" s="313">
        <f t="shared" si="39"/>
        <v>13132358.047300002</v>
      </c>
      <c r="I119" s="313">
        <f t="shared" si="40"/>
        <v>15433327.522430003</v>
      </c>
      <c r="J119" s="24">
        <f t="shared" si="41"/>
        <v>17.5</v>
      </c>
    </row>
    <row r="120" spans="1:10" ht="15.75" customHeight="1" x14ac:dyDescent="0.2">
      <c r="A120" s="21" t="s">
        <v>9</v>
      </c>
      <c r="B120" s="220">
        <f>'Fremtind Livsforsikring'!B120+'DNB Livsforsikring'!B120+'Eika Forsikring AS'!B120+'Frende Livsforsikring'!B120+'Frende Skadeforsikring'!B120+'Gjensidige Forsikring'!B120+'Gjensidige Pensjon'!B120+'If Skadeforsikring NUF'!B120+KLP!B120+'KLP Skadeforsikring AS'!B120+'Landkreditt Forsikring'!B120+'Nordea Liv '!B120+'Oslo Pensjonsforsikring'!B120+'Protector Forsikring'!B120+'Sparebank 1'!B120+'Storebrand Livsforsikring'!B120+'Telenor Forsikring'!B120+'Tryg Forsikring'!B120+'WaterCircles F'!B120+'Euro Accident'!B120+'Ly Forsikring'!B120+'Youplus Livsforsikring'!B120+'Oslo Forsikring'!B120</f>
        <v>68952.659200000155</v>
      </c>
      <c r="C120" s="220">
        <f>'Fremtind Livsforsikring'!C120+'DNB Livsforsikring'!C120+'Eika Forsikring AS'!C120+'Frende Livsforsikring'!C120+'Frende Skadeforsikring'!C120+'Gjensidige Forsikring'!C120+'Gjensidige Pensjon'!C120+'If Skadeforsikring NUF'!C120+KLP!C120+'KLP Skadeforsikring AS'!C120+'Landkreditt Forsikring'!C120+'Nordea Liv '!C120+'Oslo Pensjonsforsikring'!C120+'Protector Forsikring'!C120+'Sparebank 1'!C120+'Storebrand Livsforsikring'!C120+'Telenor Forsikring'!C120+'Tryg Forsikring'!C120+'WaterCircles F'!C120+'Euro Accident'!C120+'Ly Forsikring'!C120+'Youplus Livsforsikring'!C120+'Oslo Forsikring'!C120</f>
        <v>57845.917900000059</v>
      </c>
      <c r="D120" s="23">
        <f t="shared" si="38"/>
        <v>-16.100000000000001</v>
      </c>
      <c r="E120" s="44"/>
      <c r="F120" s="44"/>
      <c r="G120" s="150"/>
      <c r="H120" s="220">
        <f t="shared" si="39"/>
        <v>68952.659200000155</v>
      </c>
      <c r="I120" s="220">
        <f t="shared" si="40"/>
        <v>57845.917900000059</v>
      </c>
      <c r="J120" s="23">
        <f t="shared" si="41"/>
        <v>-16.100000000000001</v>
      </c>
    </row>
    <row r="121" spans="1:10" ht="15.75" customHeight="1" x14ac:dyDescent="0.2">
      <c r="A121" s="21" t="s">
        <v>10</v>
      </c>
      <c r="B121" s="220">
        <f>'Fremtind Livsforsikring'!B121+'DNB Livsforsikring'!B121+'Eika Forsikring AS'!B121+'Frende Livsforsikring'!B121+'Frende Skadeforsikring'!B121+'Gjensidige Forsikring'!B121+'Gjensidige Pensjon'!B121+'If Skadeforsikring NUF'!B121+KLP!B121+'KLP Skadeforsikring AS'!B121+'Landkreditt Forsikring'!B121+'Nordea Liv '!B121+'Oslo Pensjonsforsikring'!B121+'Protector Forsikring'!B121+'Sparebank 1'!B121+'Storebrand Livsforsikring'!B121+'Telenor Forsikring'!B121+'Tryg Forsikring'!B121+'WaterCircles F'!B121+'Euro Accident'!B121+'Ly Forsikring'!B121+'Youplus Livsforsikring'!B121+'Oslo Forsikring'!B121</f>
        <v>6822.4922900000001</v>
      </c>
      <c r="C121" s="220">
        <f>'Fremtind Livsforsikring'!C121+'DNB Livsforsikring'!C121+'Eika Forsikring AS'!C121+'Frende Livsforsikring'!C121+'Frende Skadeforsikring'!C121+'Gjensidige Forsikring'!C121+'Gjensidige Pensjon'!C121+'If Skadeforsikring NUF'!C121+KLP!C121+'KLP Skadeforsikring AS'!C121+'Landkreditt Forsikring'!C121+'Nordea Liv '!C121+'Oslo Pensjonsforsikring'!C121+'Protector Forsikring'!C121+'Sparebank 1'!C121+'Storebrand Livsforsikring'!C121+'Telenor Forsikring'!C121+'Tryg Forsikring'!C121+'WaterCircles F'!C121+'Euro Accident'!C121+'Ly Forsikring'!C121+'Youplus Livsforsikring'!C121+'Oslo Forsikring'!C121</f>
        <v>6027.9584999999997</v>
      </c>
      <c r="D121" s="23">
        <f t="shared" si="38"/>
        <v>-11.6</v>
      </c>
      <c r="E121" s="44">
        <f>'Fremtind Livsforsikring'!F121+'DNB Livsforsikring'!F121+'Eika Forsikring AS'!F121+'Frende Livsforsikring'!F121+'Frende Skadeforsikring'!F121+'Gjensidige Forsikring'!F121+'Gjensidige Pensjon'!F121+'If Skadeforsikring NUF'!F121+KLP!F121+'KLP Skadeforsikring AS'!F121+'Landkreditt Forsikring'!F121+'Nordea Liv '!F121+'Oslo Pensjonsforsikring'!F121+'Protector Forsikring'!F121+'Sparebank 1'!F121+'Storebrand Livsforsikring'!F121+'Telenor Forsikring'!F121+'Tryg Forsikring'!F121+'WaterCircles F'!F121+'Euro Accident'!F121+'Ly Forsikring'!F121+'Youplus Livsforsikring'!F121+'Oslo Forsikring'!F121</f>
        <v>12991227.805500001</v>
      </c>
      <c r="F121" s="44">
        <f>'Fremtind Livsforsikring'!G121+'DNB Livsforsikring'!G121+'Eika Forsikring AS'!G121+'Frende Livsforsikring'!G121+'Frende Skadeforsikring'!G121+'Gjensidige Forsikring'!G121+'Gjensidige Pensjon'!G121+'If Skadeforsikring NUF'!G121+KLP!G121+'KLP Skadeforsikring AS'!G121+'Landkreditt Forsikring'!G121+'Nordea Liv '!G121+'Oslo Pensjonsforsikring'!G121+'Protector Forsikring'!G121+'Sparebank 1'!G121+'Storebrand Livsforsikring'!G121+'Telenor Forsikring'!G121+'Tryg Forsikring'!G121+'WaterCircles F'!G121+'Euro Accident'!G121+'Ly Forsikring'!G121+'Youplus Livsforsikring'!G121+'Oslo Forsikring'!G121</f>
        <v>15328502.457100002</v>
      </c>
      <c r="G121" s="150">
        <f t="shared" si="24"/>
        <v>18</v>
      </c>
      <c r="H121" s="220">
        <f t="shared" si="39"/>
        <v>12998050.29779</v>
      </c>
      <c r="I121" s="220">
        <f t="shared" si="40"/>
        <v>15334530.415600002</v>
      </c>
      <c r="J121" s="23">
        <f t="shared" si="41"/>
        <v>18</v>
      </c>
    </row>
    <row r="122" spans="1:10" ht="15.75" customHeight="1" x14ac:dyDescent="0.2">
      <c r="A122" s="21" t="s">
        <v>26</v>
      </c>
      <c r="B122" s="220">
        <f>'Fremtind Livsforsikring'!B122+'DNB Livsforsikring'!B122+'Eika Forsikring AS'!B122+'Frende Livsforsikring'!B122+'Frende Skadeforsikring'!B122+'Gjensidige Forsikring'!B122+'Gjensidige Pensjon'!B122+'If Skadeforsikring NUF'!B122+KLP!B122+'KLP Skadeforsikring AS'!B122+'Landkreditt Forsikring'!B122+'Nordea Liv '!B122+'Oslo Pensjonsforsikring'!B122+'Protector Forsikring'!B122+'Sparebank 1'!B122+'Storebrand Livsforsikring'!B122+'Telenor Forsikring'!B122+'Tryg Forsikring'!B122+'WaterCircles F'!B122+'Euro Accident'!B122+'Ly Forsikring'!B122+'Youplus Livsforsikring'!B122+'Oslo Forsikring'!B122</f>
        <v>65355.09031</v>
      </c>
      <c r="C122" s="220">
        <f>'Fremtind Livsforsikring'!C122+'DNB Livsforsikring'!C122+'Eika Forsikring AS'!C122+'Frende Livsforsikring'!C122+'Frende Skadeforsikring'!C122+'Gjensidige Forsikring'!C122+'Gjensidige Pensjon'!C122+'If Skadeforsikring NUF'!C122+KLP!C122+'KLP Skadeforsikring AS'!C122+'Landkreditt Forsikring'!C122+'Nordea Liv '!C122+'Oslo Pensjonsforsikring'!C122+'Protector Forsikring'!C122+'Sparebank 1'!C122+'Storebrand Livsforsikring'!C122+'Telenor Forsikring'!C122+'Tryg Forsikring'!C122+'WaterCircles F'!C122+'Euro Accident'!C122+'Ly Forsikring'!C122+'Youplus Livsforsikring'!C122+'Oslo Forsikring'!C122</f>
        <v>40951.188929999997</v>
      </c>
      <c r="D122" s="23">
        <f t="shared" si="38"/>
        <v>-37.299999999999997</v>
      </c>
      <c r="E122" s="44"/>
      <c r="F122" s="44"/>
      <c r="G122" s="150"/>
      <c r="H122" s="220">
        <f t="shared" si="39"/>
        <v>65355.09031</v>
      </c>
      <c r="I122" s="220">
        <f t="shared" si="40"/>
        <v>40951.188929999997</v>
      </c>
      <c r="J122" s="23">
        <f t="shared" si="41"/>
        <v>-37.299999999999997</v>
      </c>
    </row>
    <row r="123" spans="1:10" ht="15.75" customHeight="1" x14ac:dyDescent="0.2">
      <c r="A123" s="281" t="s">
        <v>14</v>
      </c>
      <c r="B123" s="44"/>
      <c r="C123" s="44"/>
      <c r="D123" s="27"/>
      <c r="E123" s="44"/>
      <c r="F123" s="44"/>
      <c r="G123" s="150"/>
      <c r="H123" s="220"/>
      <c r="I123" s="220"/>
      <c r="J123" s="23"/>
    </row>
    <row r="124" spans="1:10" ht="15.75" customHeight="1" x14ac:dyDescent="0.2">
      <c r="A124" s="21" t="s">
        <v>340</v>
      </c>
      <c r="B124" s="220">
        <f>'Fremtind Livsforsikring'!B124+'DNB Livsforsikring'!B124+'Eika Forsikring AS'!B124+'Frende Livsforsikring'!B124+'Frende Skadeforsikring'!B124+'Gjensidige Forsikring'!B124+'Gjensidige Pensjon'!B124+'If Skadeforsikring NUF'!B124+KLP!B124+'KLP Skadeforsikring AS'!B124+'Landkreditt Forsikring'!B124+'Nordea Liv '!B124+'Oslo Pensjonsforsikring'!B124+'Protector Forsikring'!B124+'Sparebank 1'!B124+'Storebrand Livsforsikring'!B124+'Telenor Forsikring'!B124+'Tryg Forsikring'!B124+'WaterCircles F'!B124+'Euro Accident'!B124+'Ly Forsikring'!B124+'Youplus Livsforsikring'!B124+'Oslo Forsikring'!B124</f>
        <v>16839.114000000001</v>
      </c>
      <c r="C124" s="220">
        <f>'Fremtind Livsforsikring'!C124+'DNB Livsforsikring'!C124+'Eika Forsikring AS'!C124+'Frende Livsforsikring'!C124+'Frende Skadeforsikring'!C124+'Gjensidige Forsikring'!C124+'Gjensidige Pensjon'!C124+'If Skadeforsikring NUF'!C124+KLP!C124+'KLP Skadeforsikring AS'!C124+'Landkreditt Forsikring'!C124+'Nordea Liv '!C124+'Oslo Pensjonsforsikring'!C124+'Protector Forsikring'!C124+'Sparebank 1'!C124+'Storebrand Livsforsikring'!C124+'Telenor Forsikring'!C124+'Tryg Forsikring'!C124+'WaterCircles F'!C124+'Euro Accident'!C124+'Ly Forsikring'!C124+'Youplus Livsforsikring'!C124+'Oslo Forsikring'!C124</f>
        <v>11248.478999999999</v>
      </c>
      <c r="D124" s="23">
        <f t="shared" si="38"/>
        <v>-33.200000000000003</v>
      </c>
      <c r="E124" s="44">
        <f>'Fremtind Livsforsikring'!F124+'DNB Livsforsikring'!F124+'Eika Forsikring AS'!F124+'Frende Livsforsikring'!F124+'Frende Skadeforsikring'!F124+'Gjensidige Forsikring'!F124+'Gjensidige Pensjon'!F124+'If Skadeforsikring NUF'!F124+KLP!F124+'KLP Skadeforsikring AS'!F124+'Landkreditt Forsikring'!F124+'Nordea Liv '!F124+'Oslo Pensjonsforsikring'!F124+'Protector Forsikring'!F124+'Sparebank 1'!F124+'Storebrand Livsforsikring'!F124+'Telenor Forsikring'!F124+'Tryg Forsikring'!F124+'WaterCircles F'!F124+'Euro Accident'!F124+'Ly Forsikring'!F124+'Youplus Livsforsikring'!F124+'Oslo Forsikring'!F124</f>
        <v>3968.998</v>
      </c>
      <c r="F124" s="44">
        <f>'Fremtind Livsforsikring'!G124+'DNB Livsforsikring'!G124+'Eika Forsikring AS'!G124+'Frende Livsforsikring'!G124+'Frende Skadeforsikring'!G124+'Gjensidige Forsikring'!G124+'Gjensidige Pensjon'!G124+'If Skadeforsikring NUF'!G124+KLP!G124+'KLP Skadeforsikring AS'!G124+'Landkreditt Forsikring'!G124+'Nordea Liv '!G124+'Oslo Pensjonsforsikring'!G124+'Protector Forsikring'!G124+'Sparebank 1'!G124+'Storebrand Livsforsikring'!G124+'Telenor Forsikring'!G124+'Tryg Forsikring'!G124+'WaterCircles F'!G124+'Euro Accident'!G124+'Ly Forsikring'!G124+'Youplus Livsforsikring'!G124+'Oslo Forsikring'!G124</f>
        <v>6482.2259999999997</v>
      </c>
      <c r="G124" s="150">
        <f t="shared" si="24"/>
        <v>63.3</v>
      </c>
      <c r="H124" s="220">
        <f t="shared" si="39"/>
        <v>20808.112000000001</v>
      </c>
      <c r="I124" s="220">
        <f t="shared" si="40"/>
        <v>17730.704999999998</v>
      </c>
      <c r="J124" s="23">
        <f t="shared" si="41"/>
        <v>-14.8</v>
      </c>
    </row>
    <row r="125" spans="1:10" ht="15.75" customHeight="1" x14ac:dyDescent="0.2">
      <c r="A125" s="38" t="s">
        <v>374</v>
      </c>
      <c r="B125" s="220">
        <f>'Fremtind Livsforsikring'!B125+'DNB Livsforsikring'!B125+'Eika Forsikring AS'!B125+'Frende Livsforsikring'!B125+'Frende Skadeforsikring'!B125+'Gjensidige Forsikring'!B125+'Gjensidige Pensjon'!B125+'If Skadeforsikring NUF'!B125+KLP!B125+'KLP Skadeforsikring AS'!B125+'Landkreditt Forsikring'!B125+'Nordea Liv '!B125+'Oslo Pensjonsforsikring'!B125+'Protector Forsikring'!B125+'Sparebank 1'!B125+'Storebrand Livsforsikring'!B125+'Telenor Forsikring'!B125+'Tryg Forsikring'!B125+'WaterCircles F'!B125+'Euro Accident'!B125+'Ly Forsikring'!B125+'Youplus Livsforsikring'!B125+'Oslo Forsikring'!B125</f>
        <v>60.852820000000001</v>
      </c>
      <c r="C125" s="220">
        <f>'Fremtind Livsforsikring'!C125+'DNB Livsforsikring'!C125+'Eika Forsikring AS'!C125+'Frende Livsforsikring'!C125+'Frende Skadeforsikring'!C125+'Gjensidige Forsikring'!C125+'Gjensidige Pensjon'!C125+'If Skadeforsikring NUF'!C125+KLP!C125+'KLP Skadeforsikring AS'!C125+'Landkreditt Forsikring'!C125+'Nordea Liv '!C125+'Oslo Pensjonsforsikring'!C125+'Protector Forsikring'!C125+'Sparebank 1'!C125+'Storebrand Livsforsikring'!C125+'Telenor Forsikring'!C125+'Tryg Forsikring'!C125+'WaterCircles F'!C125+'Euro Accident'!C125+'Ly Forsikring'!C125+'Youplus Livsforsikring'!C125+'Oslo Forsikring'!C125</f>
        <v>0</v>
      </c>
      <c r="D125" s="23">
        <f t="shared" si="38"/>
        <v>-100</v>
      </c>
      <c r="E125" s="44">
        <f>'Fremtind Livsforsikring'!F125+'DNB Livsforsikring'!F125+'Eika Forsikring AS'!F125+'Frende Livsforsikring'!F125+'Frende Skadeforsikring'!F125+'Gjensidige Forsikring'!F125+'Gjensidige Pensjon'!F125+'If Skadeforsikring NUF'!F125+KLP!F125+'KLP Skadeforsikring AS'!F125+'Landkreditt Forsikring'!F125+'Nordea Liv '!F125+'Oslo Pensjonsforsikring'!F125+'Protector Forsikring'!F125+'Sparebank 1'!F125+'Storebrand Livsforsikring'!F125+'Telenor Forsikring'!F125+'Tryg Forsikring'!F125+'WaterCircles F'!F125+'Euro Accident'!F125+'Ly Forsikring'!F125+'Youplus Livsforsikring'!F125+'Oslo Forsikring'!F125</f>
        <v>6632514.8903099997</v>
      </c>
      <c r="F125" s="44">
        <f>'Fremtind Livsforsikring'!G125+'DNB Livsforsikring'!G125+'Eika Forsikring AS'!G125+'Frende Livsforsikring'!G125+'Frende Skadeforsikring'!G125+'Gjensidige Forsikring'!G125+'Gjensidige Pensjon'!G125+'If Skadeforsikring NUF'!G125+KLP!G125+'KLP Skadeforsikring AS'!G125+'Landkreditt Forsikring'!G125+'Nordea Liv '!G125+'Oslo Pensjonsforsikring'!G125+'Protector Forsikring'!G125+'Sparebank 1'!G125+'Storebrand Livsforsikring'!G125+'Telenor Forsikring'!G125+'Tryg Forsikring'!G125+'WaterCircles F'!G125+'Euro Accident'!G125+'Ly Forsikring'!G125+'Youplus Livsforsikring'!G125+'Oslo Forsikring'!G125</f>
        <v>6873299.6633899985</v>
      </c>
      <c r="G125" s="150">
        <f t="shared" si="24"/>
        <v>3.6</v>
      </c>
      <c r="H125" s="220">
        <f t="shared" si="39"/>
        <v>6632575.7431299994</v>
      </c>
      <c r="I125" s="220">
        <f t="shared" si="40"/>
        <v>6873299.6633899985</v>
      </c>
      <c r="J125" s="23">
        <f t="shared" si="41"/>
        <v>3.6</v>
      </c>
    </row>
    <row r="126" spans="1:10" ht="15.75" customHeight="1" x14ac:dyDescent="0.2">
      <c r="A126" s="10" t="s">
        <v>341</v>
      </c>
      <c r="B126" s="221"/>
      <c r="C126" s="221"/>
      <c r="D126" s="22"/>
      <c r="E126" s="45"/>
      <c r="F126" s="45"/>
      <c r="G126" s="151"/>
      <c r="H126" s="221"/>
      <c r="I126" s="222"/>
      <c r="J126" s="22"/>
    </row>
    <row r="127" spans="1:10" ht="15.75" customHeight="1" x14ac:dyDescent="0.2">
      <c r="A127" s="139"/>
    </row>
    <row r="128" spans="1:10" ht="15.75" customHeight="1" x14ac:dyDescent="0.2">
      <c r="A128" s="133"/>
    </row>
    <row r="129" spans="1:10" ht="15.75" customHeight="1" x14ac:dyDescent="0.25">
      <c r="A129" s="149" t="s">
        <v>27</v>
      </c>
    </row>
    <row r="130" spans="1:10" ht="15.75" customHeight="1" x14ac:dyDescent="0.25">
      <c r="A130" s="133"/>
      <c r="B130" s="699"/>
      <c r="C130" s="699"/>
      <c r="D130" s="699"/>
      <c r="E130" s="699"/>
      <c r="F130" s="699"/>
      <c r="G130" s="699"/>
      <c r="H130" s="699"/>
      <c r="I130" s="699"/>
      <c r="J130" s="699"/>
    </row>
    <row r="131" spans="1:10" s="3" customFormat="1" ht="20.100000000000001" customHeight="1" x14ac:dyDescent="0.2">
      <c r="A131" s="128"/>
      <c r="B131" s="700" t="s">
        <v>0</v>
      </c>
      <c r="C131" s="701"/>
      <c r="D131" s="702"/>
      <c r="E131" s="701" t="s">
        <v>1</v>
      </c>
      <c r="F131" s="701"/>
      <c r="G131" s="701"/>
      <c r="H131" s="700" t="s">
        <v>2</v>
      </c>
      <c r="I131" s="701"/>
      <c r="J131" s="702"/>
    </row>
    <row r="132" spans="1:10" s="3" customFormat="1" ht="15.75" customHeight="1" x14ac:dyDescent="0.2">
      <c r="A132" s="124"/>
      <c r="B132" s="236" t="s">
        <v>421</v>
      </c>
      <c r="C132" s="236" t="s">
        <v>422</v>
      </c>
      <c r="D132" s="19" t="s">
        <v>3</v>
      </c>
      <c r="E132" s="236" t="s">
        <v>421</v>
      </c>
      <c r="F132" s="236" t="s">
        <v>422</v>
      </c>
      <c r="G132" s="19" t="s">
        <v>3</v>
      </c>
      <c r="H132" s="236" t="s">
        <v>421</v>
      </c>
      <c r="I132" s="236" t="s">
        <v>422</v>
      </c>
      <c r="J132" s="19" t="s">
        <v>3</v>
      </c>
    </row>
    <row r="133" spans="1:10" s="3" customFormat="1" ht="15.75" customHeight="1" x14ac:dyDescent="0.2">
      <c r="A133" s="682"/>
      <c r="B133" s="15"/>
      <c r="C133" s="15"/>
      <c r="D133" s="17" t="s">
        <v>4</v>
      </c>
      <c r="E133" s="16"/>
      <c r="F133" s="16"/>
      <c r="G133" s="15" t="s">
        <v>4</v>
      </c>
      <c r="H133" s="16"/>
      <c r="I133" s="16"/>
      <c r="J133" s="15" t="s">
        <v>4</v>
      </c>
    </row>
    <row r="134" spans="1:10" s="397" customFormat="1" ht="15.75" customHeight="1" x14ac:dyDescent="0.2">
      <c r="A134" s="14" t="s">
        <v>343</v>
      </c>
      <c r="B134" s="219">
        <f>'Fremtind Livsforsikring'!B134+'DNB Livsforsikring'!B134+'Eika Forsikring AS'!B134+'Frende Livsforsikring'!B134+'Frende Skadeforsikring'!B134+'Gjensidige Forsikring'!B134+'Gjensidige Pensjon'!B134+'If Skadeforsikring NUF'!B134+KLP!B134+'KLP Skadeforsikring AS'!B134+'Landkreditt Forsikring'!B134+'Nordea Liv '!B134+'Oslo Pensjonsforsikring'!B134+'Protector Forsikring'!B134+'Sparebank 1'!B134+'Storebrand Livsforsikring'!B134+'Telenor Forsikring'!B134+'Tryg Forsikring'!B134+'WaterCircles F'!B134+'Euro Accident'!B134+'Ly Forsikring'!B134+'Youplus Livsforsikring'!B134+'Oslo Forsikring'!B134</f>
        <v>8890376.6183399986</v>
      </c>
      <c r="C134" s="219">
        <f>'Fremtind Livsforsikring'!C134+'DNB Livsforsikring'!C134+'Eika Forsikring AS'!C134+'Frende Livsforsikring'!C134+'Frende Skadeforsikring'!C134+'Gjensidige Forsikring'!C134+'Gjensidige Pensjon'!C134+'If Skadeforsikring NUF'!C134+KLP!C134+'KLP Skadeforsikring AS'!C134+'Landkreditt Forsikring'!C134+'Nordea Liv '!C134+'Oslo Pensjonsforsikring'!C134+'Protector Forsikring'!C134+'Sparebank 1'!C134+'Storebrand Livsforsikring'!C134+'Telenor Forsikring'!C134+'Tryg Forsikring'!C134+'WaterCircles F'!C134+'Euro Accident'!C134+'Ly Forsikring'!C134+'Youplus Livsforsikring'!C134+'Oslo Forsikring'!C134</f>
        <v>9005792.8037100006</v>
      </c>
      <c r="D134" s="11">
        <f t="shared" ref="D134:D137" si="42">IF(B134=0, "    ---- ", IF(ABS(ROUND(100/B134*C134-100,1))&lt;999,ROUND(100/B134*C134-100,1),IF(ROUND(100/B134*C134-100,1)&gt;999,999,-999)))</f>
        <v>1.3</v>
      </c>
      <c r="E134" s="219">
        <f>'Fremtind Livsforsikring'!F134+'DNB Livsforsikring'!F134+'Eika Forsikring AS'!F134+'Frende Livsforsikring'!F134+'Frende Skadeforsikring'!F134+'Gjensidige Forsikring'!F134+'Gjensidige Pensjon'!F134+'If Skadeforsikring NUF'!F134+KLP!F134+'KLP Skadeforsikring AS'!F134+'Landkreditt Forsikring'!F134+'Nordea Liv '!F134+'Oslo Pensjonsforsikring'!F134+'Protector Forsikring'!F134+'Sparebank 1'!F134+'Storebrand Livsforsikring'!F134+'Telenor Forsikring'!F134+'Tryg Forsikring'!F134+'WaterCircles F'!F134+'Euro Accident'!F134+'Ly Forsikring'!F134+'Youplus Livsforsikring'!F134+'Oslo Forsikring'!F134</f>
        <v>18550.222000000002</v>
      </c>
      <c r="F134" s="219">
        <f>'Fremtind Livsforsikring'!G134+'DNB Livsforsikring'!G134+'Eika Forsikring AS'!G134+'Frende Livsforsikring'!G134+'Frende Skadeforsikring'!G134+'Gjensidige Forsikring'!G134+'Gjensidige Pensjon'!G134+'If Skadeforsikring NUF'!G134+KLP!G134+'KLP Skadeforsikring AS'!G134+'Landkreditt Forsikring'!G134+'Nordea Liv '!G134+'Oslo Pensjonsforsikring'!G134+'Protector Forsikring'!G134+'Sparebank 1'!G134+'Storebrand Livsforsikring'!G134+'Telenor Forsikring'!G134+'Tryg Forsikring'!G134+'WaterCircles F'!G134+'Euro Accident'!G134+'Ly Forsikring'!G134+'Youplus Livsforsikring'!G134+'Oslo Forsikring'!G134</f>
        <v>22688.987000000001</v>
      </c>
      <c r="G134" s="11">
        <f t="shared" ref="G134:G136" si="43">IF(E134=0, "    ---- ", IF(ABS(ROUND(100/E134*F134-100,1))&lt;999,ROUND(100/E134*F134-100,1),IF(ROUND(100/E134*F134-100,1)&gt;999,999,-999)))</f>
        <v>22.3</v>
      </c>
      <c r="H134" s="219">
        <f t="shared" ref="H134:I137" si="44">SUM(B134,E134)</f>
        <v>8908926.8403399978</v>
      </c>
      <c r="I134" s="219">
        <f t="shared" si="44"/>
        <v>9028481.7907100003</v>
      </c>
      <c r="J134" s="11">
        <f t="shared" ref="J134:J137" si="45">IF(H134=0, "    ---- ", IF(ABS(ROUND(100/H134*I134-100,1))&lt;999,ROUND(100/H134*I134-100,1),IF(ROUND(100/H134*I134-100,1)&gt;999,999,-999)))</f>
        <v>1.3</v>
      </c>
    </row>
    <row r="135" spans="1:10" s="397" customFormat="1" ht="15.75" customHeight="1" x14ac:dyDescent="0.2">
      <c r="A135" s="13" t="s">
        <v>344</v>
      </c>
      <c r="B135" s="219">
        <f>'Fremtind Livsforsikring'!B135+'DNB Livsforsikring'!B135+'Eika Forsikring AS'!B135+'Frende Livsforsikring'!B135+'Frende Skadeforsikring'!B135+'Gjensidige Forsikring'!B135+'Gjensidige Pensjon'!B135+'If Skadeforsikring NUF'!B135+KLP!B135+'KLP Skadeforsikring AS'!B135+'Landkreditt Forsikring'!B135+'Nordea Liv '!B135+'Oslo Pensjonsforsikring'!B135+'Protector Forsikring'!B135+'Sparebank 1'!B135+'Storebrand Livsforsikring'!B135+'Telenor Forsikring'!B135+'Tryg Forsikring'!B135+'WaterCircles F'!B135+'Euro Accident'!B135+'Ly Forsikring'!B135+'Youplus Livsforsikring'!B135+'Oslo Forsikring'!B135</f>
        <v>771616823.55249</v>
      </c>
      <c r="C135" s="219">
        <f>'Fremtind Livsforsikring'!C135+'DNB Livsforsikring'!C135+'Eika Forsikring AS'!C135+'Frende Livsforsikring'!C135+'Frende Skadeforsikring'!C135+'Gjensidige Forsikring'!C135+'Gjensidige Pensjon'!C135+'If Skadeforsikring NUF'!C135+KLP!C135+'KLP Skadeforsikring AS'!C135+'Landkreditt Forsikring'!C135+'Nordea Liv '!C135+'Oslo Pensjonsforsikring'!C135+'Protector Forsikring'!C135+'Sparebank 1'!C135+'Storebrand Livsforsikring'!C135+'Telenor Forsikring'!C135+'Tryg Forsikring'!C135+'WaterCircles F'!C135+'Euro Accident'!C135+'Ly Forsikring'!C135+'Youplus Livsforsikring'!C135+'Oslo Forsikring'!C135</f>
        <v>858986766.87336993</v>
      </c>
      <c r="D135" s="11">
        <f t="shared" si="42"/>
        <v>11.3</v>
      </c>
      <c r="E135" s="219">
        <f>'Fremtind Livsforsikring'!F135+'DNB Livsforsikring'!F135+'Eika Forsikring AS'!F135+'Frende Livsforsikring'!F135+'Frende Skadeforsikring'!F135+'Gjensidige Forsikring'!F135+'Gjensidige Pensjon'!F135+'If Skadeforsikring NUF'!F135+KLP!F135+'KLP Skadeforsikring AS'!F135+'Landkreditt Forsikring'!F135+'Nordea Liv '!F135+'Oslo Pensjonsforsikring'!F135+'Protector Forsikring'!F135+'Sparebank 1'!F135+'Storebrand Livsforsikring'!F135+'Telenor Forsikring'!F135+'Tryg Forsikring'!F135+'WaterCircles F'!F135+'Euro Accident'!F135+'Ly Forsikring'!F135+'Youplus Livsforsikring'!F135+'Oslo Forsikring'!F135</f>
        <v>2609059.09693</v>
      </c>
      <c r="F135" s="219">
        <f>'Fremtind Livsforsikring'!G135+'DNB Livsforsikring'!G135+'Eika Forsikring AS'!G135+'Frende Livsforsikring'!G135+'Frende Skadeforsikring'!G135+'Gjensidige Forsikring'!G135+'Gjensidige Pensjon'!G135+'If Skadeforsikring NUF'!G135+KLP!G135+'KLP Skadeforsikring AS'!G135+'Landkreditt Forsikring'!G135+'Nordea Liv '!G135+'Oslo Pensjonsforsikring'!G135+'Protector Forsikring'!G135+'Sparebank 1'!G135+'Storebrand Livsforsikring'!G135+'Telenor Forsikring'!G135+'Tryg Forsikring'!G135+'WaterCircles F'!G135+'Euro Accident'!G135+'Ly Forsikring'!G135+'Youplus Livsforsikring'!G135+'Oslo Forsikring'!G135</f>
        <v>2764463.4104599999</v>
      </c>
      <c r="G135" s="11">
        <f t="shared" si="43"/>
        <v>6</v>
      </c>
      <c r="H135" s="219">
        <f t="shared" si="44"/>
        <v>774225882.64942002</v>
      </c>
      <c r="I135" s="219">
        <f t="shared" si="44"/>
        <v>861751230.28382993</v>
      </c>
      <c r="J135" s="11">
        <f t="shared" si="45"/>
        <v>11.3</v>
      </c>
    </row>
    <row r="136" spans="1:10" s="397" customFormat="1" ht="15.75" customHeight="1" x14ac:dyDescent="0.2">
      <c r="A136" s="13" t="s">
        <v>345</v>
      </c>
      <c r="B136" s="219">
        <f>'Fremtind Livsforsikring'!B136+'DNB Livsforsikring'!B136+'Eika Forsikring AS'!B136+'Frende Livsforsikring'!B136+'Frende Skadeforsikring'!B136+'Gjensidige Forsikring'!B136+'Gjensidige Pensjon'!B136+'If Skadeforsikring NUF'!B136+KLP!B136+'KLP Skadeforsikring AS'!B136+'Landkreditt Forsikring'!B136+'Nordea Liv '!B136+'Oslo Pensjonsforsikring'!B136+'Protector Forsikring'!B136+'Sparebank 1'!B136+'Storebrand Livsforsikring'!B136+'Telenor Forsikring'!B136+'Tryg Forsikring'!B136+'WaterCircles F'!B136+'Euro Accident'!B136+'Ly Forsikring'!B136+'Youplus Livsforsikring'!B136+'Oslo Forsikring'!B136</f>
        <v>899139.28700000001</v>
      </c>
      <c r="C136" s="219">
        <f>'Fremtind Livsforsikring'!C136+'DNB Livsforsikring'!C136+'Eika Forsikring AS'!C136+'Frende Livsforsikring'!C136+'Frende Skadeforsikring'!C136+'Gjensidige Forsikring'!C136+'Gjensidige Pensjon'!C136+'If Skadeforsikring NUF'!C136+KLP!C136+'KLP Skadeforsikring AS'!C136+'Landkreditt Forsikring'!C136+'Nordea Liv '!C136+'Oslo Pensjonsforsikring'!C136+'Protector Forsikring'!C136+'Sparebank 1'!C136+'Storebrand Livsforsikring'!C136+'Telenor Forsikring'!C136+'Tryg Forsikring'!C136+'WaterCircles F'!C136+'Euro Accident'!C136+'Ly Forsikring'!C136+'Youplus Livsforsikring'!C136+'Oslo Forsikring'!C136</f>
        <v>2390808.298</v>
      </c>
      <c r="D136" s="11">
        <f t="shared" si="42"/>
        <v>165.9</v>
      </c>
      <c r="E136" s="219">
        <f>'Fremtind Livsforsikring'!F136+'DNB Livsforsikring'!F136+'Eika Forsikring AS'!F136+'Frende Livsforsikring'!F136+'Frende Skadeforsikring'!F136+'Gjensidige Forsikring'!F136+'Gjensidige Pensjon'!F136+'If Skadeforsikring NUF'!F136+KLP!F136+'KLP Skadeforsikring AS'!F136+'Landkreditt Forsikring'!F136+'Nordea Liv '!F136+'Oslo Pensjonsforsikring'!F136+'Protector Forsikring'!F136+'Sparebank 1'!F136+'Storebrand Livsforsikring'!F136+'Telenor Forsikring'!F136+'Tryg Forsikring'!F136+'WaterCircles F'!F136+'Euro Accident'!F136+'Ly Forsikring'!F136+'Youplus Livsforsikring'!F136+'Oslo Forsikring'!F136</f>
        <v>0</v>
      </c>
      <c r="F136" s="219">
        <f>'Fremtind Livsforsikring'!G136+'DNB Livsforsikring'!G136+'Eika Forsikring AS'!G136+'Frende Livsforsikring'!G136+'Frende Skadeforsikring'!G136+'Gjensidige Forsikring'!G136+'Gjensidige Pensjon'!G136+'If Skadeforsikring NUF'!G136+KLP!G136+'KLP Skadeforsikring AS'!G136+'Landkreditt Forsikring'!G136+'Nordea Liv '!G136+'Oslo Pensjonsforsikring'!G136+'Protector Forsikring'!G136+'Sparebank 1'!G136+'Storebrand Livsforsikring'!G136+'Telenor Forsikring'!G136+'Tryg Forsikring'!G136+'WaterCircles F'!G136+'Euro Accident'!G136+'Ly Forsikring'!G136+'Youplus Livsforsikring'!G136+'Oslo Forsikring'!G136</f>
        <v>-182.05500000000001</v>
      </c>
      <c r="G136" s="11" t="str">
        <f t="shared" si="43"/>
        <v xml:space="preserve">    ---- </v>
      </c>
      <c r="H136" s="219">
        <f t="shared" si="44"/>
        <v>899139.28700000001</v>
      </c>
      <c r="I136" s="219">
        <f t="shared" si="44"/>
        <v>2390626.2429999998</v>
      </c>
      <c r="J136" s="11">
        <f t="shared" si="45"/>
        <v>165.9</v>
      </c>
    </row>
    <row r="137" spans="1:10" s="397" customFormat="1" ht="15.75" customHeight="1" x14ac:dyDescent="0.2">
      <c r="A137" s="41" t="s">
        <v>346</v>
      </c>
      <c r="B137" s="261">
        <f>'Fremtind Livsforsikring'!B137+'DNB Livsforsikring'!B137+'Eika Forsikring AS'!B137+'Frende Livsforsikring'!B137+'Frende Skadeforsikring'!B137+'Gjensidige Forsikring'!B137+'Gjensidige Pensjon'!B137+'If Skadeforsikring NUF'!B137+KLP!B137+'KLP Skadeforsikring AS'!B137+'Landkreditt Forsikring'!B137+'Nordea Liv '!B137+'Oslo Pensjonsforsikring'!B137+'Protector Forsikring'!B137+'Sparebank 1'!B137+'Storebrand Livsforsikring'!B137+'Telenor Forsikring'!B137+'Tryg Forsikring'!B137+'WaterCircles F'!B137+'Euro Accident'!B137+'Ly Forsikring'!B137+'Youplus Livsforsikring'!B137+'Oslo Forsikring'!B137</f>
        <v>2125461.818</v>
      </c>
      <c r="C137" s="261">
        <f>'Fremtind Livsforsikring'!C137+'DNB Livsforsikring'!C137+'Eika Forsikring AS'!C137+'Frende Livsforsikring'!C137+'Frende Skadeforsikring'!C137+'Gjensidige Forsikring'!C137+'Gjensidige Pensjon'!C137+'If Skadeforsikring NUF'!C137+KLP!C137+'KLP Skadeforsikring AS'!C137+'Landkreditt Forsikring'!C137+'Nordea Liv '!C137+'Oslo Pensjonsforsikring'!C137+'Protector Forsikring'!C137+'Sparebank 1'!C137+'Storebrand Livsforsikring'!C137+'Telenor Forsikring'!C137+'Tryg Forsikring'!C137+'WaterCircles F'!C137+'Euro Accident'!C137+'Ly Forsikring'!C137+'Youplus Livsforsikring'!C137+'Oslo Forsikring'!C137</f>
        <v>2455531.2259999998</v>
      </c>
      <c r="D137" s="9">
        <f t="shared" si="42"/>
        <v>15.5</v>
      </c>
      <c r="E137" s="261"/>
      <c r="F137" s="261"/>
      <c r="G137" s="9"/>
      <c r="H137" s="261">
        <f t="shared" si="44"/>
        <v>2125461.818</v>
      </c>
      <c r="I137" s="261">
        <f t="shared" si="44"/>
        <v>2455531.2259999998</v>
      </c>
      <c r="J137" s="9">
        <f t="shared" si="45"/>
        <v>15.5</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01:I106">
    <cfRule type="expression" dxfId="1554" priority="64">
      <formula>kvartal&lt;4</formula>
    </cfRule>
  </conditionalFormatting>
  <conditionalFormatting sqref="H69:I74">
    <cfRule type="expression" dxfId="1553" priority="72">
      <formula>kvartal&lt;4</formula>
    </cfRule>
  </conditionalFormatting>
  <conditionalFormatting sqref="H80:I85">
    <cfRule type="expression" dxfId="1552" priority="69">
      <formula>kvartal&lt;4</formula>
    </cfRule>
  </conditionalFormatting>
  <conditionalFormatting sqref="H90:I95">
    <cfRule type="expression" dxfId="1551" priority="65">
      <formula>kvartal&lt;4</formula>
    </cfRule>
  </conditionalFormatting>
  <conditionalFormatting sqref="H115:I115">
    <cfRule type="expression" dxfId="1550" priority="63">
      <formula>kvartal&lt;4</formula>
    </cfRule>
  </conditionalFormatting>
  <conditionalFormatting sqref="H123:I123">
    <cfRule type="expression" dxfId="1549" priority="62">
      <formula>kvartal&lt;4</formula>
    </cfRule>
  </conditionalFormatting>
  <conditionalFormatting sqref="A50:A52">
    <cfRule type="expression" dxfId="1548" priority="58">
      <formula>kvartal &lt; 4</formula>
    </cfRule>
  </conditionalFormatting>
  <conditionalFormatting sqref="A69:A74">
    <cfRule type="expression" dxfId="1547" priority="56">
      <formula>kvartal &lt; 4</formula>
    </cfRule>
  </conditionalFormatting>
  <conditionalFormatting sqref="A80:A85">
    <cfRule type="expression" dxfId="1546" priority="55">
      <formula>kvartal &lt; 4</formula>
    </cfRule>
  </conditionalFormatting>
  <conditionalFormatting sqref="A90:A95">
    <cfRule type="expression" dxfId="1545" priority="52">
      <formula>kvartal &lt; 4</formula>
    </cfRule>
  </conditionalFormatting>
  <conditionalFormatting sqref="A101:A106">
    <cfRule type="expression" dxfId="1544" priority="51">
      <formula>kvartal &lt; 4</formula>
    </cfRule>
  </conditionalFormatting>
  <conditionalFormatting sqref="A115">
    <cfRule type="expression" dxfId="1543" priority="50">
      <formula>kvartal &lt; 4</formula>
    </cfRule>
  </conditionalFormatting>
  <conditionalFormatting sqref="A123">
    <cfRule type="expression" dxfId="1542" priority="49">
      <formula>kvartal &lt; 4</formula>
    </cfRule>
  </conditionalFormatting>
  <conditionalFormatting sqref="B50:B52">
    <cfRule type="expression" dxfId="1541" priority="42">
      <formula>kvartal&lt;4</formula>
    </cfRule>
  </conditionalFormatting>
  <conditionalFormatting sqref="B69">
    <cfRule type="expression" dxfId="1540" priority="40">
      <formula>kvartal&lt;4</formula>
    </cfRule>
  </conditionalFormatting>
  <conditionalFormatting sqref="B72">
    <cfRule type="expression" dxfId="1539" priority="39">
      <formula>kvartal&lt;4</formula>
    </cfRule>
  </conditionalFormatting>
  <conditionalFormatting sqref="B80">
    <cfRule type="expression" dxfId="1538" priority="38">
      <formula>kvartal&lt;4</formula>
    </cfRule>
  </conditionalFormatting>
  <conditionalFormatting sqref="B83">
    <cfRule type="expression" dxfId="1537" priority="37">
      <formula>kvartal&lt;4</formula>
    </cfRule>
  </conditionalFormatting>
  <conditionalFormatting sqref="B90">
    <cfRule type="expression" dxfId="1536" priority="32">
      <formula>kvartal&lt;4</formula>
    </cfRule>
  </conditionalFormatting>
  <conditionalFormatting sqref="B93">
    <cfRule type="expression" dxfId="1535" priority="31">
      <formula>kvartal&lt;4</formula>
    </cfRule>
  </conditionalFormatting>
  <conditionalFormatting sqref="B101">
    <cfRule type="expression" dxfId="1534" priority="30">
      <formula>kvartal&lt;4</formula>
    </cfRule>
  </conditionalFormatting>
  <conditionalFormatting sqref="B104">
    <cfRule type="expression" dxfId="1533" priority="29">
      <formula>kvartal&lt;4</formula>
    </cfRule>
  </conditionalFormatting>
  <conditionalFormatting sqref="B115">
    <cfRule type="expression" dxfId="1532" priority="28">
      <formula>kvartal&lt;4</formula>
    </cfRule>
  </conditionalFormatting>
  <conditionalFormatting sqref="B123">
    <cfRule type="expression" dxfId="1531" priority="27">
      <formula>kvartal&lt;4</formula>
    </cfRule>
  </conditionalFormatting>
  <conditionalFormatting sqref="E69:E74">
    <cfRule type="expression" dxfId="1530" priority="26">
      <formula>kvartal&lt;4</formula>
    </cfRule>
  </conditionalFormatting>
  <conditionalFormatting sqref="E80:E85">
    <cfRule type="expression" dxfId="1529" priority="25">
      <formula>kvartal&lt;4</formula>
    </cfRule>
  </conditionalFormatting>
  <conditionalFormatting sqref="E90:E95">
    <cfRule type="expression" dxfId="1528" priority="22">
      <formula>kvartal&lt;4</formula>
    </cfRule>
  </conditionalFormatting>
  <conditionalFormatting sqref="E101:E106">
    <cfRule type="expression" dxfId="1527" priority="21">
      <formula>kvartal&lt;4</formula>
    </cfRule>
  </conditionalFormatting>
  <conditionalFormatting sqref="E115">
    <cfRule type="expression" dxfId="1526" priority="20">
      <formula>kvartal&lt;4</formula>
    </cfRule>
  </conditionalFormatting>
  <conditionalFormatting sqref="E123">
    <cfRule type="expression" dxfId="1525" priority="19">
      <formula>kvartal&lt;4</formula>
    </cfRule>
  </conditionalFormatting>
  <conditionalFormatting sqref="F123">
    <cfRule type="expression" dxfId="1524" priority="1">
      <formula>kvartal&lt;4</formula>
    </cfRule>
  </conditionalFormatting>
  <conditionalFormatting sqref="C50:C52">
    <cfRule type="expression" dxfId="1523" priority="17">
      <formula>kvartal&lt;4</formula>
    </cfRule>
  </conditionalFormatting>
  <conditionalFormatting sqref="C69">
    <cfRule type="expression" dxfId="1522" priority="16">
      <formula>kvartal&lt;4</formula>
    </cfRule>
  </conditionalFormatting>
  <conditionalFormatting sqref="C72">
    <cfRule type="expression" dxfId="1521" priority="15">
      <formula>kvartal&lt;4</formula>
    </cfRule>
  </conditionalFormatting>
  <conditionalFormatting sqref="C80">
    <cfRule type="expression" dxfId="1520" priority="14">
      <formula>kvartal&lt;4</formula>
    </cfRule>
  </conditionalFormatting>
  <conditionalFormatting sqref="C83">
    <cfRule type="expression" dxfId="1519" priority="13">
      <formula>kvartal&lt;4</formula>
    </cfRule>
  </conditionalFormatting>
  <conditionalFormatting sqref="C90">
    <cfRule type="expression" dxfId="1518" priority="12">
      <formula>kvartal&lt;4</formula>
    </cfRule>
  </conditionalFormatting>
  <conditionalFormatting sqref="C93">
    <cfRule type="expression" dxfId="1517" priority="11">
      <formula>kvartal&lt;4</formula>
    </cfRule>
  </conditionalFormatting>
  <conditionalFormatting sqref="C101">
    <cfRule type="expression" dxfId="1516" priority="10">
      <formula>kvartal&lt;4</formula>
    </cfRule>
  </conditionalFormatting>
  <conditionalFormatting sqref="C104">
    <cfRule type="expression" dxfId="1515" priority="9">
      <formula>kvartal&lt;4</formula>
    </cfRule>
  </conditionalFormatting>
  <conditionalFormatting sqref="C115">
    <cfRule type="expression" dxfId="1514" priority="8">
      <formula>kvartal&lt;4</formula>
    </cfRule>
  </conditionalFormatting>
  <conditionalFormatting sqref="C123">
    <cfRule type="expression" dxfId="1513" priority="7">
      <formula>kvartal&lt;4</formula>
    </cfRule>
  </conditionalFormatting>
  <conditionalFormatting sqref="F69:F74">
    <cfRule type="expression" dxfId="1512" priority="6">
      <formula>kvartal&lt;4</formula>
    </cfRule>
  </conditionalFormatting>
  <conditionalFormatting sqref="F80:F85">
    <cfRule type="expression" dxfId="1511" priority="5">
      <formula>kvartal&lt;4</formula>
    </cfRule>
  </conditionalFormatting>
  <conditionalFormatting sqref="F90:F95">
    <cfRule type="expression" dxfId="1510" priority="4">
      <formula>kvartal&lt;4</formula>
    </cfRule>
  </conditionalFormatting>
  <conditionalFormatting sqref="F101:F106">
    <cfRule type="expression" dxfId="1509" priority="3">
      <formula>kvartal&lt;4</formula>
    </cfRule>
  </conditionalFormatting>
  <conditionalFormatting sqref="F115">
    <cfRule type="expression" dxfId="1508" priority="2">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7" x14ac:dyDescent="0.2">
      <c r="A1" s="156" t="s">
        <v>123</v>
      </c>
      <c r="B1" s="646"/>
      <c r="C1" s="233" t="s">
        <v>113</v>
      </c>
      <c r="D1" s="26"/>
      <c r="E1" s="26"/>
      <c r="F1" s="26"/>
      <c r="G1" s="26"/>
      <c r="H1" s="26"/>
      <c r="I1" s="26"/>
      <c r="J1" s="26"/>
      <c r="K1" s="26"/>
      <c r="L1" s="26"/>
      <c r="M1" s="26"/>
    </row>
    <row r="2" spans="1:17" ht="15.75" x14ac:dyDescent="0.25">
      <c r="A2" s="149" t="s">
        <v>28</v>
      </c>
      <c r="B2" s="707"/>
      <c r="C2" s="707"/>
      <c r="D2" s="707"/>
      <c r="E2" s="284"/>
      <c r="F2" s="707"/>
      <c r="G2" s="707"/>
      <c r="H2" s="707"/>
      <c r="I2" s="284"/>
      <c r="J2" s="707"/>
      <c r="K2" s="707"/>
      <c r="L2" s="707"/>
      <c r="M2" s="284"/>
    </row>
    <row r="3" spans="1:17" ht="15.75" x14ac:dyDescent="0.25">
      <c r="A3" s="147"/>
      <c r="B3" s="284"/>
      <c r="C3" s="284"/>
      <c r="D3" s="284"/>
      <c r="E3" s="284"/>
      <c r="F3" s="284"/>
      <c r="G3" s="284"/>
      <c r="H3" s="284"/>
      <c r="I3" s="284"/>
      <c r="J3" s="284"/>
      <c r="K3" s="284"/>
      <c r="L3" s="284"/>
      <c r="M3" s="284"/>
    </row>
    <row r="4" spans="1:17" x14ac:dyDescent="0.2">
      <c r="A4" s="128"/>
      <c r="B4" s="705" t="s">
        <v>0</v>
      </c>
      <c r="C4" s="706"/>
      <c r="D4" s="706"/>
      <c r="E4" s="286"/>
      <c r="F4" s="705" t="s">
        <v>1</v>
      </c>
      <c r="G4" s="706"/>
      <c r="H4" s="706"/>
      <c r="I4" s="289"/>
      <c r="J4" s="705" t="s">
        <v>2</v>
      </c>
      <c r="K4" s="706"/>
      <c r="L4" s="706"/>
      <c r="M4" s="289"/>
    </row>
    <row r="5" spans="1:17"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7" x14ac:dyDescent="0.2">
      <c r="A6" s="681"/>
      <c r="B6" s="140"/>
      <c r="C6" s="140"/>
      <c r="D6" s="231" t="s">
        <v>4</v>
      </c>
      <c r="E6" s="140" t="s">
        <v>30</v>
      </c>
      <c r="F6" s="145"/>
      <c r="G6" s="145"/>
      <c r="H6" s="229" t="s">
        <v>4</v>
      </c>
      <c r="I6" s="140" t="s">
        <v>30</v>
      </c>
      <c r="J6" s="145"/>
      <c r="K6" s="145"/>
      <c r="L6" s="229" t="s">
        <v>4</v>
      </c>
      <c r="M6" s="140" t="s">
        <v>30</v>
      </c>
    </row>
    <row r="7" spans="1:17" ht="15.75" x14ac:dyDescent="0.2">
      <c r="A7" s="14" t="s">
        <v>23</v>
      </c>
      <c r="B7" s="291">
        <v>45470</v>
      </c>
      <c r="C7" s="292">
        <v>36909</v>
      </c>
      <c r="D7" s="334">
        <f>IF(B7=0, "    ---- ", IF(ABS(ROUND(100/B7*C7-100,1))&lt;999,ROUND(100/B7*C7-100,1),IF(ROUND(100/B7*C7-100,1)&gt;999,999,-999)))</f>
        <v>-18.8</v>
      </c>
      <c r="E7" s="11">
        <f>IFERROR(100/'Skjema total MA'!C7*C7,0)</f>
        <v>1.9261742825162322</v>
      </c>
      <c r="F7" s="291">
        <v>109145</v>
      </c>
      <c r="G7" s="292">
        <v>118735</v>
      </c>
      <c r="H7" s="334">
        <f>IF(F7=0, "    ---- ", IF(ABS(ROUND(100/F7*G7-100,1))&lt;999,ROUND(100/F7*G7-100,1),IF(ROUND(100/F7*G7-100,1)&gt;999,999,-999)))</f>
        <v>8.8000000000000007</v>
      </c>
      <c r="I7" s="144">
        <f>IFERROR(100/'Skjema total MA'!F7*G7,0)</f>
        <v>3.0341852216229088</v>
      </c>
      <c r="J7" s="293">
        <f t="shared" ref="J7:K12" si="0">SUM(B7,F7)</f>
        <v>154615</v>
      </c>
      <c r="K7" s="294">
        <f t="shared" si="0"/>
        <v>155644</v>
      </c>
      <c r="L7" s="404">
        <f>IF(J7=0, "    ---- ", IF(ABS(ROUND(100/J7*K7-100,1))&lt;999,ROUND(100/J7*K7-100,1),IF(ROUND(100/J7*K7-100,1)&gt;999,999,-999)))</f>
        <v>0.7</v>
      </c>
      <c r="M7" s="11">
        <f>IFERROR(100/'Skjema total MA'!I7*K7,0)</f>
        <v>2.6699724702559346</v>
      </c>
    </row>
    <row r="8" spans="1:17" ht="15.75" x14ac:dyDescent="0.2">
      <c r="A8" s="21" t="s">
        <v>25</v>
      </c>
      <c r="B8" s="266">
        <v>7082.2039999999997</v>
      </c>
      <c r="C8" s="267">
        <v>6612.6959999999999</v>
      </c>
      <c r="D8" s="150">
        <f t="shared" ref="D8:D11" si="1">IF(B8=0, "    ---- ", IF(ABS(ROUND(100/B8*C8-100,1))&lt;999,ROUND(100/B8*C8-100,1),IF(ROUND(100/B8*C8-100,1)&gt;999,999,-999)))</f>
        <v>-6.6</v>
      </c>
      <c r="E8" s="27">
        <f>IFERROR(100/'Skjema total MA'!C8*C8,0)</f>
        <v>0.51111385059923731</v>
      </c>
      <c r="F8" s="270"/>
      <c r="G8" s="271"/>
      <c r="H8" s="150"/>
      <c r="I8" s="160"/>
      <c r="J8" s="217">
        <f t="shared" si="0"/>
        <v>7082.2039999999997</v>
      </c>
      <c r="K8" s="272">
        <f t="shared" si="0"/>
        <v>6612.6959999999999</v>
      </c>
      <c r="L8" s="150">
        <f t="shared" ref="L8:L9" si="2">IF(J8=0, "    ---- ", IF(ABS(ROUND(100/J8*K8-100,1))&lt;999,ROUND(100/J8*K8-100,1),IF(ROUND(100/J8*K8-100,1)&gt;999,999,-999)))</f>
        <v>-6.6</v>
      </c>
      <c r="M8" s="27">
        <f>IFERROR(100/'Skjema total MA'!I8*K8,0)</f>
        <v>0.51111385059923731</v>
      </c>
    </row>
    <row r="9" spans="1:17" ht="15.75" x14ac:dyDescent="0.2">
      <c r="A9" s="21" t="s">
        <v>24</v>
      </c>
      <c r="B9" s="266">
        <v>5263.7290000000003</v>
      </c>
      <c r="C9" s="267">
        <v>4884.5709999999999</v>
      </c>
      <c r="D9" s="150">
        <f t="shared" si="1"/>
        <v>-7.2</v>
      </c>
      <c r="E9" s="27">
        <f>IFERROR(100/'Skjema total MA'!C9*C9,0)</f>
        <v>1.1421956190702562</v>
      </c>
      <c r="F9" s="270"/>
      <c r="G9" s="271"/>
      <c r="H9" s="150"/>
      <c r="I9" s="160"/>
      <c r="J9" s="217">
        <f t="shared" si="0"/>
        <v>5263.7290000000003</v>
      </c>
      <c r="K9" s="272">
        <f t="shared" si="0"/>
        <v>4884.5709999999999</v>
      </c>
      <c r="L9" s="150">
        <f t="shared" si="2"/>
        <v>-7.2</v>
      </c>
      <c r="M9" s="27">
        <f>IFERROR(100/'Skjema total MA'!I9*K9,0)</f>
        <v>1.1421956190702562</v>
      </c>
    </row>
    <row r="10" spans="1:17" ht="15.75" x14ac:dyDescent="0.2">
      <c r="A10" s="13" t="s">
        <v>321</v>
      </c>
      <c r="B10" s="295">
        <v>8142476</v>
      </c>
      <c r="C10" s="296">
        <v>6654425</v>
      </c>
      <c r="D10" s="155">
        <f t="shared" si="1"/>
        <v>-18.3</v>
      </c>
      <c r="E10" s="11">
        <f>IFERROR(100/'Skjema total MA'!C10*C10,0)</f>
        <v>49.183860474528871</v>
      </c>
      <c r="F10" s="295">
        <v>7510129.8059999999</v>
      </c>
      <c r="G10" s="296">
        <v>8491133.7599999998</v>
      </c>
      <c r="H10" s="155">
        <f t="shared" ref="H10:H12" si="3">IF(F10=0, "    ---- ", IF(ABS(ROUND(100/F10*G10-100,1))&lt;999,ROUND(100/F10*G10-100,1),IF(ROUND(100/F10*G10-100,1)&gt;999,999,-999)))</f>
        <v>13.1</v>
      </c>
      <c r="I10" s="144">
        <f>IFERROR(100/'Skjema total MA'!F10*G10,0)</f>
        <v>9.4059357203113709</v>
      </c>
      <c r="J10" s="293">
        <f t="shared" si="0"/>
        <v>15652605.806</v>
      </c>
      <c r="K10" s="294">
        <f t="shared" si="0"/>
        <v>15145558.76</v>
      </c>
      <c r="L10" s="405">
        <f t="shared" ref="L10:L12" si="4">IF(J10=0, "    ---- ", IF(ABS(ROUND(100/J10*K10-100,1))&lt;999,ROUND(100/J10*K10-100,1),IF(ROUND(100/J10*K10-100,1)&gt;999,999,-999)))</f>
        <v>-3.2</v>
      </c>
      <c r="M10" s="11">
        <f>IFERROR(100/'Skjema total MA'!I10*K10,0)</f>
        <v>14.59054914811459</v>
      </c>
      <c r="Q10" s="133"/>
    </row>
    <row r="11" spans="1:17" s="43" customFormat="1" ht="15.75" x14ac:dyDescent="0.2">
      <c r="A11" s="13" t="s">
        <v>322</v>
      </c>
      <c r="B11" s="295">
        <v>24653</v>
      </c>
      <c r="C11" s="296">
        <v>0</v>
      </c>
      <c r="D11" s="155">
        <f t="shared" si="1"/>
        <v>-100</v>
      </c>
      <c r="E11" s="11">
        <f>IFERROR(100/'Skjema total MA'!C11*C11,0)</f>
        <v>0</v>
      </c>
      <c r="F11" s="295">
        <v>4894</v>
      </c>
      <c r="G11" s="296">
        <v>16565</v>
      </c>
      <c r="H11" s="155">
        <f t="shared" si="3"/>
        <v>238.5</v>
      </c>
      <c r="I11" s="144">
        <f>IFERROR(100/'Skjema total MA'!F11*G11,0)</f>
        <v>15.865065787522722</v>
      </c>
      <c r="J11" s="293">
        <f t="shared" si="0"/>
        <v>29547</v>
      </c>
      <c r="K11" s="294">
        <f t="shared" si="0"/>
        <v>16565</v>
      </c>
      <c r="L11" s="405">
        <f t="shared" si="4"/>
        <v>-43.9</v>
      </c>
      <c r="M11" s="11">
        <f>IFERROR(100/'Skjema total MA'!I11*K11,0)</f>
        <v>15.865065787522722</v>
      </c>
      <c r="N11" s="127"/>
    </row>
    <row r="12" spans="1:17" s="43" customFormat="1" ht="15.75" x14ac:dyDescent="0.2">
      <c r="A12" s="41" t="s">
        <v>323</v>
      </c>
      <c r="B12" s="297"/>
      <c r="C12" s="298"/>
      <c r="D12" s="153"/>
      <c r="E12" s="36"/>
      <c r="F12" s="297">
        <v>3766</v>
      </c>
      <c r="G12" s="298">
        <v>37808</v>
      </c>
      <c r="H12" s="153">
        <f t="shared" si="3"/>
        <v>903.9</v>
      </c>
      <c r="I12" s="153">
        <f>IFERROR(100/'Skjema total MA'!F12*G12,0)</f>
        <v>35.330985198316348</v>
      </c>
      <c r="J12" s="299">
        <f t="shared" si="0"/>
        <v>3766</v>
      </c>
      <c r="K12" s="300">
        <f t="shared" si="0"/>
        <v>37808</v>
      </c>
      <c r="L12" s="406">
        <f t="shared" si="4"/>
        <v>903.9</v>
      </c>
      <c r="M12" s="36">
        <f>IFERROR(100/'Skjema total MA'!I12*K12,0)</f>
        <v>35.330985198316348</v>
      </c>
      <c r="N12" s="127"/>
      <c r="Q12" s="127"/>
    </row>
    <row r="13" spans="1:17" s="43" customFormat="1" x14ac:dyDescent="0.2">
      <c r="A13" s="152"/>
      <c r="B13" s="129"/>
      <c r="C13" s="33"/>
      <c r="D13" s="143"/>
      <c r="E13" s="143"/>
      <c r="F13" s="129"/>
      <c r="G13" s="33"/>
      <c r="H13" s="143"/>
      <c r="I13" s="143"/>
      <c r="J13" s="48"/>
      <c r="K13" s="48"/>
      <c r="L13" s="143"/>
      <c r="M13" s="143"/>
      <c r="N13" s="127"/>
    </row>
    <row r="14" spans="1:17" x14ac:dyDescent="0.2">
      <c r="A14" s="137" t="s">
        <v>245</v>
      </c>
      <c r="B14" s="26"/>
    </row>
    <row r="15" spans="1:17" x14ac:dyDescent="0.2">
      <c r="F15" s="130"/>
      <c r="G15" s="130"/>
      <c r="H15" s="130"/>
      <c r="I15" s="130"/>
      <c r="J15" s="130"/>
      <c r="K15" s="130"/>
      <c r="L15" s="130"/>
      <c r="M15" s="130"/>
    </row>
    <row r="16" spans="1:17"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63428.468000000001</v>
      </c>
      <c r="C22" s="295">
        <v>55538</v>
      </c>
      <c r="D22" s="334">
        <f t="shared" ref="D22:D39" si="5">IF(B22=0, "    ---- ", IF(ABS(ROUND(100/B22*C22-100,1))&lt;999,ROUND(100/B22*C22-100,1),IF(ROUND(100/B22*C22-100,1)&gt;999,999,-999)))</f>
        <v>-12.4</v>
      </c>
      <c r="E22" s="11">
        <f>IFERROR(100/'Skjema total MA'!C22*C22,0)</f>
        <v>6.2837602343033856</v>
      </c>
      <c r="F22" s="303">
        <v>5591.7160000000003</v>
      </c>
      <c r="G22" s="303">
        <v>5052.9930000000004</v>
      </c>
      <c r="H22" s="334">
        <f t="shared" ref="H22:H35" si="6">IF(F22=0, "    ---- ", IF(ABS(ROUND(100/F22*G22-100,1))&lt;999,ROUND(100/F22*G22-100,1),IF(ROUND(100/F22*G22-100,1)&gt;999,999,-999)))</f>
        <v>-9.6</v>
      </c>
      <c r="I22" s="11">
        <f>IFERROR(100/'Skjema total MA'!F22*G22,0)</f>
        <v>1.987631375907738</v>
      </c>
      <c r="J22" s="301">
        <f t="shared" ref="J22:K35" si="7">SUM(B22,F22)</f>
        <v>69020.184000000008</v>
      </c>
      <c r="K22" s="301">
        <f t="shared" si="7"/>
        <v>60590.993000000002</v>
      </c>
      <c r="L22" s="404">
        <f t="shared" ref="L22:L35" si="8">IF(J22=0, "    ---- ", IF(ABS(ROUND(100/J22*K22-100,1))&lt;999,ROUND(100/J22*K22-100,1),IF(ROUND(100/J22*K22-100,1)&gt;999,999,-999)))</f>
        <v>-12.2</v>
      </c>
      <c r="M22" s="24">
        <f>IFERROR(100/'Skjema total MA'!I22*K22,0)</f>
        <v>5.324079804366372</v>
      </c>
    </row>
    <row r="23" spans="1:14" ht="15.75" x14ac:dyDescent="0.2">
      <c r="A23" s="454" t="s">
        <v>324</v>
      </c>
      <c r="B23" s="266">
        <v>59193.163</v>
      </c>
      <c r="C23" s="266">
        <v>48676.523270055099</v>
      </c>
      <c r="D23" s="150">
        <f t="shared" si="5"/>
        <v>-17.8</v>
      </c>
      <c r="E23" s="11">
        <f>IFERROR(100/'Skjema total MA'!C23*C23,0)</f>
        <v>7.6590693974550765</v>
      </c>
      <c r="F23" s="275">
        <v>3635.049</v>
      </c>
      <c r="G23" s="275">
        <v>3248.9929999999999</v>
      </c>
      <c r="H23" s="150">
        <f t="shared" si="6"/>
        <v>-10.6</v>
      </c>
      <c r="I23" s="394">
        <f>IFERROR(100/'Skjema total MA'!F23*G23,0)</f>
        <v>18.163422918232097</v>
      </c>
      <c r="J23" s="275">
        <f t="shared" ref="J23:J25" si="9">SUM(B23,F23)</f>
        <v>62828.212</v>
      </c>
      <c r="K23" s="275">
        <f t="shared" ref="K23:K25" si="10">SUM(C23,G23)</f>
        <v>51925.516270055101</v>
      </c>
      <c r="L23" s="150">
        <f t="shared" si="8"/>
        <v>-17.399999999999999</v>
      </c>
      <c r="M23" s="23">
        <f>IFERROR(100/'Skjema total MA'!I23*K23,0)</f>
        <v>7.94662532446561</v>
      </c>
    </row>
    <row r="24" spans="1:14" ht="15.75" x14ac:dyDescent="0.2">
      <c r="A24" s="454" t="s">
        <v>325</v>
      </c>
      <c r="B24" s="266">
        <v>641.01599999999996</v>
      </c>
      <c r="C24" s="266">
        <v>1768.50949173301</v>
      </c>
      <c r="D24" s="150">
        <f t="shared" si="5"/>
        <v>175.9</v>
      </c>
      <c r="E24" s="11">
        <f>IFERROR(100/'Skjema total MA'!C24*C24,0)</f>
        <v>57.499502331604106</v>
      </c>
      <c r="F24" s="275">
        <v>6</v>
      </c>
      <c r="G24" s="275">
        <v>6</v>
      </c>
      <c r="H24" s="150">
        <f t="shared" si="6"/>
        <v>0</v>
      </c>
      <c r="I24" s="394">
        <f>IFERROR(100/'Skjema total MA'!F24*G24,0)</f>
        <v>0.70564588685363361</v>
      </c>
      <c r="J24" s="275">
        <f t="shared" si="9"/>
        <v>647.01599999999996</v>
      </c>
      <c r="K24" s="275">
        <f t="shared" si="10"/>
        <v>1774.50949173301</v>
      </c>
      <c r="L24" s="150">
        <f t="shared" si="8"/>
        <v>174.3</v>
      </c>
      <c r="M24" s="23">
        <f>IFERROR(100/'Skjema total MA'!I24*K24,0)</f>
        <v>45.199145886400338</v>
      </c>
    </row>
    <row r="25" spans="1:14" ht="15.75" x14ac:dyDescent="0.2">
      <c r="A25" s="454" t="s">
        <v>326</v>
      </c>
      <c r="B25" s="266">
        <v>3594.2890000000002</v>
      </c>
      <c r="C25" s="266">
        <v>5092.9672382118797</v>
      </c>
      <c r="D25" s="150">
        <f t="shared" si="5"/>
        <v>41.7</v>
      </c>
      <c r="E25" s="11">
        <f>IFERROR(100/'Skjema total MA'!C25*C25,0)</f>
        <v>100</v>
      </c>
      <c r="F25" s="275">
        <v>1950.6669999999999</v>
      </c>
      <c r="G25" s="275">
        <v>1798</v>
      </c>
      <c r="H25" s="150">
        <f t="shared" si="6"/>
        <v>-7.8</v>
      </c>
      <c r="I25" s="394">
        <f>IFERROR(100/'Skjema total MA'!F25*G25,0)</f>
        <v>51.919495363064961</v>
      </c>
      <c r="J25" s="275">
        <f t="shared" si="9"/>
        <v>5544.9560000000001</v>
      </c>
      <c r="K25" s="275">
        <f t="shared" si="10"/>
        <v>6890.9672382118797</v>
      </c>
      <c r="L25" s="150">
        <f t="shared" si="8"/>
        <v>24.3</v>
      </c>
      <c r="M25" s="23">
        <f>IFERROR(100/'Skjema total MA'!I25*K25,0)</f>
        <v>80.539392037836222</v>
      </c>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v>29050.645</v>
      </c>
      <c r="C28" s="272">
        <v>25988.107</v>
      </c>
      <c r="D28" s="150">
        <f t="shared" si="5"/>
        <v>-10.5</v>
      </c>
      <c r="E28" s="11">
        <f>IFERROR(100/'Skjema total MA'!C28*C28,0)</f>
        <v>2.4623449525582095</v>
      </c>
      <c r="F28" s="217"/>
      <c r="G28" s="272"/>
      <c r="H28" s="150"/>
      <c r="I28" s="27"/>
      <c r="J28" s="44">
        <f t="shared" si="7"/>
        <v>29050.645</v>
      </c>
      <c r="K28" s="44">
        <f t="shared" si="7"/>
        <v>25988.107</v>
      </c>
      <c r="L28" s="242">
        <f t="shared" si="8"/>
        <v>-10.5</v>
      </c>
      <c r="M28" s="23">
        <f>IFERROR(100/'Skjema total MA'!I28*K28,0)</f>
        <v>2.4623449525582095</v>
      </c>
    </row>
    <row r="29" spans="1:14" s="3" customFormat="1" ht="15.75" x14ac:dyDescent="0.2">
      <c r="A29" s="13" t="s">
        <v>321</v>
      </c>
      <c r="B29" s="219">
        <v>21015900.945223499</v>
      </c>
      <c r="C29" s="219">
        <v>19893776</v>
      </c>
      <c r="D29" s="155">
        <f t="shared" si="5"/>
        <v>-5.3</v>
      </c>
      <c r="E29" s="11">
        <f>IFERROR(100/'Skjema total MA'!C29*C29,0)</f>
        <v>45.193995691409505</v>
      </c>
      <c r="F29" s="293">
        <v>4473710.8360000001</v>
      </c>
      <c r="G29" s="293">
        <v>4954203.4409999996</v>
      </c>
      <c r="H29" s="155">
        <f t="shared" si="6"/>
        <v>10.7</v>
      </c>
      <c r="I29" s="11">
        <f>IFERROR(100/'Skjema total MA'!F29*G29,0)</f>
        <v>17.630032400245103</v>
      </c>
      <c r="J29" s="219">
        <f t="shared" si="7"/>
        <v>25489611.781223498</v>
      </c>
      <c r="K29" s="219">
        <f t="shared" si="7"/>
        <v>24847979.441</v>
      </c>
      <c r="L29" s="405">
        <f t="shared" si="8"/>
        <v>-2.5</v>
      </c>
      <c r="M29" s="24">
        <f>IFERROR(100/'Skjema total MA'!I29*K29,0)</f>
        <v>34.453870814756542</v>
      </c>
      <c r="N29" s="132"/>
    </row>
    <row r="30" spans="1:14" s="3" customFormat="1" ht="15.75" x14ac:dyDescent="0.2">
      <c r="A30" s="454" t="s">
        <v>324</v>
      </c>
      <c r="B30" s="266">
        <v>5391261</v>
      </c>
      <c r="C30" s="266">
        <v>4160639</v>
      </c>
      <c r="D30" s="150">
        <f t="shared" si="5"/>
        <v>-22.8</v>
      </c>
      <c r="E30" s="11">
        <f>IFERROR(100/'Skjema total MA'!C30*C30,0)</f>
        <v>23.269609044571492</v>
      </c>
      <c r="F30" s="275">
        <v>1399100.8759999999</v>
      </c>
      <c r="G30" s="275">
        <v>1606430.5889999999</v>
      </c>
      <c r="H30" s="150">
        <f t="shared" si="6"/>
        <v>14.8</v>
      </c>
      <c r="I30" s="394">
        <f>IFERROR(100/'Skjema total MA'!F30*G30,0)</f>
        <v>42.547109469316688</v>
      </c>
      <c r="J30" s="275">
        <f t="shared" ref="J30:J32" si="11">SUM(B30,F30)</f>
        <v>6790361.8760000002</v>
      </c>
      <c r="K30" s="275">
        <f t="shared" ref="K30:K32" si="12">SUM(C30,G30)</f>
        <v>5767069.5889999997</v>
      </c>
      <c r="L30" s="150">
        <f t="shared" si="8"/>
        <v>-15.1</v>
      </c>
      <c r="M30" s="23">
        <f>IFERROR(100/'Skjema total MA'!I30*K30,0)</f>
        <v>26.630609225446104</v>
      </c>
      <c r="N30" s="132"/>
    </row>
    <row r="31" spans="1:14" s="3" customFormat="1" ht="15.75" x14ac:dyDescent="0.2">
      <c r="A31" s="454" t="s">
        <v>325</v>
      </c>
      <c r="B31" s="266">
        <v>13868014</v>
      </c>
      <c r="C31" s="266">
        <v>14322079</v>
      </c>
      <c r="D31" s="150">
        <f t="shared" si="5"/>
        <v>3.3</v>
      </c>
      <c r="E31" s="11">
        <f>IFERROR(100/'Skjema total MA'!C31*C31,0)</f>
        <v>60.245839793242283</v>
      </c>
      <c r="F31" s="275">
        <v>2579986.5210000002</v>
      </c>
      <c r="G31" s="275">
        <v>2779755.0180000002</v>
      </c>
      <c r="H31" s="150">
        <f t="shared" si="6"/>
        <v>7.7</v>
      </c>
      <c r="I31" s="394">
        <f>IFERROR(100/'Skjema total MA'!F31*G31,0)</f>
        <v>35.530367906443153</v>
      </c>
      <c r="J31" s="275">
        <f t="shared" si="11"/>
        <v>16448000.521</v>
      </c>
      <c r="K31" s="275">
        <f t="shared" si="12"/>
        <v>17101834.017999999</v>
      </c>
      <c r="L31" s="150">
        <f t="shared" si="8"/>
        <v>4</v>
      </c>
      <c r="M31" s="23">
        <f>IFERROR(100/'Skjema total MA'!I31*K31,0)</f>
        <v>54.126013697374006</v>
      </c>
      <c r="N31" s="132"/>
    </row>
    <row r="32" spans="1:14" ht="15.75" x14ac:dyDescent="0.2">
      <c r="A32" s="454" t="s">
        <v>326</v>
      </c>
      <c r="B32" s="266">
        <v>1756625.94522347</v>
      </c>
      <c r="C32" s="266">
        <v>1411058</v>
      </c>
      <c r="D32" s="150">
        <f t="shared" si="5"/>
        <v>-19.7</v>
      </c>
      <c r="E32" s="11">
        <f>IFERROR(100/'Skjema total MA'!C32*C32,0)</f>
        <v>62.787873452750489</v>
      </c>
      <c r="F32" s="275">
        <v>494623.43900000001</v>
      </c>
      <c r="G32" s="275">
        <v>568017.83400000003</v>
      </c>
      <c r="H32" s="150">
        <f t="shared" si="6"/>
        <v>14.8</v>
      </c>
      <c r="I32" s="394">
        <f>IFERROR(100/'Skjema total MA'!F32*G32,0)</f>
        <v>8.9804131107293106</v>
      </c>
      <c r="J32" s="275">
        <f t="shared" si="11"/>
        <v>2251249.38422347</v>
      </c>
      <c r="K32" s="275">
        <f t="shared" si="12"/>
        <v>1979075.834</v>
      </c>
      <c r="L32" s="150">
        <f t="shared" si="8"/>
        <v>-12.1</v>
      </c>
      <c r="M32" s="23">
        <f>IFERROR(100/'Skjema total MA'!I32*K32,0)</f>
        <v>23.086557791880171</v>
      </c>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v>4467</v>
      </c>
      <c r="C34" s="294">
        <v>3030</v>
      </c>
      <c r="D34" s="155">
        <f t="shared" si="5"/>
        <v>-32.200000000000003</v>
      </c>
      <c r="E34" s="11">
        <f>IFERROR(100/'Skjema total MA'!C34*C34,0)</f>
        <v>56.942449788222945</v>
      </c>
      <c r="F34" s="293">
        <v>-20618</v>
      </c>
      <c r="G34" s="294">
        <v>-57692</v>
      </c>
      <c r="H34" s="155">
        <f t="shared" si="6"/>
        <v>179.8</v>
      </c>
      <c r="I34" s="11">
        <f>IFERROR(100/'Skjema total MA'!F34*G34,0)</f>
        <v>575.07542257906096</v>
      </c>
      <c r="J34" s="219">
        <f t="shared" si="7"/>
        <v>-16151</v>
      </c>
      <c r="K34" s="219">
        <f t="shared" si="7"/>
        <v>-54662</v>
      </c>
      <c r="L34" s="405">
        <f t="shared" si="8"/>
        <v>238.4</v>
      </c>
      <c r="M34" s="24">
        <f>IFERROR(100/'Skjema total MA'!I34*K34,0)</f>
        <v>1160.326997307996</v>
      </c>
    </row>
    <row r="35" spans="1:14" ht="15.75" x14ac:dyDescent="0.2">
      <c r="A35" s="13" t="s">
        <v>323</v>
      </c>
      <c r="B35" s="219">
        <v>-21920</v>
      </c>
      <c r="C35" s="294">
        <v>-57693</v>
      </c>
      <c r="D35" s="155">
        <f t="shared" si="5"/>
        <v>163.19999999999999</v>
      </c>
      <c r="E35" s="11">
        <f>IFERROR(100/'Skjema total MA'!C35*C35,0)</f>
        <v>100.21845322884798</v>
      </c>
      <c r="F35" s="293">
        <v>808</v>
      </c>
      <c r="G35" s="294">
        <v>2998</v>
      </c>
      <c r="H35" s="155">
        <f t="shared" si="6"/>
        <v>271</v>
      </c>
      <c r="I35" s="11">
        <f>IFERROR(100/'Skjema total MA'!F35*G35,0)</f>
        <v>5.0924284978824117</v>
      </c>
      <c r="J35" s="219">
        <f t="shared" si="7"/>
        <v>-21112</v>
      </c>
      <c r="K35" s="219">
        <f t="shared" si="7"/>
        <v>-54695</v>
      </c>
      <c r="L35" s="405">
        <f t="shared" si="8"/>
        <v>159.1</v>
      </c>
      <c r="M35" s="24">
        <f>IFERROR(100/'Skjema total MA'!I35*K35,0)</f>
        <v>-4192.8820493639187</v>
      </c>
    </row>
    <row r="36" spans="1:14" ht="15.75" x14ac:dyDescent="0.2">
      <c r="A36" s="12" t="s">
        <v>253</v>
      </c>
      <c r="B36" s="219">
        <v>325</v>
      </c>
      <c r="C36" s="294">
        <v>519</v>
      </c>
      <c r="D36" s="155">
        <f t="shared" si="5"/>
        <v>59.7</v>
      </c>
      <c r="E36" s="11">
        <f>IFERROR(100/'Skjema total MA'!C36*C36,0)</f>
        <v>94.582551979399597</v>
      </c>
      <c r="F36" s="304"/>
      <c r="G36" s="305"/>
      <c r="H36" s="155"/>
      <c r="I36" s="411"/>
      <c r="J36" s="219">
        <f t="shared" ref="J36:J39" si="13">SUM(B36,F36)</f>
        <v>325</v>
      </c>
      <c r="K36" s="219">
        <f t="shared" ref="K36:K39" si="14">SUM(C36,G36)</f>
        <v>519</v>
      </c>
      <c r="L36" s="405"/>
      <c r="M36" s="24">
        <f>IFERROR(100/'Skjema total MA'!I36*K36,0)</f>
        <v>94.582551979399597</v>
      </c>
    </row>
    <row r="37" spans="1:14" ht="15.75" x14ac:dyDescent="0.2">
      <c r="A37" s="12" t="s">
        <v>329</v>
      </c>
      <c r="B37" s="219">
        <v>2436291</v>
      </c>
      <c r="C37" s="294">
        <v>2234879</v>
      </c>
      <c r="D37" s="155">
        <f t="shared" si="5"/>
        <v>-8.3000000000000007</v>
      </c>
      <c r="E37" s="11">
        <f>IFERROR(100/'Skjema total MA'!C37*C37,0)</f>
        <v>84.840691752202758</v>
      </c>
      <c r="F37" s="304"/>
      <c r="G37" s="306"/>
      <c r="H37" s="155"/>
      <c r="I37" s="411"/>
      <c r="J37" s="219">
        <f t="shared" si="13"/>
        <v>2436291</v>
      </c>
      <c r="K37" s="219">
        <f t="shared" si="14"/>
        <v>2234879</v>
      </c>
      <c r="L37" s="405"/>
      <c r="M37" s="24">
        <f>IFERROR(100/'Skjema total MA'!I37*K37,0)</f>
        <v>84.840691752202758</v>
      </c>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v>7</v>
      </c>
      <c r="C39" s="300">
        <v>0</v>
      </c>
      <c r="D39" s="153">
        <f t="shared" si="5"/>
        <v>-100</v>
      </c>
      <c r="E39" s="36">
        <f>IFERROR(100/'Skjema total MA'!C38*C39,0)</f>
        <v>0</v>
      </c>
      <c r="F39" s="307"/>
      <c r="G39" s="308"/>
      <c r="H39" s="153"/>
      <c r="I39" s="36"/>
      <c r="J39" s="219">
        <f t="shared" si="13"/>
        <v>7</v>
      </c>
      <c r="K39" s="219">
        <f t="shared" si="14"/>
        <v>0</v>
      </c>
      <c r="L39" s="406"/>
      <c r="M39" s="36">
        <f>IFERROR(100/'Skjema total MA'!I39*K39,0)</f>
        <v>0</v>
      </c>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285530.24400000001</v>
      </c>
      <c r="C47" s="296">
        <v>337769</v>
      </c>
      <c r="D47" s="404">
        <f t="shared" ref="D47:D57" si="15">IF(B47=0, "    ---- ", IF(ABS(ROUND(100/B47*C47-100,1))&lt;999,ROUND(100/B47*C47-100,1),IF(ROUND(100/B47*C47-100,1)&gt;999,999,-999)))</f>
        <v>18.3</v>
      </c>
      <c r="E47" s="11">
        <f>IFERROR(100/'Skjema total MA'!C47*C47,0)</f>
        <v>8.2014056457829998</v>
      </c>
      <c r="F47" s="129"/>
      <c r="G47" s="33"/>
      <c r="H47" s="143"/>
      <c r="I47" s="143"/>
      <c r="J47" s="37"/>
      <c r="K47" s="37"/>
      <c r="L47" s="143"/>
      <c r="M47" s="143"/>
      <c r="N47" s="132"/>
    </row>
    <row r="48" spans="1:14" s="3" customFormat="1" ht="15.75" x14ac:dyDescent="0.2">
      <c r="A48" s="38" t="s">
        <v>332</v>
      </c>
      <c r="B48" s="266">
        <v>285530.24400000001</v>
      </c>
      <c r="C48" s="267">
        <v>337769</v>
      </c>
      <c r="D48" s="242">
        <f t="shared" si="15"/>
        <v>18.3</v>
      </c>
      <c r="E48" s="27">
        <f>IFERROR(100/'Skjema total MA'!C48*C48,0)</f>
        <v>15.348467675110843</v>
      </c>
      <c r="F48" s="129"/>
      <c r="G48" s="33"/>
      <c r="H48" s="129"/>
      <c r="I48" s="129"/>
      <c r="J48" s="33"/>
      <c r="K48" s="33"/>
      <c r="L48" s="143"/>
      <c r="M48" s="143"/>
      <c r="N48" s="132"/>
    </row>
    <row r="49" spans="1:14" s="3" customFormat="1" ht="15.75" x14ac:dyDescent="0.2">
      <c r="A49" s="38" t="s">
        <v>333</v>
      </c>
      <c r="B49" s="44"/>
      <c r="C49" s="272"/>
      <c r="D49" s="242"/>
      <c r="E49" s="27"/>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v>17700</v>
      </c>
      <c r="C53" s="296">
        <v>14500</v>
      </c>
      <c r="D53" s="405">
        <f t="shared" si="15"/>
        <v>-18.100000000000001</v>
      </c>
      <c r="E53" s="11">
        <f>IFERROR(100/'Skjema total MA'!C53*C53,0)</f>
        <v>14.200722750191492</v>
      </c>
      <c r="F53" s="129"/>
      <c r="G53" s="33"/>
      <c r="H53" s="129"/>
      <c r="I53" s="129"/>
      <c r="J53" s="33"/>
      <c r="K53" s="33"/>
      <c r="L53" s="143"/>
      <c r="M53" s="143"/>
      <c r="N53" s="132"/>
    </row>
    <row r="54" spans="1:14" s="3" customFormat="1" ht="15.75" x14ac:dyDescent="0.2">
      <c r="A54" s="38" t="s">
        <v>332</v>
      </c>
      <c r="B54" s="266">
        <v>17700</v>
      </c>
      <c r="C54" s="267">
        <v>14500</v>
      </c>
      <c r="D54" s="242">
        <f t="shared" si="15"/>
        <v>-18.100000000000001</v>
      </c>
      <c r="E54" s="27">
        <f>IFERROR(100/'Skjema total MA'!C54*C54,0)</f>
        <v>14.339614423986736</v>
      </c>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v>35600</v>
      </c>
      <c r="C56" s="296">
        <v>25800</v>
      </c>
      <c r="D56" s="405">
        <f t="shared" si="15"/>
        <v>-27.5</v>
      </c>
      <c r="E56" s="11">
        <f>IFERROR(100/'Skjema total MA'!C56*C56,0)</f>
        <v>26.871395034409922</v>
      </c>
      <c r="F56" s="129"/>
      <c r="G56" s="33"/>
      <c r="H56" s="129"/>
      <c r="I56" s="129"/>
      <c r="J56" s="33"/>
      <c r="K56" s="33"/>
      <c r="L56" s="143"/>
      <c r="M56" s="143"/>
      <c r="N56" s="132"/>
    </row>
    <row r="57" spans="1:14" s="3" customFormat="1" ht="15.75" x14ac:dyDescent="0.2">
      <c r="A57" s="38" t="s">
        <v>332</v>
      </c>
      <c r="B57" s="266">
        <v>35600</v>
      </c>
      <c r="C57" s="267">
        <v>25800</v>
      </c>
      <c r="D57" s="242">
        <f t="shared" si="15"/>
        <v>-27.5</v>
      </c>
      <c r="E57" s="27">
        <f>IFERROR(100/'Skjema total MA'!C57*C57,0)</f>
        <v>26.871395034409922</v>
      </c>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780086</v>
      </c>
      <c r="C66" s="337">
        <v>819278</v>
      </c>
      <c r="D66" s="334">
        <f t="shared" ref="D66:D111" si="16">IF(B66=0, "    ---- ", IF(ABS(ROUND(100/B66*C66-100,1))&lt;999,ROUND(100/B66*C66-100,1),IF(ROUND(100/B66*C66-100,1)&gt;999,999,-999)))</f>
        <v>5</v>
      </c>
      <c r="E66" s="11">
        <f>IFERROR(100/'Skjema total MA'!C66*C66,0)</f>
        <v>27.776666795507673</v>
      </c>
      <c r="F66" s="336">
        <v>3315699</v>
      </c>
      <c r="G66" s="336">
        <v>3405129</v>
      </c>
      <c r="H66" s="334">
        <f t="shared" ref="H66:H111" si="17">IF(F66=0, "    ---- ", IF(ABS(ROUND(100/F66*G66-100,1))&lt;999,ROUND(100/F66*G66-100,1),IF(ROUND(100/F66*G66-100,1)&gt;999,999,-999)))</f>
        <v>2.7</v>
      </c>
      <c r="I66" s="11">
        <f>IFERROR(100/'Skjema total MA'!F66*G66,0)</f>
        <v>26.865527105664935</v>
      </c>
      <c r="J66" s="294">
        <f t="shared" ref="J66:K86" si="18">SUM(B66,F66)</f>
        <v>4095785</v>
      </c>
      <c r="K66" s="301">
        <f t="shared" si="18"/>
        <v>4224407</v>
      </c>
      <c r="L66" s="405">
        <f t="shared" ref="L66:L111" si="19">IF(J66=0, "    ---- ", IF(ABS(ROUND(100/J66*K66-100,1))&lt;999,ROUND(100/J66*K66-100,1),IF(ROUND(100/J66*K66-100,1)&gt;999,999,-999)))</f>
        <v>3.1</v>
      </c>
      <c r="M66" s="11">
        <f>IFERROR(100/'Skjema total MA'!I66*K66,0)</f>
        <v>27.03753065161585</v>
      </c>
    </row>
    <row r="67" spans="1:14" x14ac:dyDescent="0.2">
      <c r="A67" s="21" t="s">
        <v>9</v>
      </c>
      <c r="B67" s="44">
        <v>678177</v>
      </c>
      <c r="C67" s="129">
        <v>703434</v>
      </c>
      <c r="D67" s="150">
        <f t="shared" si="16"/>
        <v>3.7</v>
      </c>
      <c r="E67" s="27">
        <f>IFERROR(100/'Skjema total MA'!C67*C67,0)</f>
        <v>35.527032155891746</v>
      </c>
      <c r="F67" s="217"/>
      <c r="G67" s="129"/>
      <c r="H67" s="150"/>
      <c r="I67" s="27"/>
      <c r="J67" s="272">
        <f t="shared" si="18"/>
        <v>678177</v>
      </c>
      <c r="K67" s="44">
        <f t="shared" si="18"/>
        <v>703434</v>
      </c>
      <c r="L67" s="242">
        <f t="shared" si="19"/>
        <v>3.7</v>
      </c>
      <c r="M67" s="27">
        <f>IFERROR(100/'Skjema total MA'!I67*K67,0)</f>
        <v>35.527032155891746</v>
      </c>
    </row>
    <row r="68" spans="1:14" x14ac:dyDescent="0.2">
      <c r="A68" s="21" t="s">
        <v>10</v>
      </c>
      <c r="B68" s="277"/>
      <c r="C68" s="278"/>
      <c r="D68" s="150"/>
      <c r="E68" s="27"/>
      <c r="F68" s="277">
        <v>3315699</v>
      </c>
      <c r="G68" s="278">
        <v>3405129</v>
      </c>
      <c r="H68" s="150">
        <f t="shared" si="17"/>
        <v>2.7</v>
      </c>
      <c r="I68" s="27">
        <f>IFERROR(100/'Skjema total MA'!F68*G68,0)</f>
        <v>28.014009325016541</v>
      </c>
      <c r="J68" s="272">
        <f t="shared" si="18"/>
        <v>3315699</v>
      </c>
      <c r="K68" s="44">
        <f t="shared" si="18"/>
        <v>3405129</v>
      </c>
      <c r="L68" s="242">
        <f t="shared" si="19"/>
        <v>2.7</v>
      </c>
      <c r="M68" s="27">
        <f>IFERROR(100/'Skjema total MA'!I68*K68,0)</f>
        <v>27.991696595421761</v>
      </c>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v>101909</v>
      </c>
      <c r="C76" s="129">
        <v>115844</v>
      </c>
      <c r="D76" s="150">
        <f t="shared" ref="D76" si="20">IF(B76=0, "    ---- ", IF(ABS(ROUND(100/B76*C76-100,1))&lt;999,ROUND(100/B76*C76-100,1),IF(ROUND(100/B76*C76-100,1)&gt;999,999,-999)))</f>
        <v>13.7</v>
      </c>
      <c r="E76" s="27">
        <f>IFERROR(100/'Skjema total MA'!C77*C76,0)</f>
        <v>6.0594512710545816</v>
      </c>
      <c r="F76" s="217"/>
      <c r="G76" s="129"/>
      <c r="H76" s="150"/>
      <c r="I76" s="27"/>
      <c r="J76" s="272">
        <f t="shared" ref="J76" si="21">SUM(B76,F76)</f>
        <v>101909</v>
      </c>
      <c r="K76" s="44">
        <f t="shared" ref="K76" si="22">SUM(C76,G76)</f>
        <v>115844</v>
      </c>
      <c r="L76" s="242">
        <f t="shared" ref="L76" si="23">IF(J76=0, "    ---- ", IF(ABS(ROUND(100/J76*K76-100,1))&lt;999,ROUND(100/J76*K76-100,1),IF(ROUND(100/J76*K76-100,1)&gt;999,999,-999)))</f>
        <v>13.7</v>
      </c>
      <c r="M76" s="27">
        <f>IFERROR(100/'Skjema total MA'!I77*K76,0)</f>
        <v>0.82373497497441006</v>
      </c>
      <c r="N76" s="132"/>
    </row>
    <row r="77" spans="1:14" ht="15.75" x14ac:dyDescent="0.2">
      <c r="A77" s="21" t="s">
        <v>338</v>
      </c>
      <c r="B77" s="217">
        <v>651962</v>
      </c>
      <c r="C77" s="217">
        <v>676642</v>
      </c>
      <c r="D77" s="150">
        <f t="shared" si="16"/>
        <v>3.8</v>
      </c>
      <c r="E77" s="27">
        <f>IFERROR(100/'Skjema total MA'!C77*C77,0)</f>
        <v>35.393108205422067</v>
      </c>
      <c r="F77" s="217">
        <v>3315699</v>
      </c>
      <c r="G77" s="129">
        <v>3405129</v>
      </c>
      <c r="H77" s="150">
        <f t="shared" si="17"/>
        <v>2.7</v>
      </c>
      <c r="I77" s="27">
        <f>IFERROR(100/'Skjema total MA'!F77*G77,0)</f>
        <v>28.022360904191025</v>
      </c>
      <c r="J77" s="272">
        <f t="shared" si="18"/>
        <v>3967661</v>
      </c>
      <c r="K77" s="44">
        <f t="shared" si="18"/>
        <v>4081771</v>
      </c>
      <c r="L77" s="242">
        <f t="shared" si="19"/>
        <v>2.9</v>
      </c>
      <c r="M77" s="27">
        <f>IFERROR(100/'Skjema total MA'!I77*K77,0)</f>
        <v>29.024356311386629</v>
      </c>
    </row>
    <row r="78" spans="1:14" x14ac:dyDescent="0.2">
      <c r="A78" s="21" t="s">
        <v>9</v>
      </c>
      <c r="B78" s="217">
        <v>651962</v>
      </c>
      <c r="C78" s="129">
        <v>676642</v>
      </c>
      <c r="D78" s="150">
        <f t="shared" si="16"/>
        <v>3.8</v>
      </c>
      <c r="E78" s="27">
        <f>IFERROR(100/'Skjema total MA'!C78*C78,0)</f>
        <v>35.573396222730715</v>
      </c>
      <c r="F78" s="217"/>
      <c r="G78" s="129"/>
      <c r="H78" s="150"/>
      <c r="I78" s="27"/>
      <c r="J78" s="272">
        <f t="shared" si="18"/>
        <v>651962</v>
      </c>
      <c r="K78" s="44">
        <f t="shared" si="18"/>
        <v>676642</v>
      </c>
      <c r="L78" s="242">
        <f t="shared" si="19"/>
        <v>3.8</v>
      </c>
      <c r="M78" s="27">
        <f>IFERROR(100/'Skjema total MA'!I78*K78,0)</f>
        <v>35.573396222730715</v>
      </c>
    </row>
    <row r="79" spans="1:14" x14ac:dyDescent="0.2">
      <c r="A79" s="38" t="s">
        <v>366</v>
      </c>
      <c r="B79" s="277"/>
      <c r="C79" s="278"/>
      <c r="D79" s="150"/>
      <c r="E79" s="27"/>
      <c r="F79" s="277">
        <v>3315699</v>
      </c>
      <c r="G79" s="278">
        <v>3405129</v>
      </c>
      <c r="H79" s="150">
        <f t="shared" si="17"/>
        <v>2.7</v>
      </c>
      <c r="I79" s="27">
        <f>IFERROR(100/'Skjema total MA'!F79*G79,0)</f>
        <v>28.022360904191025</v>
      </c>
      <c r="J79" s="272">
        <f t="shared" si="18"/>
        <v>3315699</v>
      </c>
      <c r="K79" s="44">
        <f t="shared" si="18"/>
        <v>3405129</v>
      </c>
      <c r="L79" s="242">
        <f t="shared" si="19"/>
        <v>2.7</v>
      </c>
      <c r="M79" s="27">
        <f>IFERROR(100/'Skjema total MA'!I79*K79,0)</f>
        <v>28.000034874104532</v>
      </c>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v>26215.026000000002</v>
      </c>
      <c r="C86" s="129">
        <v>26792.392</v>
      </c>
      <c r="D86" s="150">
        <f t="shared" si="16"/>
        <v>2.2000000000000002</v>
      </c>
      <c r="E86" s="27">
        <f>IFERROR(100/'Skjema total MA'!C86*C86,0)</f>
        <v>34.395166723034706</v>
      </c>
      <c r="F86" s="217"/>
      <c r="G86" s="129"/>
      <c r="H86" s="150"/>
      <c r="I86" s="27"/>
      <c r="J86" s="272">
        <f t="shared" si="18"/>
        <v>26215.026000000002</v>
      </c>
      <c r="K86" s="44">
        <f t="shared" si="18"/>
        <v>26792.392</v>
      </c>
      <c r="L86" s="242">
        <f t="shared" si="19"/>
        <v>2.2000000000000002</v>
      </c>
      <c r="M86" s="27">
        <f>IFERROR(100/'Skjema total MA'!I86*K86,0)</f>
        <v>32.866672342275521</v>
      </c>
    </row>
    <row r="87" spans="1:13" ht="15.75" x14ac:dyDescent="0.2">
      <c r="A87" s="13" t="s">
        <v>321</v>
      </c>
      <c r="B87" s="337">
        <v>154112852</v>
      </c>
      <c r="C87" s="337">
        <v>153895774</v>
      </c>
      <c r="D87" s="155">
        <f t="shared" si="16"/>
        <v>-0.1</v>
      </c>
      <c r="E87" s="11">
        <f>IFERROR(100/'Skjema total MA'!C87*C87,0)</f>
        <v>38.159440303253135</v>
      </c>
      <c r="F87" s="336">
        <v>134476027</v>
      </c>
      <c r="G87" s="336">
        <v>166004233.727</v>
      </c>
      <c r="H87" s="155">
        <f t="shared" si="17"/>
        <v>23.4</v>
      </c>
      <c r="I87" s="11">
        <f>IFERROR(100/'Skjema total MA'!F87*G87,0)</f>
        <v>28.231138466889334</v>
      </c>
      <c r="J87" s="294">
        <f t="shared" ref="J87:K111" si="24">SUM(B87,F87)</f>
        <v>288588879</v>
      </c>
      <c r="K87" s="219">
        <f t="shared" si="24"/>
        <v>319900007.727</v>
      </c>
      <c r="L87" s="405">
        <f t="shared" si="19"/>
        <v>10.8</v>
      </c>
      <c r="M87" s="11">
        <f>IFERROR(100/'Skjema total MA'!I87*K87,0)</f>
        <v>32.270270238686791</v>
      </c>
    </row>
    <row r="88" spans="1:13" x14ac:dyDescent="0.2">
      <c r="A88" s="21" t="s">
        <v>9</v>
      </c>
      <c r="B88" s="217">
        <v>153971399</v>
      </c>
      <c r="C88" s="129">
        <v>153752119</v>
      </c>
      <c r="D88" s="150">
        <f t="shared" si="16"/>
        <v>-0.1</v>
      </c>
      <c r="E88" s="27">
        <f>IFERROR(100/'Skjema total MA'!C88*C88,0)</f>
        <v>40.024665466003249</v>
      </c>
      <c r="F88" s="217"/>
      <c r="G88" s="129"/>
      <c r="H88" s="150"/>
      <c r="I88" s="27"/>
      <c r="J88" s="272">
        <f t="shared" si="24"/>
        <v>153971399</v>
      </c>
      <c r="K88" s="44">
        <f t="shared" si="24"/>
        <v>153752119</v>
      </c>
      <c r="L88" s="242">
        <f t="shared" si="19"/>
        <v>-0.1</v>
      </c>
      <c r="M88" s="27">
        <f>IFERROR(100/'Skjema total MA'!I88*K88,0)</f>
        <v>40.024665466003249</v>
      </c>
    </row>
    <row r="89" spans="1:13" x14ac:dyDescent="0.2">
      <c r="A89" s="21" t="s">
        <v>10</v>
      </c>
      <c r="B89" s="217">
        <v>88164</v>
      </c>
      <c r="C89" s="129">
        <v>86679</v>
      </c>
      <c r="D89" s="150">
        <f t="shared" si="16"/>
        <v>-1.7</v>
      </c>
      <c r="E89" s="27">
        <f>IFERROR(100/'Skjema total MA'!C89*C89,0)</f>
        <v>3.7020638061353108</v>
      </c>
      <c r="F89" s="217">
        <v>134476027</v>
      </c>
      <c r="G89" s="129">
        <v>166004233.727</v>
      </c>
      <c r="H89" s="150">
        <f t="shared" si="17"/>
        <v>23.4</v>
      </c>
      <c r="I89" s="27">
        <f>IFERROR(100/'Skjema total MA'!F89*G89,0)</f>
        <v>28.654945684458681</v>
      </c>
      <c r="J89" s="272">
        <f t="shared" si="24"/>
        <v>134564191</v>
      </c>
      <c r="K89" s="44">
        <f t="shared" si="24"/>
        <v>166090912.727</v>
      </c>
      <c r="L89" s="242">
        <f t="shared" si="19"/>
        <v>23.4</v>
      </c>
      <c r="M89" s="27">
        <f>IFERROR(100/'Skjema total MA'!I89*K89,0)</f>
        <v>28.554502740508251</v>
      </c>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v>53289</v>
      </c>
      <c r="C97" s="129">
        <v>56976</v>
      </c>
      <c r="D97" s="150">
        <f t="shared" ref="D97" si="25">IF(B97=0, "    ---- ", IF(ABS(ROUND(100/B97*C97-100,1))&lt;999,ROUND(100/B97*C97-100,1),IF(ROUND(100/B97*C97-100,1)&gt;999,999,-999)))</f>
        <v>6.9</v>
      </c>
      <c r="E97" s="27">
        <f>IFERROR(100/'Skjema total MA'!C98*C97,0)</f>
        <v>1.4909535720657013E-2</v>
      </c>
      <c r="F97" s="217"/>
      <c r="G97" s="129"/>
      <c r="H97" s="150"/>
      <c r="I97" s="27"/>
      <c r="J97" s="272">
        <f t="shared" ref="J97" si="26">SUM(B97,F97)</f>
        <v>53289</v>
      </c>
      <c r="K97" s="44">
        <f t="shared" ref="K97" si="27">SUM(C97,G97)</f>
        <v>56976</v>
      </c>
      <c r="L97" s="242">
        <f t="shared" ref="L97" si="28">IF(J97=0, "    ---- ", IF(ABS(ROUND(100/J97*K97-100,1))&lt;999,ROUND(100/J97*K97-100,1),IF(ROUND(100/J97*K97-100,1)&gt;999,999,-999)))</f>
        <v>6.9</v>
      </c>
      <c r="M97" s="27">
        <f>IFERROR(100/'Skjema total MA'!I98*K97,0)</f>
        <v>5.9284081733839925E-3</v>
      </c>
    </row>
    <row r="98" spans="1:13" ht="15.75" x14ac:dyDescent="0.2">
      <c r="A98" s="21" t="s">
        <v>338</v>
      </c>
      <c r="B98" s="217">
        <v>152929809</v>
      </c>
      <c r="C98" s="217">
        <v>152695858</v>
      </c>
      <c r="D98" s="150">
        <f t="shared" si="16"/>
        <v>-0.2</v>
      </c>
      <c r="E98" s="27">
        <f>IFERROR(100/'Skjema total MA'!C98*C98,0)</f>
        <v>39.957602310575872</v>
      </c>
      <c r="F98" s="277">
        <v>134384341</v>
      </c>
      <c r="G98" s="277">
        <v>165711536.727</v>
      </c>
      <c r="H98" s="150">
        <f t="shared" si="17"/>
        <v>23.3</v>
      </c>
      <c r="I98" s="27">
        <f>IFERROR(100/'Skjema total MA'!F98*G98,0)</f>
        <v>28.624119839947184</v>
      </c>
      <c r="J98" s="272">
        <f t="shared" si="24"/>
        <v>287314150</v>
      </c>
      <c r="K98" s="44">
        <f t="shared" si="24"/>
        <v>318407394.727</v>
      </c>
      <c r="L98" s="242">
        <f t="shared" si="19"/>
        <v>10.8</v>
      </c>
      <c r="M98" s="27">
        <f>IFERROR(100/'Skjema total MA'!I98*K98,0)</f>
        <v>33.130598872603379</v>
      </c>
    </row>
    <row r="99" spans="1:13" x14ac:dyDescent="0.2">
      <c r="A99" s="21" t="s">
        <v>9</v>
      </c>
      <c r="B99" s="277">
        <v>152841645</v>
      </c>
      <c r="C99" s="278">
        <v>152609179</v>
      </c>
      <c r="D99" s="150">
        <f t="shared" si="16"/>
        <v>-0.2</v>
      </c>
      <c r="E99" s="27">
        <f>IFERROR(100/'Skjema total MA'!C99*C99,0)</f>
        <v>40.181106459005605</v>
      </c>
      <c r="F99" s="217"/>
      <c r="G99" s="129"/>
      <c r="H99" s="150"/>
      <c r="I99" s="27"/>
      <c r="J99" s="272">
        <f t="shared" si="24"/>
        <v>152841645</v>
      </c>
      <c r="K99" s="44">
        <f t="shared" si="24"/>
        <v>152609179</v>
      </c>
      <c r="L99" s="242">
        <f t="shared" si="19"/>
        <v>-0.2</v>
      </c>
      <c r="M99" s="27">
        <f>IFERROR(100/'Skjema total MA'!I99*K99,0)</f>
        <v>40.181106459005605</v>
      </c>
    </row>
    <row r="100" spans="1:13" x14ac:dyDescent="0.2">
      <c r="A100" s="38" t="s">
        <v>366</v>
      </c>
      <c r="B100" s="277">
        <v>88164</v>
      </c>
      <c r="C100" s="278">
        <v>86679</v>
      </c>
      <c r="D100" s="150">
        <f t="shared" si="16"/>
        <v>-1.7</v>
      </c>
      <c r="E100" s="27">
        <f>IFERROR(100/'Skjema total MA'!C100*C100,0)</f>
        <v>3.7020638061353108</v>
      </c>
      <c r="F100" s="217">
        <v>134384341</v>
      </c>
      <c r="G100" s="217">
        <v>165711536.727</v>
      </c>
      <c r="H100" s="150">
        <f t="shared" si="17"/>
        <v>23.3</v>
      </c>
      <c r="I100" s="27">
        <f>IFERROR(100/'Skjema total MA'!F100*G100,0)</f>
        <v>28.624119839947184</v>
      </c>
      <c r="J100" s="272">
        <f t="shared" si="24"/>
        <v>134472505</v>
      </c>
      <c r="K100" s="44">
        <f t="shared" si="24"/>
        <v>165798215.727</v>
      </c>
      <c r="L100" s="242">
        <f t="shared" si="19"/>
        <v>23.3</v>
      </c>
      <c r="M100" s="27">
        <f>IFERROR(100/'Skjema total MA'!I100*K100,0)</f>
        <v>28.523732173678511</v>
      </c>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v>1129754</v>
      </c>
      <c r="C107" s="129">
        <v>1142940</v>
      </c>
      <c r="D107" s="150">
        <f t="shared" si="16"/>
        <v>1.2</v>
      </c>
      <c r="E107" s="27">
        <f>IFERROR(100/'Skjema total MA'!C107*C107,0)</f>
        <v>26.334452797418205</v>
      </c>
      <c r="F107" s="217">
        <v>91686</v>
      </c>
      <c r="G107" s="129">
        <v>292697.32</v>
      </c>
      <c r="H107" s="150">
        <f t="shared" si="17"/>
        <v>219.2</v>
      </c>
      <c r="I107" s="27">
        <f>IFERROR(100/'Skjema total MA'!F107*G107,0)</f>
        <v>73.41806177273196</v>
      </c>
      <c r="J107" s="272">
        <f t="shared" si="24"/>
        <v>1221440</v>
      </c>
      <c r="K107" s="44">
        <f t="shared" si="24"/>
        <v>1435637.32</v>
      </c>
      <c r="L107" s="242">
        <f t="shared" si="19"/>
        <v>17.5</v>
      </c>
      <c r="M107" s="27">
        <f>IFERROR(100/'Skjema total MA'!I107*K107,0)</f>
        <v>30.295593830508992</v>
      </c>
    </row>
    <row r="108" spans="1:13" ht="15.75" x14ac:dyDescent="0.2">
      <c r="A108" s="21" t="s">
        <v>340</v>
      </c>
      <c r="B108" s="217">
        <v>134760748</v>
      </c>
      <c r="C108" s="217">
        <v>134390104</v>
      </c>
      <c r="D108" s="150">
        <f t="shared" si="16"/>
        <v>-0.3</v>
      </c>
      <c r="E108" s="27">
        <f>IFERROR(100/'Skjema total MA'!C108*C108,0)</f>
        <v>40.522004132380673</v>
      </c>
      <c r="F108" s="217">
        <v>992846</v>
      </c>
      <c r="G108" s="217">
        <v>1358361.3189999999</v>
      </c>
      <c r="H108" s="150">
        <f t="shared" si="17"/>
        <v>36.799999999999997</v>
      </c>
      <c r="I108" s="27">
        <f>IFERROR(100/'Skjema total MA'!F108*G108,0)</f>
        <v>6.1480988387804114</v>
      </c>
      <c r="J108" s="272">
        <f t="shared" si="24"/>
        <v>135753594</v>
      </c>
      <c r="K108" s="44">
        <f t="shared" si="24"/>
        <v>135748465.31900001</v>
      </c>
      <c r="L108" s="150">
        <f t="shared" si="19"/>
        <v>0</v>
      </c>
      <c r="M108" s="27">
        <f>IFERROR(100/'Skjema total MA'!I108*K108,0)</f>
        <v>38.375075275997894</v>
      </c>
    </row>
    <row r="109" spans="1:13" ht="15.75" x14ac:dyDescent="0.2">
      <c r="A109" s="38" t="s">
        <v>374</v>
      </c>
      <c r="B109" s="217">
        <v>88164</v>
      </c>
      <c r="C109" s="217">
        <v>86679</v>
      </c>
      <c r="D109" s="150">
        <f t="shared" si="16"/>
        <v>-1.7</v>
      </c>
      <c r="E109" s="27">
        <f>IFERROR(100/'Skjema total MA'!C109*C109,0)</f>
        <v>3.533995279014539</v>
      </c>
      <c r="F109" s="217">
        <v>49666045</v>
      </c>
      <c r="G109" s="217">
        <v>60935318</v>
      </c>
      <c r="H109" s="150">
        <f t="shared" si="17"/>
        <v>22.7</v>
      </c>
      <c r="I109" s="27">
        <f>IFERROR(100/'Skjema total MA'!F109*G109,0)</f>
        <v>28.035136907048663</v>
      </c>
      <c r="J109" s="272">
        <f t="shared" si="24"/>
        <v>49754209</v>
      </c>
      <c r="K109" s="44">
        <f t="shared" si="24"/>
        <v>61021997</v>
      </c>
      <c r="L109" s="242">
        <f t="shared" si="19"/>
        <v>22.6</v>
      </c>
      <c r="M109" s="27">
        <f>IFERROR(100/'Skjema total MA'!I109*K109,0)</f>
        <v>27.761739428168877</v>
      </c>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v>28459</v>
      </c>
      <c r="C111" s="143">
        <v>120797</v>
      </c>
      <c r="D111" s="155">
        <f t="shared" si="16"/>
        <v>324.5</v>
      </c>
      <c r="E111" s="11">
        <f>IFERROR(100/'Skjema total MA'!C111*C111,0)</f>
        <v>54.495318146534053</v>
      </c>
      <c r="F111" s="293">
        <v>2997650</v>
      </c>
      <c r="G111" s="143">
        <v>3808715</v>
      </c>
      <c r="H111" s="155">
        <f t="shared" si="17"/>
        <v>27.1</v>
      </c>
      <c r="I111" s="11">
        <f>IFERROR(100/'Skjema total MA'!F111*G111,0)</f>
        <v>27.409332205868385</v>
      </c>
      <c r="J111" s="294">
        <f t="shared" si="24"/>
        <v>3026109</v>
      </c>
      <c r="K111" s="219">
        <f t="shared" si="24"/>
        <v>3929512</v>
      </c>
      <c r="L111" s="405">
        <f t="shared" si="19"/>
        <v>29.9</v>
      </c>
      <c r="M111" s="11">
        <f>IFERROR(100/'Skjema total MA'!I111*K111,0)</f>
        <v>27.834625334101975</v>
      </c>
    </row>
    <row r="112" spans="1:13" x14ac:dyDescent="0.2">
      <c r="A112" s="21" t="s">
        <v>9</v>
      </c>
      <c r="B112" s="217">
        <v>28459</v>
      </c>
      <c r="C112" s="129">
        <v>120797</v>
      </c>
      <c r="D112" s="150">
        <f t="shared" ref="D112:D124" si="29">IF(B112=0, "    ---- ", IF(ABS(ROUND(100/B112*C112-100,1))&lt;999,ROUND(100/B112*C112-100,1),IF(ROUND(100/B112*C112-100,1)&gt;999,999,-999)))</f>
        <v>324.5</v>
      </c>
      <c r="E112" s="27">
        <f>IFERROR(100/'Skjema total MA'!C112*C112,0)</f>
        <v>75.309967766528928</v>
      </c>
      <c r="F112" s="217"/>
      <c r="G112" s="129"/>
      <c r="H112" s="150"/>
      <c r="I112" s="27"/>
      <c r="J112" s="272">
        <f t="shared" ref="J112:K125" si="30">SUM(B112,F112)</f>
        <v>28459</v>
      </c>
      <c r="K112" s="44">
        <f t="shared" si="30"/>
        <v>120797</v>
      </c>
      <c r="L112" s="242">
        <f t="shared" ref="L112:L125" si="31">IF(J112=0, "    ---- ", IF(ABS(ROUND(100/J112*K112-100,1))&lt;999,ROUND(100/J112*K112-100,1),IF(ROUND(100/J112*K112-100,1)&gt;999,999,-999)))</f>
        <v>324.5</v>
      </c>
      <c r="M112" s="27">
        <f>IFERROR(100/'Skjema total MA'!I112*K112,0)</f>
        <v>74.850964510513705</v>
      </c>
    </row>
    <row r="113" spans="1:14" x14ac:dyDescent="0.2">
      <c r="A113" s="21" t="s">
        <v>10</v>
      </c>
      <c r="B113" s="217"/>
      <c r="C113" s="129"/>
      <c r="D113" s="150"/>
      <c r="E113" s="27"/>
      <c r="F113" s="217">
        <v>2997650</v>
      </c>
      <c r="G113" s="129">
        <v>3808715</v>
      </c>
      <c r="H113" s="150">
        <f t="shared" ref="H113:H125" si="32">IF(F113=0, "    ---- ", IF(ABS(ROUND(100/F113*G113-100,1))&lt;999,ROUND(100/F113*G113-100,1),IF(ROUND(100/F113*G113-100,1)&gt;999,999,-999)))</f>
        <v>27.1</v>
      </c>
      <c r="I113" s="27">
        <f>IFERROR(100/'Skjema total MA'!F113*G113,0)</f>
        <v>27.411272516341914</v>
      </c>
      <c r="J113" s="272">
        <f t="shared" si="30"/>
        <v>2997650</v>
      </c>
      <c r="K113" s="44">
        <f t="shared" si="30"/>
        <v>3808715</v>
      </c>
      <c r="L113" s="242">
        <f t="shared" si="31"/>
        <v>27.1</v>
      </c>
      <c r="M113" s="27">
        <f>IFERROR(100/'Skjema total MA'!I113*K113,0)</f>
        <v>27.411272516341914</v>
      </c>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v>17251</v>
      </c>
      <c r="C116" s="217">
        <v>14157</v>
      </c>
      <c r="D116" s="150">
        <f t="shared" si="29"/>
        <v>-17.899999999999999</v>
      </c>
      <c r="E116" s="27">
        <f>IFERROR(100/'Skjema total MA'!C116*C116,0)</f>
        <v>55.841217350371508</v>
      </c>
      <c r="F116" s="217"/>
      <c r="G116" s="217"/>
      <c r="H116" s="150"/>
      <c r="I116" s="27"/>
      <c r="J116" s="272">
        <f t="shared" si="30"/>
        <v>17251</v>
      </c>
      <c r="K116" s="44">
        <f t="shared" si="30"/>
        <v>14157</v>
      </c>
      <c r="L116" s="242">
        <f t="shared" si="31"/>
        <v>-17.899999999999999</v>
      </c>
      <c r="M116" s="27">
        <f>IFERROR(100/'Skjema total MA'!I116*K116,0)</f>
        <v>53.755624130439081</v>
      </c>
    </row>
    <row r="117" spans="1:14" ht="15.75" x14ac:dyDescent="0.2">
      <c r="A117" s="38" t="s">
        <v>374</v>
      </c>
      <c r="B117" s="217"/>
      <c r="C117" s="217"/>
      <c r="D117" s="150"/>
      <c r="E117" s="27"/>
      <c r="F117" s="217">
        <v>2487845</v>
      </c>
      <c r="G117" s="217">
        <v>2844902</v>
      </c>
      <c r="H117" s="150">
        <f t="shared" si="32"/>
        <v>14.4</v>
      </c>
      <c r="I117" s="27">
        <f>IFERROR(100/'Skjema total MA'!F117*G117,0)</f>
        <v>42.283352359098267</v>
      </c>
      <c r="J117" s="272">
        <f t="shared" si="30"/>
        <v>2487845</v>
      </c>
      <c r="K117" s="44">
        <f t="shared" si="30"/>
        <v>2844902</v>
      </c>
      <c r="L117" s="242">
        <f t="shared" si="31"/>
        <v>14.4</v>
      </c>
      <c r="M117" s="27">
        <f>IFERROR(100/'Skjema total MA'!I117*K117,0)</f>
        <v>42.283352359098267</v>
      </c>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v>33305</v>
      </c>
      <c r="C119" s="143">
        <v>39427</v>
      </c>
      <c r="D119" s="155">
        <f t="shared" si="29"/>
        <v>18.399999999999999</v>
      </c>
      <c r="E119" s="11">
        <f>IFERROR(100/'Skjema total MA'!C119*C119,0)</f>
        <v>37.612187386556606</v>
      </c>
      <c r="F119" s="293">
        <v>3928998</v>
      </c>
      <c r="G119" s="143">
        <v>4626985</v>
      </c>
      <c r="H119" s="155">
        <f t="shared" si="32"/>
        <v>17.8</v>
      </c>
      <c r="I119" s="11">
        <f>IFERROR(100/'Skjema total MA'!F119*G119,0)</f>
        <v>30.18549928768044</v>
      </c>
      <c r="J119" s="294">
        <f t="shared" si="30"/>
        <v>3962303</v>
      </c>
      <c r="K119" s="219">
        <f t="shared" si="30"/>
        <v>4666412</v>
      </c>
      <c r="L119" s="405">
        <f t="shared" si="31"/>
        <v>17.8</v>
      </c>
      <c r="M119" s="11">
        <f>IFERROR(100/'Skjema total MA'!I119*K119,0)</f>
        <v>30.23594226985773</v>
      </c>
    </row>
    <row r="120" spans="1:14" x14ac:dyDescent="0.2">
      <c r="A120" s="21" t="s">
        <v>9</v>
      </c>
      <c r="B120" s="217">
        <v>33305</v>
      </c>
      <c r="C120" s="129">
        <v>39427</v>
      </c>
      <c r="D120" s="150">
        <f t="shared" si="29"/>
        <v>18.399999999999999</v>
      </c>
      <c r="E120" s="27">
        <f>IFERROR(100/'Skjema total MA'!C120*C120,0)</f>
        <v>68.158655668942131</v>
      </c>
      <c r="F120" s="217"/>
      <c r="G120" s="129"/>
      <c r="H120" s="150"/>
      <c r="I120" s="27"/>
      <c r="J120" s="272">
        <f t="shared" si="30"/>
        <v>33305</v>
      </c>
      <c r="K120" s="44">
        <f t="shared" si="30"/>
        <v>39427</v>
      </c>
      <c r="L120" s="242">
        <f t="shared" si="31"/>
        <v>18.399999999999999</v>
      </c>
      <c r="M120" s="27">
        <f>IFERROR(100/'Skjema total MA'!I120*K120,0)</f>
        <v>68.158655668942131</v>
      </c>
    </row>
    <row r="121" spans="1:14" x14ac:dyDescent="0.2">
      <c r="A121" s="21" t="s">
        <v>10</v>
      </c>
      <c r="B121" s="217"/>
      <c r="C121" s="129"/>
      <c r="D121" s="150"/>
      <c r="E121" s="27"/>
      <c r="F121" s="217">
        <v>3928998</v>
      </c>
      <c r="G121" s="129">
        <v>4626985</v>
      </c>
      <c r="H121" s="150">
        <f t="shared" si="32"/>
        <v>17.8</v>
      </c>
      <c r="I121" s="27">
        <f>IFERROR(100/'Skjema total MA'!F121*G121,0)</f>
        <v>30.18549928768044</v>
      </c>
      <c r="J121" s="272">
        <f t="shared" si="30"/>
        <v>3928998</v>
      </c>
      <c r="K121" s="44">
        <f t="shared" si="30"/>
        <v>4626985</v>
      </c>
      <c r="L121" s="242">
        <f t="shared" si="31"/>
        <v>17.8</v>
      </c>
      <c r="M121" s="27">
        <f>IFERROR(100/'Skjema total MA'!I121*K121,0)</f>
        <v>30.173633457291348</v>
      </c>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v>10140</v>
      </c>
      <c r="C124" s="217">
        <v>10379</v>
      </c>
      <c r="D124" s="150">
        <f t="shared" si="29"/>
        <v>2.4</v>
      </c>
      <c r="E124" s="27">
        <f>IFERROR(100/'Skjema total MA'!C124*C124,0)</f>
        <v>92.270252715944991</v>
      </c>
      <c r="F124" s="217"/>
      <c r="G124" s="217"/>
      <c r="H124" s="150"/>
      <c r="I124" s="27"/>
      <c r="J124" s="272">
        <f t="shared" si="30"/>
        <v>10140</v>
      </c>
      <c r="K124" s="44">
        <f t="shared" si="30"/>
        <v>10379</v>
      </c>
      <c r="L124" s="242">
        <f t="shared" si="31"/>
        <v>2.4</v>
      </c>
      <c r="M124" s="27">
        <f>IFERROR(100/'Skjema total MA'!I124*K124,0)</f>
        <v>58.536871489317548</v>
      </c>
    </row>
    <row r="125" spans="1:14" ht="15.75" x14ac:dyDescent="0.2">
      <c r="A125" s="38" t="s">
        <v>374</v>
      </c>
      <c r="B125" s="217"/>
      <c r="C125" s="217"/>
      <c r="D125" s="150"/>
      <c r="E125" s="27"/>
      <c r="F125" s="217">
        <v>2698600</v>
      </c>
      <c r="G125" s="217">
        <v>2959275</v>
      </c>
      <c r="H125" s="150">
        <f t="shared" si="32"/>
        <v>9.6999999999999993</v>
      </c>
      <c r="I125" s="27">
        <f>IFERROR(100/'Skjema total MA'!F125*G125,0)</f>
        <v>43.054648348337082</v>
      </c>
      <c r="J125" s="272">
        <f t="shared" si="30"/>
        <v>2698600</v>
      </c>
      <c r="K125" s="44">
        <f t="shared" si="30"/>
        <v>2959275</v>
      </c>
      <c r="L125" s="242">
        <f t="shared" si="31"/>
        <v>9.6999999999999993</v>
      </c>
      <c r="M125" s="27">
        <f>IFERROR(100/'Skjema total MA'!I125*K125,0)</f>
        <v>43.054648348337082</v>
      </c>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507" priority="132">
      <formula>kvartal &lt; 4</formula>
    </cfRule>
  </conditionalFormatting>
  <conditionalFormatting sqref="B69">
    <cfRule type="expression" dxfId="1506" priority="100">
      <formula>kvartal &lt; 4</formula>
    </cfRule>
  </conditionalFormatting>
  <conditionalFormatting sqref="C69">
    <cfRule type="expression" dxfId="1505" priority="99">
      <formula>kvartal &lt; 4</formula>
    </cfRule>
  </conditionalFormatting>
  <conditionalFormatting sqref="B72">
    <cfRule type="expression" dxfId="1504" priority="98">
      <formula>kvartal &lt; 4</formula>
    </cfRule>
  </conditionalFormatting>
  <conditionalFormatting sqref="C72">
    <cfRule type="expression" dxfId="1503" priority="97">
      <formula>kvartal &lt; 4</formula>
    </cfRule>
  </conditionalFormatting>
  <conditionalFormatting sqref="B80">
    <cfRule type="expression" dxfId="1502" priority="96">
      <formula>kvartal &lt; 4</formula>
    </cfRule>
  </conditionalFormatting>
  <conditionalFormatting sqref="C80">
    <cfRule type="expression" dxfId="1501" priority="95">
      <formula>kvartal &lt; 4</formula>
    </cfRule>
  </conditionalFormatting>
  <conditionalFormatting sqref="B83">
    <cfRule type="expression" dxfId="1500" priority="94">
      <formula>kvartal &lt; 4</formula>
    </cfRule>
  </conditionalFormatting>
  <conditionalFormatting sqref="C83">
    <cfRule type="expression" dxfId="1499" priority="93">
      <formula>kvartal &lt; 4</formula>
    </cfRule>
  </conditionalFormatting>
  <conditionalFormatting sqref="B90">
    <cfRule type="expression" dxfId="1498" priority="84">
      <formula>kvartal &lt; 4</formula>
    </cfRule>
  </conditionalFormatting>
  <conditionalFormatting sqref="C90">
    <cfRule type="expression" dxfId="1497" priority="83">
      <formula>kvartal &lt; 4</formula>
    </cfRule>
  </conditionalFormatting>
  <conditionalFormatting sqref="B93">
    <cfRule type="expression" dxfId="1496" priority="82">
      <formula>kvartal &lt; 4</formula>
    </cfRule>
  </conditionalFormatting>
  <conditionalFormatting sqref="C93">
    <cfRule type="expression" dxfId="1495" priority="81">
      <formula>kvartal &lt; 4</formula>
    </cfRule>
  </conditionalFormatting>
  <conditionalFormatting sqref="B101">
    <cfRule type="expression" dxfId="1494" priority="80">
      <formula>kvartal &lt; 4</formula>
    </cfRule>
  </conditionalFormatting>
  <conditionalFormatting sqref="C101">
    <cfRule type="expression" dxfId="1493" priority="79">
      <formula>kvartal &lt; 4</formula>
    </cfRule>
  </conditionalFormatting>
  <conditionalFormatting sqref="B104">
    <cfRule type="expression" dxfId="1492" priority="78">
      <formula>kvartal &lt; 4</formula>
    </cfRule>
  </conditionalFormatting>
  <conditionalFormatting sqref="C104">
    <cfRule type="expression" dxfId="1491" priority="77">
      <formula>kvartal &lt; 4</formula>
    </cfRule>
  </conditionalFormatting>
  <conditionalFormatting sqref="B115">
    <cfRule type="expression" dxfId="1490" priority="76">
      <formula>kvartal &lt; 4</formula>
    </cfRule>
  </conditionalFormatting>
  <conditionalFormatting sqref="C115">
    <cfRule type="expression" dxfId="1489" priority="75">
      <formula>kvartal &lt; 4</formula>
    </cfRule>
  </conditionalFormatting>
  <conditionalFormatting sqref="B123">
    <cfRule type="expression" dxfId="1488" priority="74">
      <formula>kvartal &lt; 4</formula>
    </cfRule>
  </conditionalFormatting>
  <conditionalFormatting sqref="C123">
    <cfRule type="expression" dxfId="1487" priority="73">
      <formula>kvartal &lt; 4</formula>
    </cfRule>
  </conditionalFormatting>
  <conditionalFormatting sqref="F70">
    <cfRule type="expression" dxfId="1486" priority="72">
      <formula>kvartal &lt; 4</formula>
    </cfRule>
  </conditionalFormatting>
  <conditionalFormatting sqref="G70">
    <cfRule type="expression" dxfId="1485" priority="71">
      <formula>kvartal &lt; 4</formula>
    </cfRule>
  </conditionalFormatting>
  <conditionalFormatting sqref="F71:G71">
    <cfRule type="expression" dxfId="1484" priority="70">
      <formula>kvartal &lt; 4</formula>
    </cfRule>
  </conditionalFormatting>
  <conditionalFormatting sqref="F73:G74">
    <cfRule type="expression" dxfId="1483" priority="69">
      <formula>kvartal &lt; 4</formula>
    </cfRule>
  </conditionalFormatting>
  <conditionalFormatting sqref="F81:G82">
    <cfRule type="expression" dxfId="1482" priority="68">
      <formula>kvartal &lt; 4</formula>
    </cfRule>
  </conditionalFormatting>
  <conditionalFormatting sqref="F84:G85">
    <cfRule type="expression" dxfId="1481" priority="67">
      <formula>kvartal &lt; 4</formula>
    </cfRule>
  </conditionalFormatting>
  <conditionalFormatting sqref="F91:G92">
    <cfRule type="expression" dxfId="1480" priority="62">
      <formula>kvartal &lt; 4</formula>
    </cfRule>
  </conditionalFormatting>
  <conditionalFormatting sqref="F94:G95">
    <cfRule type="expression" dxfId="1479" priority="61">
      <formula>kvartal &lt; 4</formula>
    </cfRule>
  </conditionalFormatting>
  <conditionalFormatting sqref="F102:G103">
    <cfRule type="expression" dxfId="1478" priority="60">
      <formula>kvartal &lt; 4</formula>
    </cfRule>
  </conditionalFormatting>
  <conditionalFormatting sqref="F105:G106">
    <cfRule type="expression" dxfId="1477" priority="59">
      <formula>kvartal &lt; 4</formula>
    </cfRule>
  </conditionalFormatting>
  <conditionalFormatting sqref="F115">
    <cfRule type="expression" dxfId="1476" priority="58">
      <formula>kvartal &lt; 4</formula>
    </cfRule>
  </conditionalFormatting>
  <conditionalFormatting sqref="G115">
    <cfRule type="expression" dxfId="1475" priority="57">
      <formula>kvartal &lt; 4</formula>
    </cfRule>
  </conditionalFormatting>
  <conditionalFormatting sqref="F123:G123">
    <cfRule type="expression" dxfId="1474" priority="56">
      <formula>kvartal &lt; 4</formula>
    </cfRule>
  </conditionalFormatting>
  <conditionalFormatting sqref="F69:G69">
    <cfRule type="expression" dxfId="1473" priority="55">
      <formula>kvartal &lt; 4</formula>
    </cfRule>
  </conditionalFormatting>
  <conditionalFormatting sqref="F72:G72">
    <cfRule type="expression" dxfId="1472" priority="54">
      <formula>kvartal &lt; 4</formula>
    </cfRule>
  </conditionalFormatting>
  <conditionalFormatting sqref="F80:G80">
    <cfRule type="expression" dxfId="1471" priority="53">
      <formula>kvartal &lt; 4</formula>
    </cfRule>
  </conditionalFormatting>
  <conditionalFormatting sqref="F83:G83">
    <cfRule type="expression" dxfId="1470" priority="52">
      <formula>kvartal &lt; 4</formula>
    </cfRule>
  </conditionalFormatting>
  <conditionalFormatting sqref="F90:G90">
    <cfRule type="expression" dxfId="1469" priority="46">
      <formula>kvartal &lt; 4</formula>
    </cfRule>
  </conditionalFormatting>
  <conditionalFormatting sqref="F93">
    <cfRule type="expression" dxfId="1468" priority="45">
      <formula>kvartal &lt; 4</formula>
    </cfRule>
  </conditionalFormatting>
  <conditionalFormatting sqref="G93">
    <cfRule type="expression" dxfId="1467" priority="44">
      <formula>kvartal &lt; 4</formula>
    </cfRule>
  </conditionalFormatting>
  <conditionalFormatting sqref="F101">
    <cfRule type="expression" dxfId="1466" priority="43">
      <formula>kvartal &lt; 4</formula>
    </cfRule>
  </conditionalFormatting>
  <conditionalFormatting sqref="G101">
    <cfRule type="expression" dxfId="1465" priority="42">
      <formula>kvartal &lt; 4</formula>
    </cfRule>
  </conditionalFormatting>
  <conditionalFormatting sqref="G104">
    <cfRule type="expression" dxfId="1464" priority="41">
      <formula>kvartal &lt; 4</formula>
    </cfRule>
  </conditionalFormatting>
  <conditionalFormatting sqref="F104">
    <cfRule type="expression" dxfId="1463" priority="40">
      <formula>kvartal &lt; 4</formula>
    </cfRule>
  </conditionalFormatting>
  <conditionalFormatting sqref="J69:K73">
    <cfRule type="expression" dxfId="1462" priority="39">
      <formula>kvartal &lt; 4</formula>
    </cfRule>
  </conditionalFormatting>
  <conditionalFormatting sqref="J74:K74">
    <cfRule type="expression" dxfId="1461" priority="38">
      <formula>kvartal &lt; 4</formula>
    </cfRule>
  </conditionalFormatting>
  <conditionalFormatting sqref="J80:K85">
    <cfRule type="expression" dxfId="1460" priority="37">
      <formula>kvartal &lt; 4</formula>
    </cfRule>
  </conditionalFormatting>
  <conditionalFormatting sqref="J90:K95">
    <cfRule type="expression" dxfId="1459" priority="34">
      <formula>kvartal &lt; 4</formula>
    </cfRule>
  </conditionalFormatting>
  <conditionalFormatting sqref="J101:K106">
    <cfRule type="expression" dxfId="1458" priority="33">
      <formula>kvartal &lt; 4</formula>
    </cfRule>
  </conditionalFormatting>
  <conditionalFormatting sqref="J115:K115">
    <cfRule type="expression" dxfId="1457" priority="32">
      <formula>kvartal &lt; 4</formula>
    </cfRule>
  </conditionalFormatting>
  <conditionalFormatting sqref="J123:K123">
    <cfRule type="expression" dxfId="1456" priority="31">
      <formula>kvartal &lt; 4</formula>
    </cfRule>
  </conditionalFormatting>
  <conditionalFormatting sqref="A50:A52">
    <cfRule type="expression" dxfId="1455" priority="12">
      <formula>kvartal &lt; 4</formula>
    </cfRule>
  </conditionalFormatting>
  <conditionalFormatting sqref="A69:A74">
    <cfRule type="expression" dxfId="1454" priority="10">
      <formula>kvartal &lt; 4</formula>
    </cfRule>
  </conditionalFormatting>
  <conditionalFormatting sqref="A80:A85">
    <cfRule type="expression" dxfId="1453" priority="9">
      <formula>kvartal &lt; 4</formula>
    </cfRule>
  </conditionalFormatting>
  <conditionalFormatting sqref="A90:A95">
    <cfRule type="expression" dxfId="1452" priority="6">
      <formula>kvartal &lt; 4</formula>
    </cfRule>
  </conditionalFormatting>
  <conditionalFormatting sqref="A101:A106">
    <cfRule type="expression" dxfId="1451" priority="5">
      <formula>kvartal &lt; 4</formula>
    </cfRule>
  </conditionalFormatting>
  <conditionalFormatting sqref="A115">
    <cfRule type="expression" dxfId="1450" priority="4">
      <formula>kvartal &lt; 4</formula>
    </cfRule>
  </conditionalFormatting>
  <conditionalFormatting sqref="A123">
    <cfRule type="expression" dxfId="1449" priority="3">
      <formula>kvartal &lt; 4</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123</v>
      </c>
      <c r="B1" s="646"/>
      <c r="C1" s="233" t="s">
        <v>114</v>
      </c>
      <c r="D1" s="26"/>
      <c r="E1" s="26"/>
      <c r="F1" s="26"/>
      <c r="G1" s="26"/>
      <c r="H1" s="26"/>
      <c r="I1" s="26"/>
      <c r="J1" s="26"/>
      <c r="K1" s="26"/>
      <c r="L1" s="26"/>
      <c r="M1" s="26"/>
    </row>
    <row r="2" spans="1:14" ht="15.75" x14ac:dyDescent="0.25">
      <c r="A2" s="149" t="s">
        <v>28</v>
      </c>
      <c r="B2" s="707"/>
      <c r="C2" s="707"/>
      <c r="D2" s="707"/>
      <c r="E2" s="284"/>
      <c r="F2" s="707"/>
      <c r="G2" s="707"/>
      <c r="H2" s="707"/>
      <c r="I2" s="284"/>
      <c r="J2" s="707"/>
      <c r="K2" s="707"/>
      <c r="L2" s="707"/>
      <c r="M2" s="284"/>
    </row>
    <row r="3" spans="1:14" ht="15.75" x14ac:dyDescent="0.25">
      <c r="A3" s="147"/>
      <c r="B3" s="284"/>
      <c r="C3" s="284"/>
      <c r="D3" s="284"/>
      <c r="E3" s="284"/>
      <c r="F3" s="284"/>
      <c r="G3" s="284"/>
      <c r="H3" s="284"/>
      <c r="I3" s="284"/>
      <c r="J3" s="284"/>
      <c r="K3" s="284"/>
      <c r="L3" s="284"/>
      <c r="M3" s="284"/>
    </row>
    <row r="4" spans="1:14" x14ac:dyDescent="0.2">
      <c r="A4" s="128"/>
      <c r="B4" s="705" t="s">
        <v>0</v>
      </c>
      <c r="C4" s="706"/>
      <c r="D4" s="706"/>
      <c r="E4" s="286"/>
      <c r="F4" s="705" t="s">
        <v>1</v>
      </c>
      <c r="G4" s="706"/>
      <c r="H4" s="706"/>
      <c r="I4" s="289"/>
      <c r="J4" s="705" t="s">
        <v>2</v>
      </c>
      <c r="K4" s="706"/>
      <c r="L4" s="706"/>
      <c r="M4" s="289"/>
    </row>
    <row r="5" spans="1:14" x14ac:dyDescent="0.2">
      <c r="A5" s="142"/>
      <c r="B5" s="136" t="s">
        <v>421</v>
      </c>
      <c r="C5" s="136" t="s">
        <v>422</v>
      </c>
      <c r="D5" s="229" t="s">
        <v>3</v>
      </c>
      <c r="E5" s="290" t="s">
        <v>29</v>
      </c>
      <c r="F5" s="136" t="s">
        <v>421</v>
      </c>
      <c r="G5" s="136" t="s">
        <v>422</v>
      </c>
      <c r="H5" s="229" t="s">
        <v>3</v>
      </c>
      <c r="I5" s="146" t="s">
        <v>29</v>
      </c>
      <c r="J5" s="136" t="s">
        <v>421</v>
      </c>
      <c r="K5" s="136" t="s">
        <v>422</v>
      </c>
      <c r="L5" s="229" t="s">
        <v>3</v>
      </c>
      <c r="M5" s="146" t="s">
        <v>29</v>
      </c>
    </row>
    <row r="6" spans="1:14" x14ac:dyDescent="0.2">
      <c r="A6" s="681"/>
      <c r="B6" s="140"/>
      <c r="C6" s="140"/>
      <c r="D6" s="231" t="s">
        <v>4</v>
      </c>
      <c r="E6" s="140" t="s">
        <v>30</v>
      </c>
      <c r="F6" s="145"/>
      <c r="G6" s="145"/>
      <c r="H6" s="229" t="s">
        <v>4</v>
      </c>
      <c r="I6" s="140" t="s">
        <v>30</v>
      </c>
      <c r="J6" s="145"/>
      <c r="K6" s="145"/>
      <c r="L6" s="229" t="s">
        <v>4</v>
      </c>
      <c r="M6" s="140" t="s">
        <v>30</v>
      </c>
    </row>
    <row r="7" spans="1:14" ht="15.75" x14ac:dyDescent="0.2">
      <c r="A7" s="14" t="s">
        <v>23</v>
      </c>
      <c r="B7" s="291">
        <v>98440</v>
      </c>
      <c r="C7" s="292">
        <v>106065</v>
      </c>
      <c r="D7" s="334">
        <f>IF(B7=0, "    ---- ", IF(ABS(ROUND(100/B7*C7-100,1))&lt;999,ROUND(100/B7*C7-100,1),IF(ROUND(100/B7*C7-100,1)&gt;999,999,-999)))</f>
        <v>7.7</v>
      </c>
      <c r="E7" s="11">
        <f>IFERROR(100/'Skjema total MA'!C7*C7,0)</f>
        <v>5.5352265104739811</v>
      </c>
      <c r="F7" s="291"/>
      <c r="G7" s="292"/>
      <c r="H7" s="334"/>
      <c r="I7" s="144"/>
      <c r="J7" s="293">
        <f t="shared" ref="J7:K9" si="0">SUM(B7,F7)</f>
        <v>98440</v>
      </c>
      <c r="K7" s="294">
        <f t="shared" si="0"/>
        <v>106065</v>
      </c>
      <c r="L7" s="404">
        <f>IF(J7=0, "    ---- ", IF(ABS(ROUND(100/J7*K7-100,1))&lt;999,ROUND(100/J7*K7-100,1),IF(ROUND(100/J7*K7-100,1)&gt;999,999,-999)))</f>
        <v>7.7</v>
      </c>
      <c r="M7" s="11">
        <f>IFERROR(100/'Skjema total MA'!I7*K7,0)</f>
        <v>1.8194766907667221</v>
      </c>
    </row>
    <row r="8" spans="1:14" ht="15.75" x14ac:dyDescent="0.2">
      <c r="A8" s="21" t="s">
        <v>25</v>
      </c>
      <c r="B8" s="266">
        <v>48093</v>
      </c>
      <c r="C8" s="267">
        <v>51200</v>
      </c>
      <c r="D8" s="150">
        <f t="shared" ref="D8:D9" si="1">IF(B8=0, "    ---- ", IF(ABS(ROUND(100/B8*C8-100,1))&lt;999,ROUND(100/B8*C8-100,1),IF(ROUND(100/B8*C8-100,1)&gt;999,999,-999)))</f>
        <v>6.5</v>
      </c>
      <c r="E8" s="27">
        <f>IFERROR(100/'Skjema total MA'!C8*C8,0)</f>
        <v>3.9573918339329301</v>
      </c>
      <c r="F8" s="270"/>
      <c r="G8" s="271"/>
      <c r="H8" s="150"/>
      <c r="I8" s="160"/>
      <c r="J8" s="217">
        <f t="shared" si="0"/>
        <v>48093</v>
      </c>
      <c r="K8" s="272">
        <f t="shared" si="0"/>
        <v>51200</v>
      </c>
      <c r="L8" s="150">
        <f t="shared" ref="L8:L9" si="2">IF(J8=0, "    ---- ", IF(ABS(ROUND(100/J8*K8-100,1))&lt;999,ROUND(100/J8*K8-100,1),IF(ROUND(100/J8*K8-100,1)&gt;999,999,-999)))</f>
        <v>6.5</v>
      </c>
      <c r="M8" s="27">
        <f>IFERROR(100/'Skjema total MA'!I8*K8,0)</f>
        <v>3.9573918339329301</v>
      </c>
    </row>
    <row r="9" spans="1:14" ht="15.75" x14ac:dyDescent="0.2">
      <c r="A9" s="21" t="s">
        <v>24</v>
      </c>
      <c r="B9" s="266">
        <v>50347</v>
      </c>
      <c r="C9" s="267">
        <v>54865</v>
      </c>
      <c r="D9" s="150">
        <f t="shared" si="1"/>
        <v>9</v>
      </c>
      <c r="E9" s="27">
        <f>IFERROR(100/'Skjema total MA'!C9*C9,0)</f>
        <v>12.829491605360966</v>
      </c>
      <c r="F9" s="270"/>
      <c r="G9" s="271"/>
      <c r="H9" s="150"/>
      <c r="I9" s="160"/>
      <c r="J9" s="217">
        <f t="shared" si="0"/>
        <v>50347</v>
      </c>
      <c r="K9" s="272">
        <f t="shared" si="0"/>
        <v>54865</v>
      </c>
      <c r="L9" s="150">
        <f t="shared" si="2"/>
        <v>9</v>
      </c>
      <c r="M9" s="27">
        <f>IFERROR(100/'Skjema total MA'!I9*K9,0)</f>
        <v>12.829491605360966</v>
      </c>
    </row>
    <row r="10" spans="1:14" ht="15.75" x14ac:dyDescent="0.2">
      <c r="A10" s="13" t="s">
        <v>321</v>
      </c>
      <c r="B10" s="295"/>
      <c r="C10" s="296"/>
      <c r="D10" s="155"/>
      <c r="E10" s="11"/>
      <c r="F10" s="295"/>
      <c r="G10" s="296"/>
      <c r="H10" s="155"/>
      <c r="I10" s="144"/>
      <c r="J10" s="293"/>
      <c r="K10" s="294"/>
      <c r="L10" s="405"/>
      <c r="M10" s="11"/>
    </row>
    <row r="11" spans="1:14" s="43" customFormat="1" ht="15.75" x14ac:dyDescent="0.2">
      <c r="A11" s="13" t="s">
        <v>322</v>
      </c>
      <c r="B11" s="295"/>
      <c r="C11" s="296"/>
      <c r="D11" s="155"/>
      <c r="E11" s="11"/>
      <c r="F11" s="295"/>
      <c r="G11" s="296"/>
      <c r="H11" s="155"/>
      <c r="I11" s="144"/>
      <c r="J11" s="293"/>
      <c r="K11" s="294"/>
      <c r="L11" s="405"/>
      <c r="M11" s="11"/>
      <c r="N11" s="127"/>
    </row>
    <row r="12" spans="1:14" s="43" customFormat="1" ht="15.75" x14ac:dyDescent="0.2">
      <c r="A12" s="41" t="s">
        <v>323</v>
      </c>
      <c r="B12" s="297"/>
      <c r="C12" s="298"/>
      <c r="D12" s="153"/>
      <c r="E12" s="36"/>
      <c r="F12" s="297"/>
      <c r="G12" s="298"/>
      <c r="H12" s="153"/>
      <c r="I12" s="153"/>
      <c r="J12" s="299"/>
      <c r="K12" s="300"/>
      <c r="L12" s="406"/>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245</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242</v>
      </c>
      <c r="B17" s="141"/>
      <c r="C17" s="141"/>
      <c r="D17" s="135"/>
      <c r="E17" s="135"/>
      <c r="F17" s="141"/>
      <c r="G17" s="141"/>
      <c r="H17" s="141"/>
      <c r="I17" s="141"/>
      <c r="J17" s="141"/>
      <c r="K17" s="141"/>
      <c r="L17" s="141"/>
      <c r="M17" s="141"/>
    </row>
    <row r="18" spans="1:14" ht="15.75" x14ac:dyDescent="0.25">
      <c r="B18" s="704"/>
      <c r="C18" s="704"/>
      <c r="D18" s="704"/>
      <c r="E18" s="284"/>
      <c r="F18" s="704"/>
      <c r="G18" s="704"/>
      <c r="H18" s="704"/>
      <c r="I18" s="284"/>
      <c r="J18" s="704"/>
      <c r="K18" s="704"/>
      <c r="L18" s="704"/>
      <c r="M18" s="284"/>
    </row>
    <row r="19" spans="1:14" x14ac:dyDescent="0.2">
      <c r="A19" s="128"/>
      <c r="B19" s="705" t="s">
        <v>0</v>
      </c>
      <c r="C19" s="706"/>
      <c r="D19" s="706"/>
      <c r="E19" s="286"/>
      <c r="F19" s="705" t="s">
        <v>1</v>
      </c>
      <c r="G19" s="706"/>
      <c r="H19" s="706"/>
      <c r="I19" s="289"/>
      <c r="J19" s="705" t="s">
        <v>2</v>
      </c>
      <c r="K19" s="706"/>
      <c r="L19" s="706"/>
      <c r="M19" s="289"/>
    </row>
    <row r="20" spans="1:14" x14ac:dyDescent="0.2">
      <c r="A20" s="124" t="s">
        <v>5</v>
      </c>
      <c r="B20" s="226" t="s">
        <v>421</v>
      </c>
      <c r="C20" s="226" t="s">
        <v>422</v>
      </c>
      <c r="D20" s="146" t="s">
        <v>3</v>
      </c>
      <c r="E20" s="290" t="s">
        <v>29</v>
      </c>
      <c r="F20" s="226" t="s">
        <v>421</v>
      </c>
      <c r="G20" s="226" t="s">
        <v>422</v>
      </c>
      <c r="H20" s="146" t="s">
        <v>3</v>
      </c>
      <c r="I20" s="146" t="s">
        <v>29</v>
      </c>
      <c r="J20" s="226" t="s">
        <v>421</v>
      </c>
      <c r="K20" s="226" t="s">
        <v>422</v>
      </c>
      <c r="L20" s="146" t="s">
        <v>3</v>
      </c>
      <c r="M20" s="146" t="s">
        <v>29</v>
      </c>
    </row>
    <row r="21" spans="1:14" x14ac:dyDescent="0.2">
      <c r="A21" s="682"/>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v>44</v>
      </c>
      <c r="D22" s="334" t="str">
        <f t="shared" ref="D22:D28" si="3">IF(B22=0, "    ---- ", IF(ABS(ROUND(100/B22*C22-100,1))&lt;999,ROUND(100/B22*C22-100,1),IF(ROUND(100/B22*C22-100,1)&gt;999,999,-999)))</f>
        <v xml:space="preserve">    ---- </v>
      </c>
      <c r="E22" s="11">
        <f>IFERROR(100/'Skjema total MA'!C22*C22,0)</f>
        <v>4.9783112519238898E-3</v>
      </c>
      <c r="F22" s="303"/>
      <c r="G22" s="303"/>
      <c r="H22" s="334"/>
      <c r="I22" s="11"/>
      <c r="J22" s="301"/>
      <c r="K22" s="301">
        <f t="shared" ref="K22:K28" si="4">SUM(C22,G22)</f>
        <v>44</v>
      </c>
      <c r="L22" s="404" t="str">
        <f t="shared" ref="L22:L28" si="5">IF(J22=0, "    ---- ", IF(ABS(ROUND(100/J22*K22-100,1))&lt;999,ROUND(100/J22*K22-100,1),IF(ROUND(100/J22*K22-100,1)&gt;999,999,-999)))</f>
        <v xml:space="preserve">    ---- </v>
      </c>
      <c r="M22" s="24">
        <f>IFERROR(100/'Skjema total MA'!I22*K22,0)</f>
        <v>3.8662431459428361E-3</v>
      </c>
    </row>
    <row r="23" spans="1:14" ht="15.75" x14ac:dyDescent="0.2">
      <c r="A23" s="454" t="s">
        <v>324</v>
      </c>
      <c r="B23" s="266"/>
      <c r="C23" s="266"/>
      <c r="D23" s="150"/>
      <c r="E23" s="11"/>
      <c r="F23" s="275"/>
      <c r="G23" s="275"/>
      <c r="H23" s="150"/>
      <c r="I23" s="394"/>
      <c r="J23" s="275"/>
      <c r="K23" s="275"/>
      <c r="L23" s="150"/>
      <c r="M23" s="23"/>
    </row>
    <row r="24" spans="1:14" ht="15.75" x14ac:dyDescent="0.2">
      <c r="A24" s="454" t="s">
        <v>325</v>
      </c>
      <c r="B24" s="266"/>
      <c r="C24" s="266"/>
      <c r="D24" s="150"/>
      <c r="E24" s="11"/>
      <c r="F24" s="275"/>
      <c r="G24" s="275"/>
      <c r="H24" s="150"/>
      <c r="I24" s="394"/>
      <c r="J24" s="275"/>
      <c r="K24" s="275"/>
      <c r="L24" s="150"/>
      <c r="M24" s="23"/>
    </row>
    <row r="25" spans="1:14" ht="15.75" x14ac:dyDescent="0.2">
      <c r="A25" s="454" t="s">
        <v>326</v>
      </c>
      <c r="B25" s="266"/>
      <c r="C25" s="266"/>
      <c r="D25" s="150"/>
      <c r="E25" s="11"/>
      <c r="F25" s="275"/>
      <c r="G25" s="275"/>
      <c r="H25" s="150"/>
      <c r="I25" s="394"/>
      <c r="J25" s="275"/>
      <c r="K25" s="275"/>
      <c r="L25" s="150"/>
      <c r="M25" s="23"/>
    </row>
    <row r="26" spans="1:14" ht="15.75" x14ac:dyDescent="0.2">
      <c r="A26" s="454" t="s">
        <v>327</v>
      </c>
      <c r="B26" s="266"/>
      <c r="C26" s="266"/>
      <c r="D26" s="150"/>
      <c r="E26" s="11"/>
      <c r="F26" s="275"/>
      <c r="G26" s="275"/>
      <c r="H26" s="150"/>
      <c r="I26" s="394"/>
      <c r="J26" s="275"/>
      <c r="K26" s="275"/>
      <c r="L26" s="150"/>
      <c r="M26" s="23"/>
    </row>
    <row r="27" spans="1:14" x14ac:dyDescent="0.2">
      <c r="A27" s="454" t="s">
        <v>11</v>
      </c>
      <c r="B27" s="266"/>
      <c r="C27" s="266"/>
      <c r="D27" s="150"/>
      <c r="E27" s="11"/>
      <c r="F27" s="275"/>
      <c r="G27" s="275"/>
      <c r="H27" s="150"/>
      <c r="I27" s="394"/>
      <c r="J27" s="275"/>
      <c r="K27" s="275"/>
      <c r="L27" s="150"/>
      <c r="M27" s="23"/>
    </row>
    <row r="28" spans="1:14" ht="15.75" x14ac:dyDescent="0.2">
      <c r="A28" s="49" t="s">
        <v>246</v>
      </c>
      <c r="B28" s="44"/>
      <c r="C28" s="272">
        <v>44</v>
      </c>
      <c r="D28" s="150" t="str">
        <f t="shared" si="3"/>
        <v xml:space="preserve">    ---- </v>
      </c>
      <c r="E28" s="11">
        <f>IFERROR(100/'Skjema total MA'!C28*C28,0)</f>
        <v>4.1689522793084246E-3</v>
      </c>
      <c r="F28" s="217"/>
      <c r="G28" s="272"/>
      <c r="H28" s="150"/>
      <c r="I28" s="27"/>
      <c r="J28" s="44"/>
      <c r="K28" s="44">
        <f t="shared" si="4"/>
        <v>44</v>
      </c>
      <c r="L28" s="242" t="str">
        <f t="shared" si="5"/>
        <v xml:space="preserve">    ---- </v>
      </c>
      <c r="M28" s="23">
        <f>IFERROR(100/'Skjema total MA'!I28*K28,0)</f>
        <v>4.1689522793084246E-3</v>
      </c>
    </row>
    <row r="29" spans="1:14" s="3" customFormat="1" ht="15.75" x14ac:dyDescent="0.2">
      <c r="A29" s="13" t="s">
        <v>321</v>
      </c>
      <c r="B29" s="219"/>
      <c r="C29" s="219"/>
      <c r="D29" s="155"/>
      <c r="E29" s="11"/>
      <c r="F29" s="293"/>
      <c r="G29" s="293"/>
      <c r="H29" s="155"/>
      <c r="I29" s="11"/>
      <c r="J29" s="219"/>
      <c r="K29" s="219"/>
      <c r="L29" s="405"/>
      <c r="M29" s="24"/>
      <c r="N29" s="132"/>
    </row>
    <row r="30" spans="1:14" s="3" customFormat="1" ht="15.75" x14ac:dyDescent="0.2">
      <c r="A30" s="454" t="s">
        <v>324</v>
      </c>
      <c r="B30" s="266"/>
      <c r="C30" s="266"/>
      <c r="D30" s="150"/>
      <c r="E30" s="11"/>
      <c r="F30" s="275"/>
      <c r="G30" s="275"/>
      <c r="H30" s="150"/>
      <c r="I30" s="394"/>
      <c r="J30" s="275"/>
      <c r="K30" s="275"/>
      <c r="L30" s="150"/>
      <c r="M30" s="23"/>
      <c r="N30" s="132"/>
    </row>
    <row r="31" spans="1:14" s="3" customFormat="1" ht="15.75" x14ac:dyDescent="0.2">
      <c r="A31" s="454" t="s">
        <v>325</v>
      </c>
      <c r="B31" s="266"/>
      <c r="C31" s="266"/>
      <c r="D31" s="150"/>
      <c r="E31" s="11"/>
      <c r="F31" s="275"/>
      <c r="G31" s="275"/>
      <c r="H31" s="150"/>
      <c r="I31" s="394"/>
      <c r="J31" s="275"/>
      <c r="K31" s="275"/>
      <c r="L31" s="150"/>
      <c r="M31" s="23"/>
      <c r="N31" s="132"/>
    </row>
    <row r="32" spans="1:14" ht="15.75" x14ac:dyDescent="0.2">
      <c r="A32" s="454" t="s">
        <v>326</v>
      </c>
      <c r="B32" s="266"/>
      <c r="C32" s="266"/>
      <c r="D32" s="150"/>
      <c r="E32" s="11"/>
      <c r="F32" s="275"/>
      <c r="G32" s="275"/>
      <c r="H32" s="150"/>
      <c r="I32" s="394"/>
      <c r="J32" s="275"/>
      <c r="K32" s="275"/>
      <c r="L32" s="150"/>
      <c r="M32" s="23"/>
    </row>
    <row r="33" spans="1:14" ht="15.75" x14ac:dyDescent="0.2">
      <c r="A33" s="454" t="s">
        <v>327</v>
      </c>
      <c r="B33" s="266"/>
      <c r="C33" s="266"/>
      <c r="D33" s="150"/>
      <c r="E33" s="11"/>
      <c r="F33" s="275"/>
      <c r="G33" s="275"/>
      <c r="H33" s="150"/>
      <c r="I33" s="394"/>
      <c r="J33" s="275"/>
      <c r="K33" s="275"/>
      <c r="L33" s="150"/>
      <c r="M33" s="23"/>
    </row>
    <row r="34" spans="1:14" ht="15.75" x14ac:dyDescent="0.2">
      <c r="A34" s="13" t="s">
        <v>322</v>
      </c>
      <c r="B34" s="219"/>
      <c r="C34" s="294"/>
      <c r="D34" s="155"/>
      <c r="E34" s="11"/>
      <c r="F34" s="293"/>
      <c r="G34" s="294"/>
      <c r="H34" s="155"/>
      <c r="I34" s="11"/>
      <c r="J34" s="219"/>
      <c r="K34" s="219"/>
      <c r="L34" s="405"/>
      <c r="M34" s="24"/>
    </row>
    <row r="35" spans="1:14" ht="15.75" x14ac:dyDescent="0.2">
      <c r="A35" s="13" t="s">
        <v>323</v>
      </c>
      <c r="B35" s="219"/>
      <c r="C35" s="294"/>
      <c r="D35" s="155"/>
      <c r="E35" s="11"/>
      <c r="F35" s="293"/>
      <c r="G35" s="294"/>
      <c r="H35" s="155"/>
      <c r="I35" s="11"/>
      <c r="J35" s="219"/>
      <c r="K35" s="219"/>
      <c r="L35" s="405"/>
      <c r="M35" s="24"/>
    </row>
    <row r="36" spans="1:14" ht="15.75" x14ac:dyDescent="0.2">
      <c r="A36" s="12" t="s">
        <v>253</v>
      </c>
      <c r="B36" s="219"/>
      <c r="C36" s="294"/>
      <c r="D36" s="155"/>
      <c r="E36" s="11"/>
      <c r="F36" s="304"/>
      <c r="G36" s="305"/>
      <c r="H36" s="155"/>
      <c r="I36" s="411"/>
      <c r="J36" s="219"/>
      <c r="K36" s="219"/>
      <c r="L36" s="405"/>
      <c r="M36" s="24"/>
    </row>
    <row r="37" spans="1:14" ht="15.75" x14ac:dyDescent="0.2">
      <c r="A37" s="12" t="s">
        <v>329</v>
      </c>
      <c r="B37" s="219"/>
      <c r="C37" s="294"/>
      <c r="D37" s="155"/>
      <c r="E37" s="11"/>
      <c r="F37" s="304"/>
      <c r="G37" s="306"/>
      <c r="H37" s="155"/>
      <c r="I37" s="411"/>
      <c r="J37" s="219"/>
      <c r="K37" s="219"/>
      <c r="L37" s="405"/>
      <c r="M37" s="24"/>
    </row>
    <row r="38" spans="1:14" ht="15.75" x14ac:dyDescent="0.2">
      <c r="A38" s="12" t="s">
        <v>330</v>
      </c>
      <c r="B38" s="219"/>
      <c r="C38" s="294"/>
      <c r="D38" s="155"/>
      <c r="E38" s="24"/>
      <c r="F38" s="304"/>
      <c r="G38" s="305"/>
      <c r="H38" s="155"/>
      <c r="I38" s="411"/>
      <c r="J38" s="219"/>
      <c r="K38" s="219"/>
      <c r="L38" s="405"/>
      <c r="M38" s="24"/>
    </row>
    <row r="39" spans="1:14" ht="15.75" x14ac:dyDescent="0.2">
      <c r="A39" s="18" t="s">
        <v>331</v>
      </c>
      <c r="B39" s="261"/>
      <c r="C39" s="300"/>
      <c r="D39" s="153"/>
      <c r="E39" s="36"/>
      <c r="F39" s="307"/>
      <c r="G39" s="308"/>
      <c r="H39" s="153"/>
      <c r="I39" s="36"/>
      <c r="J39" s="219"/>
      <c r="K39" s="219"/>
      <c r="L39" s="406"/>
      <c r="M39" s="36"/>
    </row>
    <row r="40" spans="1:14" ht="15.75" x14ac:dyDescent="0.25">
      <c r="A40" s="47"/>
      <c r="B40" s="241"/>
      <c r="C40" s="241"/>
      <c r="D40" s="708"/>
      <c r="E40" s="708"/>
      <c r="F40" s="708"/>
      <c r="G40" s="708"/>
      <c r="H40" s="708"/>
      <c r="I40" s="708"/>
      <c r="J40" s="708"/>
      <c r="K40" s="708"/>
      <c r="L40" s="708"/>
      <c r="M40" s="287"/>
    </row>
    <row r="41" spans="1:14" x14ac:dyDescent="0.2">
      <c r="A41" s="139"/>
    </row>
    <row r="42" spans="1:14" ht="15.75" x14ac:dyDescent="0.25">
      <c r="A42" s="131" t="s">
        <v>243</v>
      </c>
      <c r="B42" s="707"/>
      <c r="C42" s="707"/>
      <c r="D42" s="707"/>
      <c r="E42" s="284"/>
      <c r="F42" s="709"/>
      <c r="G42" s="709"/>
      <c r="H42" s="709"/>
      <c r="I42" s="287"/>
      <c r="J42" s="709"/>
      <c r="K42" s="709"/>
      <c r="L42" s="709"/>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05" t="s">
        <v>0</v>
      </c>
      <c r="C44" s="706"/>
      <c r="D44" s="706"/>
      <c r="E44" s="227"/>
      <c r="F44" s="287"/>
      <c r="G44" s="287"/>
      <c r="H44" s="287"/>
      <c r="I44" s="287"/>
      <c r="J44" s="287"/>
      <c r="K44" s="287"/>
      <c r="L44" s="287"/>
      <c r="M44" s="287"/>
    </row>
    <row r="45" spans="1:14" s="3" customFormat="1" x14ac:dyDescent="0.2">
      <c r="A45" s="124"/>
      <c r="B45" s="157" t="s">
        <v>421</v>
      </c>
      <c r="C45" s="157" t="s">
        <v>422</v>
      </c>
      <c r="D45" s="146" t="s">
        <v>3</v>
      </c>
      <c r="E45" s="146" t="s">
        <v>29</v>
      </c>
      <c r="F45" s="159"/>
      <c r="G45" s="159"/>
      <c r="H45" s="158"/>
      <c r="I45" s="158"/>
      <c r="J45" s="159"/>
      <c r="K45" s="159"/>
      <c r="L45" s="158"/>
      <c r="M45" s="158"/>
      <c r="N45" s="132"/>
    </row>
    <row r="46" spans="1:14" s="3" customFormat="1" x14ac:dyDescent="0.2">
      <c r="A46" s="682"/>
      <c r="B46" s="228"/>
      <c r="C46" s="228"/>
      <c r="D46" s="229" t="s">
        <v>4</v>
      </c>
      <c r="E46" s="140" t="s">
        <v>30</v>
      </c>
      <c r="F46" s="158"/>
      <c r="G46" s="158"/>
      <c r="H46" s="158"/>
      <c r="I46" s="158"/>
      <c r="J46" s="158"/>
      <c r="K46" s="158"/>
      <c r="L46" s="158"/>
      <c r="M46" s="158"/>
      <c r="N46" s="132"/>
    </row>
    <row r="47" spans="1:14" s="3" customFormat="1" ht="15.75" x14ac:dyDescent="0.2">
      <c r="A47" s="14" t="s">
        <v>23</v>
      </c>
      <c r="B47" s="295">
        <v>91139</v>
      </c>
      <c r="C47" s="296">
        <v>98980</v>
      </c>
      <c r="D47" s="404">
        <f t="shared" ref="D47:D48" si="6">IF(B47=0, "    ---- ", IF(ABS(ROUND(100/B47*C47-100,1))&lt;999,ROUND(100/B47*C47-100,1),IF(ROUND(100/B47*C47-100,1)&gt;999,999,-999)))</f>
        <v>8.6</v>
      </c>
      <c r="E47" s="11">
        <f>IFERROR(100/'Skjema total MA'!C47*C47,0)</f>
        <v>2.4033440926183318</v>
      </c>
      <c r="F47" s="129"/>
      <c r="G47" s="33"/>
      <c r="H47" s="143"/>
      <c r="I47" s="143"/>
      <c r="J47" s="37"/>
      <c r="K47" s="37"/>
      <c r="L47" s="143"/>
      <c r="M47" s="143"/>
      <c r="N47" s="132"/>
    </row>
    <row r="48" spans="1:14" s="3" customFormat="1" ht="15.75" x14ac:dyDescent="0.2">
      <c r="A48" s="38" t="s">
        <v>332</v>
      </c>
      <c r="B48" s="266">
        <v>26526</v>
      </c>
      <c r="C48" s="267">
        <v>28721</v>
      </c>
      <c r="D48" s="242">
        <f t="shared" si="6"/>
        <v>8.3000000000000007</v>
      </c>
      <c r="E48" s="27">
        <f>IFERROR(100/'Skjema total MA'!C48*C48,0)</f>
        <v>1.3051030144769309</v>
      </c>
      <c r="F48" s="129"/>
      <c r="G48" s="33"/>
      <c r="H48" s="129"/>
      <c r="I48" s="129"/>
      <c r="J48" s="33"/>
      <c r="K48" s="33"/>
      <c r="L48" s="143"/>
      <c r="M48" s="143"/>
      <c r="N48" s="132"/>
    </row>
    <row r="49" spans="1:14" s="3" customFormat="1" ht="15.75" x14ac:dyDescent="0.2">
      <c r="A49" s="38" t="s">
        <v>333</v>
      </c>
      <c r="B49" s="44">
        <v>64613</v>
      </c>
      <c r="C49" s="272">
        <v>70259</v>
      </c>
      <c r="D49" s="242">
        <f>IF(B49=0, "    ---- ", IF(ABS(ROUND(100/B49*C49-100,1))&lt;999,ROUND(100/B49*C49-100,1),IF(ROUND(100/B49*C49-100,1)&gt;999,999,-999)))</f>
        <v>8.6999999999999993</v>
      </c>
      <c r="E49" s="27">
        <f>IFERROR(100/'Skjema total MA'!C49*C49,0)</f>
        <v>3.6635990815549233</v>
      </c>
      <c r="F49" s="129"/>
      <c r="G49" s="33"/>
      <c r="H49" s="129"/>
      <c r="I49" s="129"/>
      <c r="J49" s="37"/>
      <c r="K49" s="37"/>
      <c r="L49" s="143"/>
      <c r="M49" s="143"/>
      <c r="N49" s="132"/>
    </row>
    <row r="50" spans="1:14" s="3" customFormat="1" x14ac:dyDescent="0.2">
      <c r="A50" s="281" t="s">
        <v>6</v>
      </c>
      <c r="B50" s="275"/>
      <c r="C50" s="276"/>
      <c r="D50" s="242"/>
      <c r="E50" s="23"/>
      <c r="F50" s="129"/>
      <c r="G50" s="33"/>
      <c r="H50" s="129"/>
      <c r="I50" s="129"/>
      <c r="J50" s="33"/>
      <c r="K50" s="33"/>
      <c r="L50" s="143"/>
      <c r="M50" s="143"/>
      <c r="N50" s="132"/>
    </row>
    <row r="51" spans="1:14" s="3" customFormat="1" x14ac:dyDescent="0.2">
      <c r="A51" s="281" t="s">
        <v>7</v>
      </c>
      <c r="B51" s="275"/>
      <c r="C51" s="276"/>
      <c r="D51" s="242"/>
      <c r="E51" s="23"/>
      <c r="F51" s="129"/>
      <c r="G51" s="33"/>
      <c r="H51" s="129"/>
      <c r="I51" s="129"/>
      <c r="J51" s="33"/>
      <c r="K51" s="33"/>
      <c r="L51" s="143"/>
      <c r="M51" s="143"/>
      <c r="N51" s="132"/>
    </row>
    <row r="52" spans="1:14" s="3" customFormat="1" x14ac:dyDescent="0.2">
      <c r="A52" s="281" t="s">
        <v>8</v>
      </c>
      <c r="B52" s="275"/>
      <c r="C52" s="276"/>
      <c r="D52" s="242"/>
      <c r="E52" s="23"/>
      <c r="F52" s="129"/>
      <c r="G52" s="33"/>
      <c r="H52" s="129"/>
      <c r="I52" s="129"/>
      <c r="J52" s="33"/>
      <c r="K52" s="33"/>
      <c r="L52" s="143"/>
      <c r="M52" s="143"/>
      <c r="N52" s="132"/>
    </row>
    <row r="53" spans="1:14" s="3" customFormat="1" ht="15.75" x14ac:dyDescent="0.2">
      <c r="A53" s="39" t="s">
        <v>334</v>
      </c>
      <c r="B53" s="295"/>
      <c r="C53" s="296"/>
      <c r="D53" s="405"/>
      <c r="E53" s="11"/>
      <c r="F53" s="129"/>
      <c r="G53" s="33"/>
      <c r="H53" s="129"/>
      <c r="I53" s="129"/>
      <c r="J53" s="33"/>
      <c r="K53" s="33"/>
      <c r="L53" s="143"/>
      <c r="M53" s="143"/>
      <c r="N53" s="132"/>
    </row>
    <row r="54" spans="1:14" s="3" customFormat="1" ht="15.75" x14ac:dyDescent="0.2">
      <c r="A54" s="38" t="s">
        <v>332</v>
      </c>
      <c r="B54" s="266"/>
      <c r="C54" s="267"/>
      <c r="D54" s="242"/>
      <c r="E54" s="27"/>
      <c r="F54" s="129"/>
      <c r="G54" s="33"/>
      <c r="H54" s="129"/>
      <c r="I54" s="129"/>
      <c r="J54" s="33"/>
      <c r="K54" s="33"/>
      <c r="L54" s="143"/>
      <c r="M54" s="143"/>
      <c r="N54" s="132"/>
    </row>
    <row r="55" spans="1:14" s="3" customFormat="1" ht="15.75" x14ac:dyDescent="0.2">
      <c r="A55" s="38" t="s">
        <v>333</v>
      </c>
      <c r="B55" s="266"/>
      <c r="C55" s="267"/>
      <c r="D55" s="242"/>
      <c r="E55" s="27"/>
      <c r="F55" s="129"/>
      <c r="G55" s="33"/>
      <c r="H55" s="129"/>
      <c r="I55" s="129"/>
      <c r="J55" s="33"/>
      <c r="K55" s="33"/>
      <c r="L55" s="143"/>
      <c r="M55" s="143"/>
      <c r="N55" s="132"/>
    </row>
    <row r="56" spans="1:14" s="3" customFormat="1" ht="15.75" x14ac:dyDescent="0.2">
      <c r="A56" s="39" t="s">
        <v>335</v>
      </c>
      <c r="B56" s="295"/>
      <c r="C56" s="296"/>
      <c r="D56" s="405"/>
      <c r="E56" s="11"/>
      <c r="F56" s="129"/>
      <c r="G56" s="33"/>
      <c r="H56" s="129"/>
      <c r="I56" s="129"/>
      <c r="J56" s="33"/>
      <c r="K56" s="33"/>
      <c r="L56" s="143"/>
      <c r="M56" s="143"/>
      <c r="N56" s="132"/>
    </row>
    <row r="57" spans="1:14" s="3" customFormat="1" ht="15.75" x14ac:dyDescent="0.2">
      <c r="A57" s="38" t="s">
        <v>332</v>
      </c>
      <c r="B57" s="266"/>
      <c r="C57" s="267"/>
      <c r="D57" s="242"/>
      <c r="E57" s="27"/>
      <c r="F57" s="129"/>
      <c r="G57" s="33"/>
      <c r="H57" s="129"/>
      <c r="I57" s="129"/>
      <c r="J57" s="33"/>
      <c r="K57" s="33"/>
      <c r="L57" s="143"/>
      <c r="M57" s="143"/>
      <c r="N57" s="132"/>
    </row>
    <row r="58" spans="1:14" s="3" customFormat="1" ht="15.75" x14ac:dyDescent="0.2">
      <c r="A58" s="46" t="s">
        <v>333</v>
      </c>
      <c r="B58" s="268"/>
      <c r="C58" s="269"/>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244</v>
      </c>
      <c r="C61" s="26"/>
      <c r="D61" s="26"/>
      <c r="E61" s="26"/>
      <c r="F61" s="26"/>
      <c r="G61" s="26"/>
      <c r="H61" s="26"/>
      <c r="I61" s="26"/>
      <c r="J61" s="26"/>
      <c r="K61" s="26"/>
      <c r="L61" s="26"/>
      <c r="M61" s="26"/>
    </row>
    <row r="62" spans="1:14" ht="15.75" x14ac:dyDescent="0.25">
      <c r="B62" s="704"/>
      <c r="C62" s="704"/>
      <c r="D62" s="704"/>
      <c r="E62" s="284"/>
      <c r="F62" s="704"/>
      <c r="G62" s="704"/>
      <c r="H62" s="704"/>
      <c r="I62" s="284"/>
      <c r="J62" s="704"/>
      <c r="K62" s="704"/>
      <c r="L62" s="704"/>
      <c r="M62" s="284"/>
    </row>
    <row r="63" spans="1:14" x14ac:dyDescent="0.2">
      <c r="A63" s="128"/>
      <c r="B63" s="705" t="s">
        <v>0</v>
      </c>
      <c r="C63" s="706"/>
      <c r="D63" s="710"/>
      <c r="E63" s="285"/>
      <c r="F63" s="706" t="s">
        <v>1</v>
      </c>
      <c r="G63" s="706"/>
      <c r="H63" s="706"/>
      <c r="I63" s="289"/>
      <c r="J63" s="705" t="s">
        <v>2</v>
      </c>
      <c r="K63" s="706"/>
      <c r="L63" s="706"/>
      <c r="M63" s="289"/>
    </row>
    <row r="64" spans="1:14" x14ac:dyDescent="0.2">
      <c r="A64" s="124"/>
      <c r="B64" s="136" t="s">
        <v>421</v>
      </c>
      <c r="C64" s="136" t="s">
        <v>422</v>
      </c>
      <c r="D64" s="229" t="s">
        <v>3</v>
      </c>
      <c r="E64" s="290" t="s">
        <v>29</v>
      </c>
      <c r="F64" s="136" t="s">
        <v>421</v>
      </c>
      <c r="G64" s="136" t="s">
        <v>422</v>
      </c>
      <c r="H64" s="229" t="s">
        <v>3</v>
      </c>
      <c r="I64" s="290" t="s">
        <v>29</v>
      </c>
      <c r="J64" s="136" t="s">
        <v>421</v>
      </c>
      <c r="K64" s="136" t="s">
        <v>422</v>
      </c>
      <c r="L64" s="229" t="s">
        <v>3</v>
      </c>
      <c r="M64" s="146" t="s">
        <v>29</v>
      </c>
    </row>
    <row r="65" spans="1:14" x14ac:dyDescent="0.2">
      <c r="A65" s="682"/>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5"/>
      <c r="M66" s="11"/>
    </row>
    <row r="67" spans="1:14" x14ac:dyDescent="0.2">
      <c r="A67" s="396" t="s">
        <v>9</v>
      </c>
      <c r="B67" s="44"/>
      <c r="C67" s="129"/>
      <c r="D67" s="150"/>
      <c r="E67" s="27"/>
      <c r="F67" s="217"/>
      <c r="G67" s="129"/>
      <c r="H67" s="150"/>
      <c r="I67" s="27"/>
      <c r="J67" s="272"/>
      <c r="K67" s="44"/>
      <c r="L67" s="242"/>
      <c r="M67" s="27"/>
    </row>
    <row r="68" spans="1:14" x14ac:dyDescent="0.2">
      <c r="A68" s="21" t="s">
        <v>10</v>
      </c>
      <c r="B68" s="277"/>
      <c r="C68" s="278"/>
      <c r="D68" s="150"/>
      <c r="E68" s="27"/>
      <c r="F68" s="277"/>
      <c r="G68" s="278"/>
      <c r="H68" s="150"/>
      <c r="I68" s="27"/>
      <c r="J68" s="272"/>
      <c r="K68" s="44"/>
      <c r="L68" s="242"/>
      <c r="M68" s="27"/>
    </row>
    <row r="69" spans="1:14" ht="15.75" x14ac:dyDescent="0.2">
      <c r="A69" s="281" t="s">
        <v>336</v>
      </c>
      <c r="B69" s="266"/>
      <c r="C69" s="266"/>
      <c r="D69" s="150"/>
      <c r="E69" s="394"/>
      <c r="F69" s="266"/>
      <c r="G69" s="266"/>
      <c r="H69" s="150"/>
      <c r="I69" s="394"/>
      <c r="J69" s="275"/>
      <c r="K69" s="275"/>
      <c r="L69" s="150"/>
      <c r="M69" s="23"/>
    </row>
    <row r="70" spans="1:14" x14ac:dyDescent="0.2">
      <c r="A70" s="281" t="s">
        <v>12</v>
      </c>
      <c r="B70" s="279"/>
      <c r="C70" s="280"/>
      <c r="D70" s="150"/>
      <c r="E70" s="394"/>
      <c r="F70" s="266"/>
      <c r="G70" s="266"/>
      <c r="H70" s="150"/>
      <c r="I70" s="394"/>
      <c r="J70" s="275"/>
      <c r="K70" s="275"/>
      <c r="L70" s="150"/>
      <c r="M70" s="23"/>
    </row>
    <row r="71" spans="1:14" x14ac:dyDescent="0.2">
      <c r="A71" s="281" t="s">
        <v>13</v>
      </c>
      <c r="B71" s="218"/>
      <c r="C71" s="274"/>
      <c r="D71" s="150"/>
      <c r="E71" s="394"/>
      <c r="F71" s="266"/>
      <c r="G71" s="266"/>
      <c r="H71" s="150"/>
      <c r="I71" s="394"/>
      <c r="J71" s="275"/>
      <c r="K71" s="275"/>
      <c r="L71" s="150"/>
      <c r="M71" s="23"/>
    </row>
    <row r="72" spans="1:14" ht="15.75" x14ac:dyDescent="0.2">
      <c r="A72" s="281" t="s">
        <v>337</v>
      </c>
      <c r="B72" s="266"/>
      <c r="C72" s="266"/>
      <c r="D72" s="150"/>
      <c r="E72" s="394"/>
      <c r="F72" s="266"/>
      <c r="G72" s="266"/>
      <c r="H72" s="150"/>
      <c r="I72" s="394"/>
      <c r="J72" s="275"/>
      <c r="K72" s="275"/>
      <c r="L72" s="150"/>
      <c r="M72" s="23"/>
    </row>
    <row r="73" spans="1:14" x14ac:dyDescent="0.2">
      <c r="A73" s="281" t="s">
        <v>12</v>
      </c>
      <c r="B73" s="218"/>
      <c r="C73" s="274"/>
      <c r="D73" s="150"/>
      <c r="E73" s="394"/>
      <c r="F73" s="266"/>
      <c r="G73" s="266"/>
      <c r="H73" s="150"/>
      <c r="I73" s="394"/>
      <c r="J73" s="275"/>
      <c r="K73" s="275"/>
      <c r="L73" s="150"/>
      <c r="M73" s="23"/>
    </row>
    <row r="74" spans="1:14" s="3" customFormat="1" x14ac:dyDescent="0.2">
      <c r="A74" s="281" t="s">
        <v>13</v>
      </c>
      <c r="B74" s="218"/>
      <c r="C74" s="274"/>
      <c r="D74" s="150"/>
      <c r="E74" s="394"/>
      <c r="F74" s="266"/>
      <c r="G74" s="266"/>
      <c r="H74" s="150"/>
      <c r="I74" s="394"/>
      <c r="J74" s="275"/>
      <c r="K74" s="275"/>
      <c r="L74" s="150"/>
      <c r="M74" s="23"/>
      <c r="N74" s="132"/>
    </row>
    <row r="75" spans="1:14" s="3" customFormat="1" x14ac:dyDescent="0.2">
      <c r="A75" s="21" t="s">
        <v>308</v>
      </c>
      <c r="B75" s="217"/>
      <c r="C75" s="129"/>
      <c r="D75" s="150"/>
      <c r="E75" s="27"/>
      <c r="F75" s="217"/>
      <c r="G75" s="129"/>
      <c r="H75" s="150"/>
      <c r="I75" s="27"/>
      <c r="J75" s="272"/>
      <c r="K75" s="44"/>
      <c r="L75" s="242"/>
      <c r="M75" s="27"/>
      <c r="N75" s="132"/>
    </row>
    <row r="76" spans="1:14" s="3" customFormat="1" x14ac:dyDescent="0.2">
      <c r="A76" s="21" t="s">
        <v>307</v>
      </c>
      <c r="B76" s="217"/>
      <c r="C76" s="129"/>
      <c r="D76" s="150"/>
      <c r="E76" s="27"/>
      <c r="F76" s="217"/>
      <c r="G76" s="129"/>
      <c r="H76" s="150"/>
      <c r="I76" s="27"/>
      <c r="J76" s="272"/>
      <c r="K76" s="44"/>
      <c r="L76" s="242"/>
      <c r="M76" s="27"/>
      <c r="N76" s="132"/>
    </row>
    <row r="77" spans="1:14" ht="15.75" x14ac:dyDescent="0.2">
      <c r="A77" s="21" t="s">
        <v>338</v>
      </c>
      <c r="B77" s="217"/>
      <c r="C77" s="217"/>
      <c r="D77" s="150"/>
      <c r="E77" s="27"/>
      <c r="F77" s="217"/>
      <c r="G77" s="129"/>
      <c r="H77" s="150"/>
      <c r="I77" s="27"/>
      <c r="J77" s="272"/>
      <c r="K77" s="44"/>
      <c r="L77" s="242"/>
      <c r="M77" s="27"/>
    </row>
    <row r="78" spans="1:14" x14ac:dyDescent="0.2">
      <c r="A78" s="21" t="s">
        <v>9</v>
      </c>
      <c r="B78" s="217"/>
      <c r="C78" s="129"/>
      <c r="D78" s="150"/>
      <c r="E78" s="27"/>
      <c r="F78" s="217"/>
      <c r="G78" s="129"/>
      <c r="H78" s="150"/>
      <c r="I78" s="27"/>
      <c r="J78" s="272"/>
      <c r="K78" s="44"/>
      <c r="L78" s="242"/>
      <c r="M78" s="27"/>
    </row>
    <row r="79" spans="1:14" x14ac:dyDescent="0.2">
      <c r="A79" s="38" t="s">
        <v>366</v>
      </c>
      <c r="B79" s="277"/>
      <c r="C79" s="278"/>
      <c r="D79" s="150"/>
      <c r="E79" s="27"/>
      <c r="F79" s="277"/>
      <c r="G79" s="278"/>
      <c r="H79" s="150"/>
      <c r="I79" s="27"/>
      <c r="J79" s="272"/>
      <c r="K79" s="44"/>
      <c r="L79" s="242"/>
      <c r="M79" s="27"/>
    </row>
    <row r="80" spans="1:14" ht="15.75" x14ac:dyDescent="0.2">
      <c r="A80" s="281" t="s">
        <v>336</v>
      </c>
      <c r="B80" s="266"/>
      <c r="C80" s="266"/>
      <c r="D80" s="150"/>
      <c r="E80" s="394"/>
      <c r="F80" s="266"/>
      <c r="G80" s="266"/>
      <c r="H80" s="150"/>
      <c r="I80" s="394"/>
      <c r="J80" s="275"/>
      <c r="K80" s="275"/>
      <c r="L80" s="150"/>
      <c r="M80" s="23"/>
    </row>
    <row r="81" spans="1:13" x14ac:dyDescent="0.2">
      <c r="A81" s="281" t="s">
        <v>12</v>
      </c>
      <c r="B81" s="218"/>
      <c r="C81" s="274"/>
      <c r="D81" s="150"/>
      <c r="E81" s="394"/>
      <c r="F81" s="266"/>
      <c r="G81" s="266"/>
      <c r="H81" s="150"/>
      <c r="I81" s="394"/>
      <c r="J81" s="275"/>
      <c r="K81" s="275"/>
      <c r="L81" s="150"/>
      <c r="M81" s="23"/>
    </row>
    <row r="82" spans="1:13" x14ac:dyDescent="0.2">
      <c r="A82" s="281" t="s">
        <v>13</v>
      </c>
      <c r="B82" s="218"/>
      <c r="C82" s="274"/>
      <c r="D82" s="150"/>
      <c r="E82" s="394"/>
      <c r="F82" s="266"/>
      <c r="G82" s="266"/>
      <c r="H82" s="150"/>
      <c r="I82" s="394"/>
      <c r="J82" s="275"/>
      <c r="K82" s="275"/>
      <c r="L82" s="150"/>
      <c r="M82" s="23"/>
    </row>
    <row r="83" spans="1:13" ht="15.75" x14ac:dyDescent="0.2">
      <c r="A83" s="281" t="s">
        <v>337</v>
      </c>
      <c r="B83" s="266"/>
      <c r="C83" s="266"/>
      <c r="D83" s="150"/>
      <c r="E83" s="394"/>
      <c r="F83" s="266"/>
      <c r="G83" s="266"/>
      <c r="H83" s="150"/>
      <c r="I83" s="394"/>
      <c r="J83" s="275"/>
      <c r="K83" s="275"/>
      <c r="L83" s="150"/>
      <c r="M83" s="23"/>
    </row>
    <row r="84" spans="1:13" x14ac:dyDescent="0.2">
      <c r="A84" s="281" t="s">
        <v>12</v>
      </c>
      <c r="B84" s="218"/>
      <c r="C84" s="274"/>
      <c r="D84" s="150"/>
      <c r="E84" s="394"/>
      <c r="F84" s="266"/>
      <c r="G84" s="266"/>
      <c r="H84" s="150"/>
      <c r="I84" s="394"/>
      <c r="J84" s="275"/>
      <c r="K84" s="275"/>
      <c r="L84" s="150"/>
      <c r="M84" s="23"/>
    </row>
    <row r="85" spans="1:13" x14ac:dyDescent="0.2">
      <c r="A85" s="281" t="s">
        <v>13</v>
      </c>
      <c r="B85" s="218"/>
      <c r="C85" s="274"/>
      <c r="D85" s="150"/>
      <c r="E85" s="394"/>
      <c r="F85" s="266"/>
      <c r="G85" s="266"/>
      <c r="H85" s="150"/>
      <c r="I85" s="394"/>
      <c r="J85" s="275"/>
      <c r="K85" s="275"/>
      <c r="L85" s="150"/>
      <c r="M85" s="23"/>
    </row>
    <row r="86" spans="1:13" ht="15.75" x14ac:dyDescent="0.2">
      <c r="A86" s="21" t="s">
        <v>339</v>
      </c>
      <c r="B86" s="217"/>
      <c r="C86" s="129"/>
      <c r="D86" s="150"/>
      <c r="E86" s="27"/>
      <c r="F86" s="217"/>
      <c r="G86" s="129"/>
      <c r="H86" s="150"/>
      <c r="I86" s="27"/>
      <c r="J86" s="272"/>
      <c r="K86" s="44"/>
      <c r="L86" s="242"/>
      <c r="M86" s="27"/>
    </row>
    <row r="87" spans="1:13" ht="15.75" x14ac:dyDescent="0.2">
      <c r="A87" s="13" t="s">
        <v>321</v>
      </c>
      <c r="B87" s="337"/>
      <c r="C87" s="337"/>
      <c r="D87" s="155"/>
      <c r="E87" s="11"/>
      <c r="F87" s="336"/>
      <c r="G87" s="336"/>
      <c r="H87" s="155"/>
      <c r="I87" s="11"/>
      <c r="J87" s="294"/>
      <c r="K87" s="219"/>
      <c r="L87" s="405"/>
      <c r="M87" s="11"/>
    </row>
    <row r="88" spans="1:13" x14ac:dyDescent="0.2">
      <c r="A88" s="21" t="s">
        <v>9</v>
      </c>
      <c r="B88" s="217"/>
      <c r="C88" s="129"/>
      <c r="D88" s="150"/>
      <c r="E88" s="27"/>
      <c r="F88" s="217"/>
      <c r="G88" s="129"/>
      <c r="H88" s="150"/>
      <c r="I88" s="27"/>
      <c r="J88" s="272"/>
      <c r="K88" s="44"/>
      <c r="L88" s="242"/>
      <c r="M88" s="27"/>
    </row>
    <row r="89" spans="1:13" x14ac:dyDescent="0.2">
      <c r="A89" s="21" t="s">
        <v>10</v>
      </c>
      <c r="B89" s="217"/>
      <c r="C89" s="129"/>
      <c r="D89" s="150"/>
      <c r="E89" s="27"/>
      <c r="F89" s="217"/>
      <c r="G89" s="129"/>
      <c r="H89" s="150"/>
      <c r="I89" s="27"/>
      <c r="J89" s="272"/>
      <c r="K89" s="44"/>
      <c r="L89" s="242"/>
      <c r="M89" s="27"/>
    </row>
    <row r="90" spans="1:13" ht="15.75" x14ac:dyDescent="0.2">
      <c r="A90" s="281" t="s">
        <v>336</v>
      </c>
      <c r="B90" s="266"/>
      <c r="C90" s="266"/>
      <c r="D90" s="150"/>
      <c r="E90" s="394"/>
      <c r="F90" s="266"/>
      <c r="G90" s="266"/>
      <c r="H90" s="150"/>
      <c r="I90" s="394"/>
      <c r="J90" s="275"/>
      <c r="K90" s="275"/>
      <c r="L90" s="150"/>
      <c r="M90" s="23"/>
    </row>
    <row r="91" spans="1:13" x14ac:dyDescent="0.2">
      <c r="A91" s="281" t="s">
        <v>12</v>
      </c>
      <c r="B91" s="218"/>
      <c r="C91" s="274"/>
      <c r="D91" s="150"/>
      <c r="E91" s="394"/>
      <c r="F91" s="266"/>
      <c r="G91" s="266"/>
      <c r="H91" s="150"/>
      <c r="I91" s="394"/>
      <c r="J91" s="275"/>
      <c r="K91" s="275"/>
      <c r="L91" s="150"/>
      <c r="M91" s="23"/>
    </row>
    <row r="92" spans="1:13" x14ac:dyDescent="0.2">
      <c r="A92" s="281" t="s">
        <v>13</v>
      </c>
      <c r="B92" s="218"/>
      <c r="C92" s="274"/>
      <c r="D92" s="150"/>
      <c r="E92" s="394"/>
      <c r="F92" s="266"/>
      <c r="G92" s="266"/>
      <c r="H92" s="150"/>
      <c r="I92" s="394"/>
      <c r="J92" s="275"/>
      <c r="K92" s="275"/>
      <c r="L92" s="150"/>
      <c r="M92" s="23"/>
    </row>
    <row r="93" spans="1:13" ht="15.75" x14ac:dyDescent="0.2">
      <c r="A93" s="281" t="s">
        <v>337</v>
      </c>
      <c r="B93" s="266"/>
      <c r="C93" s="266"/>
      <c r="D93" s="150"/>
      <c r="E93" s="394"/>
      <c r="F93" s="266"/>
      <c r="G93" s="266"/>
      <c r="H93" s="150"/>
      <c r="I93" s="394"/>
      <c r="J93" s="275"/>
      <c r="K93" s="275"/>
      <c r="L93" s="150"/>
      <c r="M93" s="23"/>
    </row>
    <row r="94" spans="1:13" x14ac:dyDescent="0.2">
      <c r="A94" s="281" t="s">
        <v>12</v>
      </c>
      <c r="B94" s="218"/>
      <c r="C94" s="274"/>
      <c r="D94" s="150"/>
      <c r="E94" s="394"/>
      <c r="F94" s="266"/>
      <c r="G94" s="266"/>
      <c r="H94" s="150"/>
      <c r="I94" s="394"/>
      <c r="J94" s="275"/>
      <c r="K94" s="275"/>
      <c r="L94" s="150"/>
      <c r="M94" s="23"/>
    </row>
    <row r="95" spans="1:13" x14ac:dyDescent="0.2">
      <c r="A95" s="281" t="s">
        <v>13</v>
      </c>
      <c r="B95" s="218"/>
      <c r="C95" s="274"/>
      <c r="D95" s="150"/>
      <c r="E95" s="394"/>
      <c r="F95" s="266"/>
      <c r="G95" s="266"/>
      <c r="H95" s="150"/>
      <c r="I95" s="394"/>
      <c r="J95" s="275"/>
      <c r="K95" s="275"/>
      <c r="L95" s="150"/>
      <c r="M95" s="23"/>
    </row>
    <row r="96" spans="1:13" x14ac:dyDescent="0.2">
      <c r="A96" s="21" t="s">
        <v>306</v>
      </c>
      <c r="B96" s="217"/>
      <c r="C96" s="129"/>
      <c r="D96" s="150"/>
      <c r="E96" s="27"/>
      <c r="F96" s="217"/>
      <c r="G96" s="129"/>
      <c r="H96" s="150"/>
      <c r="I96" s="27"/>
      <c r="J96" s="272"/>
      <c r="K96" s="44"/>
      <c r="L96" s="242"/>
      <c r="M96" s="27"/>
    </row>
    <row r="97" spans="1:13" x14ac:dyDescent="0.2">
      <c r="A97" s="21" t="s">
        <v>305</v>
      </c>
      <c r="B97" s="217"/>
      <c r="C97" s="129"/>
      <c r="D97" s="150"/>
      <c r="E97" s="27"/>
      <c r="F97" s="217"/>
      <c r="G97" s="129"/>
      <c r="H97" s="150"/>
      <c r="I97" s="27"/>
      <c r="J97" s="272"/>
      <c r="K97" s="44"/>
      <c r="L97" s="242"/>
      <c r="M97" s="27"/>
    </row>
    <row r="98" spans="1:13" ht="15.75" x14ac:dyDescent="0.2">
      <c r="A98" s="21" t="s">
        <v>338</v>
      </c>
      <c r="B98" s="217"/>
      <c r="C98" s="217"/>
      <c r="D98" s="150"/>
      <c r="E98" s="27"/>
      <c r="F98" s="277"/>
      <c r="G98" s="277"/>
      <c r="H98" s="150"/>
      <c r="I98" s="27"/>
      <c r="J98" s="272"/>
      <c r="K98" s="44"/>
      <c r="L98" s="242"/>
      <c r="M98" s="27"/>
    </row>
    <row r="99" spans="1:13" x14ac:dyDescent="0.2">
      <c r="A99" s="21" t="s">
        <v>9</v>
      </c>
      <c r="B99" s="277"/>
      <c r="C99" s="278"/>
      <c r="D99" s="150"/>
      <c r="E99" s="27"/>
      <c r="F99" s="217"/>
      <c r="G99" s="129"/>
      <c r="H99" s="150"/>
      <c r="I99" s="27"/>
      <c r="J99" s="272"/>
      <c r="K99" s="44"/>
      <c r="L99" s="242"/>
      <c r="M99" s="27"/>
    </row>
    <row r="100" spans="1:13" x14ac:dyDescent="0.2">
      <c r="A100" s="38" t="s">
        <v>366</v>
      </c>
      <c r="B100" s="277"/>
      <c r="C100" s="278"/>
      <c r="D100" s="150"/>
      <c r="E100" s="27"/>
      <c r="F100" s="217"/>
      <c r="G100" s="217"/>
      <c r="H100" s="150"/>
      <c r="I100" s="27"/>
      <c r="J100" s="272"/>
      <c r="K100" s="44"/>
      <c r="L100" s="242"/>
      <c r="M100" s="27"/>
    </row>
    <row r="101" spans="1:13" ht="15.75" x14ac:dyDescent="0.2">
      <c r="A101" s="281" t="s">
        <v>336</v>
      </c>
      <c r="B101" s="266"/>
      <c r="C101" s="266"/>
      <c r="D101" s="150"/>
      <c r="E101" s="394"/>
      <c r="F101" s="266"/>
      <c r="G101" s="266"/>
      <c r="H101" s="150"/>
      <c r="I101" s="394"/>
      <c r="J101" s="275"/>
      <c r="K101" s="275"/>
      <c r="L101" s="150"/>
      <c r="M101" s="23"/>
    </row>
    <row r="102" spans="1:13" x14ac:dyDescent="0.2">
      <c r="A102" s="281" t="s">
        <v>12</v>
      </c>
      <c r="B102" s="218"/>
      <c r="C102" s="274"/>
      <c r="D102" s="150"/>
      <c r="E102" s="394"/>
      <c r="F102" s="266"/>
      <c r="G102" s="266"/>
      <c r="H102" s="150"/>
      <c r="I102" s="394"/>
      <c r="J102" s="275"/>
      <c r="K102" s="275"/>
      <c r="L102" s="150"/>
      <c r="M102" s="23"/>
    </row>
    <row r="103" spans="1:13" x14ac:dyDescent="0.2">
      <c r="A103" s="281" t="s">
        <v>13</v>
      </c>
      <c r="B103" s="218"/>
      <c r="C103" s="274"/>
      <c r="D103" s="150"/>
      <c r="E103" s="394"/>
      <c r="F103" s="266"/>
      <c r="G103" s="266"/>
      <c r="H103" s="150"/>
      <c r="I103" s="394"/>
      <c r="J103" s="275"/>
      <c r="K103" s="275"/>
      <c r="L103" s="150"/>
      <c r="M103" s="23"/>
    </row>
    <row r="104" spans="1:13" ht="15.75" x14ac:dyDescent="0.2">
      <c r="A104" s="281" t="s">
        <v>337</v>
      </c>
      <c r="B104" s="266"/>
      <c r="C104" s="266"/>
      <c r="D104" s="150"/>
      <c r="E104" s="394"/>
      <c r="F104" s="266"/>
      <c r="G104" s="266"/>
      <c r="H104" s="150"/>
      <c r="I104" s="394"/>
      <c r="J104" s="275"/>
      <c r="K104" s="275"/>
      <c r="L104" s="150"/>
      <c r="M104" s="23"/>
    </row>
    <row r="105" spans="1:13" x14ac:dyDescent="0.2">
      <c r="A105" s="281" t="s">
        <v>12</v>
      </c>
      <c r="B105" s="218"/>
      <c r="C105" s="274"/>
      <c r="D105" s="150"/>
      <c r="E105" s="394"/>
      <c r="F105" s="266"/>
      <c r="G105" s="266"/>
      <c r="H105" s="150"/>
      <c r="I105" s="394"/>
      <c r="J105" s="275"/>
      <c r="K105" s="275"/>
      <c r="L105" s="150"/>
      <c r="M105" s="23"/>
    </row>
    <row r="106" spans="1:13" x14ac:dyDescent="0.2">
      <c r="A106" s="281" t="s">
        <v>13</v>
      </c>
      <c r="B106" s="218"/>
      <c r="C106" s="274"/>
      <c r="D106" s="150"/>
      <c r="E106" s="394"/>
      <c r="F106" s="266"/>
      <c r="G106" s="266"/>
      <c r="H106" s="150"/>
      <c r="I106" s="394"/>
      <c r="J106" s="275"/>
      <c r="K106" s="275"/>
      <c r="L106" s="150"/>
      <c r="M106" s="23"/>
    </row>
    <row r="107" spans="1:13" ht="15.75" x14ac:dyDescent="0.2">
      <c r="A107" s="21" t="s">
        <v>339</v>
      </c>
      <c r="B107" s="217"/>
      <c r="C107" s="129"/>
      <c r="D107" s="150"/>
      <c r="E107" s="27"/>
      <c r="F107" s="217"/>
      <c r="G107" s="129"/>
      <c r="H107" s="150"/>
      <c r="I107" s="27"/>
      <c r="J107" s="272"/>
      <c r="K107" s="44"/>
      <c r="L107" s="242"/>
      <c r="M107" s="27"/>
    </row>
    <row r="108" spans="1:13" ht="15.75" x14ac:dyDescent="0.2">
      <c r="A108" s="21" t="s">
        <v>340</v>
      </c>
      <c r="B108" s="217"/>
      <c r="C108" s="217"/>
      <c r="D108" s="150"/>
      <c r="E108" s="27"/>
      <c r="F108" s="217"/>
      <c r="G108" s="217"/>
      <c r="H108" s="150"/>
      <c r="I108" s="27"/>
      <c r="J108" s="272"/>
      <c r="K108" s="44"/>
      <c r="L108" s="242"/>
      <c r="M108" s="27"/>
    </row>
    <row r="109" spans="1:13" ht="15.75" x14ac:dyDescent="0.2">
      <c r="A109" s="38" t="s">
        <v>374</v>
      </c>
      <c r="B109" s="217"/>
      <c r="C109" s="217"/>
      <c r="D109" s="150"/>
      <c r="E109" s="27"/>
      <c r="F109" s="217"/>
      <c r="G109" s="217"/>
      <c r="H109" s="150"/>
      <c r="I109" s="27"/>
      <c r="J109" s="272"/>
      <c r="K109" s="44"/>
      <c r="L109" s="242"/>
      <c r="M109" s="27"/>
    </row>
    <row r="110" spans="1:13" ht="15.75" x14ac:dyDescent="0.2">
      <c r="A110" s="21" t="s">
        <v>341</v>
      </c>
      <c r="B110" s="217"/>
      <c r="C110" s="217"/>
      <c r="D110" s="150"/>
      <c r="E110" s="27"/>
      <c r="F110" s="217"/>
      <c r="G110" s="217"/>
      <c r="H110" s="150"/>
      <c r="I110" s="27"/>
      <c r="J110" s="272"/>
      <c r="K110" s="44"/>
      <c r="L110" s="242"/>
      <c r="M110" s="27"/>
    </row>
    <row r="111" spans="1:13" ht="15.75" x14ac:dyDescent="0.2">
      <c r="A111" s="13" t="s">
        <v>322</v>
      </c>
      <c r="B111" s="293"/>
      <c r="C111" s="143"/>
      <c r="D111" s="155"/>
      <c r="E111" s="11"/>
      <c r="F111" s="293"/>
      <c r="G111" s="143"/>
      <c r="H111" s="155"/>
      <c r="I111" s="11"/>
      <c r="J111" s="294"/>
      <c r="K111" s="219"/>
      <c r="L111" s="405"/>
      <c r="M111" s="11"/>
    </row>
    <row r="112" spans="1:13" x14ac:dyDescent="0.2">
      <c r="A112" s="21" t="s">
        <v>9</v>
      </c>
      <c r="B112" s="217"/>
      <c r="C112" s="129"/>
      <c r="D112" s="150"/>
      <c r="E112" s="27"/>
      <c r="F112" s="217"/>
      <c r="G112" s="129"/>
      <c r="H112" s="150"/>
      <c r="I112" s="27"/>
      <c r="J112" s="272"/>
      <c r="K112" s="44"/>
      <c r="L112" s="242"/>
      <c r="M112" s="27"/>
    </row>
    <row r="113" spans="1:14" x14ac:dyDescent="0.2">
      <c r="A113" s="21" t="s">
        <v>10</v>
      </c>
      <c r="B113" s="217"/>
      <c r="C113" s="129"/>
      <c r="D113" s="150"/>
      <c r="E113" s="27"/>
      <c r="F113" s="217"/>
      <c r="G113" s="129"/>
      <c r="H113" s="150"/>
      <c r="I113" s="27"/>
      <c r="J113" s="272"/>
      <c r="K113" s="44"/>
      <c r="L113" s="242"/>
      <c r="M113" s="27"/>
    </row>
    <row r="114" spans="1:14" x14ac:dyDescent="0.2">
      <c r="A114" s="21" t="s">
        <v>26</v>
      </c>
      <c r="B114" s="217"/>
      <c r="C114" s="129"/>
      <c r="D114" s="150"/>
      <c r="E114" s="27"/>
      <c r="F114" s="217"/>
      <c r="G114" s="129"/>
      <c r="H114" s="150"/>
      <c r="I114" s="27"/>
      <c r="J114" s="272"/>
      <c r="K114" s="44"/>
      <c r="L114" s="242"/>
      <c r="M114" s="27"/>
    </row>
    <row r="115" spans="1:14" x14ac:dyDescent="0.2">
      <c r="A115" s="281" t="s">
        <v>15</v>
      </c>
      <c r="B115" s="266"/>
      <c r="C115" s="266"/>
      <c r="D115" s="150"/>
      <c r="E115" s="394"/>
      <c r="F115" s="266"/>
      <c r="G115" s="266"/>
      <c r="H115" s="150"/>
      <c r="I115" s="394"/>
      <c r="J115" s="275"/>
      <c r="K115" s="275"/>
      <c r="L115" s="150"/>
      <c r="M115" s="23"/>
    </row>
    <row r="116" spans="1:14" ht="15.75" x14ac:dyDescent="0.2">
      <c r="A116" s="21" t="s">
        <v>342</v>
      </c>
      <c r="B116" s="217"/>
      <c r="C116" s="217"/>
      <c r="D116" s="150"/>
      <c r="E116" s="27"/>
      <c r="F116" s="217"/>
      <c r="G116" s="217"/>
      <c r="H116" s="150"/>
      <c r="I116" s="27"/>
      <c r="J116" s="272"/>
      <c r="K116" s="44"/>
      <c r="L116" s="242"/>
      <c r="M116" s="27"/>
    </row>
    <row r="117" spans="1:14" ht="15.75" x14ac:dyDescent="0.2">
      <c r="A117" s="38" t="s">
        <v>374</v>
      </c>
      <c r="B117" s="217"/>
      <c r="C117" s="217"/>
      <c r="D117" s="150"/>
      <c r="E117" s="27"/>
      <c r="F117" s="217"/>
      <c r="G117" s="217"/>
      <c r="H117" s="150"/>
      <c r="I117" s="27"/>
      <c r="J117" s="272"/>
      <c r="K117" s="44"/>
      <c r="L117" s="242"/>
      <c r="M117" s="27"/>
    </row>
    <row r="118" spans="1:14" ht="15.75" x14ac:dyDescent="0.2">
      <c r="A118" s="21" t="s">
        <v>341</v>
      </c>
      <c r="B118" s="217"/>
      <c r="C118" s="217"/>
      <c r="D118" s="150"/>
      <c r="E118" s="27"/>
      <c r="F118" s="217"/>
      <c r="G118" s="217"/>
      <c r="H118" s="150"/>
      <c r="I118" s="27"/>
      <c r="J118" s="272"/>
      <c r="K118" s="44"/>
      <c r="L118" s="242"/>
      <c r="M118" s="27"/>
    </row>
    <row r="119" spans="1:14" ht="15.75" x14ac:dyDescent="0.2">
      <c r="A119" s="13" t="s">
        <v>323</v>
      </c>
      <c r="B119" s="293"/>
      <c r="C119" s="143"/>
      <c r="D119" s="155"/>
      <c r="E119" s="11"/>
      <c r="F119" s="293"/>
      <c r="G119" s="143"/>
      <c r="H119" s="155"/>
      <c r="I119" s="11"/>
      <c r="J119" s="294"/>
      <c r="K119" s="219"/>
      <c r="L119" s="405"/>
      <c r="M119" s="11"/>
    </row>
    <row r="120" spans="1:14" x14ac:dyDescent="0.2">
      <c r="A120" s="21" t="s">
        <v>9</v>
      </c>
      <c r="B120" s="217"/>
      <c r="C120" s="129"/>
      <c r="D120" s="150"/>
      <c r="E120" s="27"/>
      <c r="F120" s="217"/>
      <c r="G120" s="129"/>
      <c r="H120" s="150"/>
      <c r="I120" s="27"/>
      <c r="J120" s="272"/>
      <c r="K120" s="44"/>
      <c r="L120" s="242"/>
      <c r="M120" s="27"/>
    </row>
    <row r="121" spans="1:14" x14ac:dyDescent="0.2">
      <c r="A121" s="21" t="s">
        <v>10</v>
      </c>
      <c r="B121" s="217"/>
      <c r="C121" s="129"/>
      <c r="D121" s="150"/>
      <c r="E121" s="27"/>
      <c r="F121" s="217"/>
      <c r="G121" s="129"/>
      <c r="H121" s="150"/>
      <c r="I121" s="27"/>
      <c r="J121" s="272"/>
      <c r="K121" s="44"/>
      <c r="L121" s="242"/>
      <c r="M121" s="27"/>
    </row>
    <row r="122" spans="1:14" x14ac:dyDescent="0.2">
      <c r="A122" s="21" t="s">
        <v>26</v>
      </c>
      <c r="B122" s="217"/>
      <c r="C122" s="129"/>
      <c r="D122" s="150"/>
      <c r="E122" s="27"/>
      <c r="F122" s="217"/>
      <c r="G122" s="129"/>
      <c r="H122" s="150"/>
      <c r="I122" s="27"/>
      <c r="J122" s="272"/>
      <c r="K122" s="44"/>
      <c r="L122" s="242"/>
      <c r="M122" s="27"/>
    </row>
    <row r="123" spans="1:14" x14ac:dyDescent="0.2">
      <c r="A123" s="281" t="s">
        <v>14</v>
      </c>
      <c r="B123" s="266"/>
      <c r="C123" s="266"/>
      <c r="D123" s="150"/>
      <c r="E123" s="394"/>
      <c r="F123" s="266"/>
      <c r="G123" s="266"/>
      <c r="H123" s="150"/>
      <c r="I123" s="394"/>
      <c r="J123" s="275"/>
      <c r="K123" s="275"/>
      <c r="L123" s="150"/>
      <c r="M123" s="23"/>
    </row>
    <row r="124" spans="1:14" ht="15.75" x14ac:dyDescent="0.2">
      <c r="A124" s="21" t="s">
        <v>347</v>
      </c>
      <c r="B124" s="217"/>
      <c r="C124" s="217"/>
      <c r="D124" s="150"/>
      <c r="E124" s="27"/>
      <c r="F124" s="217"/>
      <c r="G124" s="217"/>
      <c r="H124" s="150"/>
      <c r="I124" s="27"/>
      <c r="J124" s="272"/>
      <c r="K124" s="44"/>
      <c r="L124" s="242"/>
      <c r="M124" s="27"/>
    </row>
    <row r="125" spans="1:14" ht="15.75" x14ac:dyDescent="0.2">
      <c r="A125" s="38" t="s">
        <v>374</v>
      </c>
      <c r="B125" s="217"/>
      <c r="C125" s="217"/>
      <c r="D125" s="150"/>
      <c r="E125" s="27"/>
      <c r="F125" s="217"/>
      <c r="G125" s="217"/>
      <c r="H125" s="150"/>
      <c r="I125" s="27"/>
      <c r="J125" s="272"/>
      <c r="K125" s="44"/>
      <c r="L125" s="242"/>
      <c r="M125" s="27"/>
    </row>
    <row r="126" spans="1:14" ht="15.75" x14ac:dyDescent="0.2">
      <c r="A126" s="10" t="s">
        <v>341</v>
      </c>
      <c r="B126" s="45"/>
      <c r="C126" s="45"/>
      <c r="D126" s="151"/>
      <c r="E126" s="395"/>
      <c r="F126" s="45"/>
      <c r="G126" s="45"/>
      <c r="H126" s="151"/>
      <c r="I126" s="22"/>
      <c r="J126" s="273"/>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04"/>
      <c r="C130" s="704"/>
      <c r="D130" s="704"/>
      <c r="E130" s="284"/>
      <c r="F130" s="704"/>
      <c r="G130" s="704"/>
      <c r="H130" s="704"/>
      <c r="I130" s="284"/>
      <c r="J130" s="704"/>
      <c r="K130" s="704"/>
      <c r="L130" s="704"/>
      <c r="M130" s="284"/>
    </row>
    <row r="131" spans="1:14" s="3" customFormat="1" x14ac:dyDescent="0.2">
      <c r="A131" s="128"/>
      <c r="B131" s="705" t="s">
        <v>0</v>
      </c>
      <c r="C131" s="706"/>
      <c r="D131" s="706"/>
      <c r="E131" s="286"/>
      <c r="F131" s="705" t="s">
        <v>1</v>
      </c>
      <c r="G131" s="706"/>
      <c r="H131" s="706"/>
      <c r="I131" s="289"/>
      <c r="J131" s="705" t="s">
        <v>2</v>
      </c>
      <c r="K131" s="706"/>
      <c r="L131" s="706"/>
      <c r="M131" s="289"/>
      <c r="N131" s="132"/>
    </row>
    <row r="132" spans="1:14" s="3" customFormat="1" x14ac:dyDescent="0.2">
      <c r="A132" s="124"/>
      <c r="B132" s="136" t="s">
        <v>421</v>
      </c>
      <c r="C132" s="136" t="s">
        <v>422</v>
      </c>
      <c r="D132" s="229" t="s">
        <v>3</v>
      </c>
      <c r="E132" s="290" t="s">
        <v>29</v>
      </c>
      <c r="F132" s="136" t="s">
        <v>421</v>
      </c>
      <c r="G132" s="136" t="s">
        <v>422</v>
      </c>
      <c r="H132" s="190" t="s">
        <v>3</v>
      </c>
      <c r="I132" s="146" t="s">
        <v>29</v>
      </c>
      <c r="J132" s="230" t="s">
        <v>421</v>
      </c>
      <c r="K132" s="230" t="s">
        <v>422</v>
      </c>
      <c r="L132" s="231" t="s">
        <v>3</v>
      </c>
      <c r="M132" s="146" t="s">
        <v>29</v>
      </c>
      <c r="N132" s="132"/>
    </row>
    <row r="133" spans="1:14" s="3" customFormat="1" x14ac:dyDescent="0.2">
      <c r="A133" s="682"/>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343</v>
      </c>
      <c r="B134" s="219"/>
      <c r="C134" s="294"/>
      <c r="D134" s="334"/>
      <c r="E134" s="11"/>
      <c r="F134" s="301"/>
      <c r="G134" s="302"/>
      <c r="H134" s="408"/>
      <c r="I134" s="24"/>
      <c r="J134" s="303"/>
      <c r="K134" s="303"/>
      <c r="L134" s="404"/>
      <c r="M134" s="11"/>
      <c r="N134" s="132"/>
    </row>
    <row r="135" spans="1:14" s="3" customFormat="1" ht="15.75" x14ac:dyDescent="0.2">
      <c r="A135" s="13" t="s">
        <v>348</v>
      </c>
      <c r="B135" s="219"/>
      <c r="C135" s="294"/>
      <c r="D135" s="155"/>
      <c r="E135" s="11"/>
      <c r="F135" s="219"/>
      <c r="G135" s="294"/>
      <c r="H135" s="409"/>
      <c r="I135" s="24"/>
      <c r="J135" s="293"/>
      <c r="K135" s="293"/>
      <c r="L135" s="405"/>
      <c r="M135" s="11"/>
      <c r="N135" s="132"/>
    </row>
    <row r="136" spans="1:14" s="3" customFormat="1" ht="15.75" x14ac:dyDescent="0.2">
      <c r="A136" s="13" t="s">
        <v>345</v>
      </c>
      <c r="B136" s="219"/>
      <c r="C136" s="294"/>
      <c r="D136" s="155"/>
      <c r="E136" s="11"/>
      <c r="F136" s="219"/>
      <c r="G136" s="294"/>
      <c r="H136" s="409"/>
      <c r="I136" s="24"/>
      <c r="J136" s="293"/>
      <c r="K136" s="293"/>
      <c r="L136" s="405"/>
      <c r="M136" s="11"/>
      <c r="N136" s="132"/>
    </row>
    <row r="137" spans="1:14" s="3" customFormat="1" ht="15.75" x14ac:dyDescent="0.2">
      <c r="A137" s="41" t="s">
        <v>346</v>
      </c>
      <c r="B137" s="261"/>
      <c r="C137" s="300"/>
      <c r="D137" s="153"/>
      <c r="E137" s="9"/>
      <c r="F137" s="261"/>
      <c r="G137" s="300"/>
      <c r="H137" s="410"/>
      <c r="I137" s="36"/>
      <c r="J137" s="299"/>
      <c r="K137" s="299"/>
      <c r="L137" s="406"/>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448" priority="132">
      <formula>kvartal &lt; 4</formula>
    </cfRule>
  </conditionalFormatting>
  <conditionalFormatting sqref="B69">
    <cfRule type="expression" dxfId="1447" priority="100">
      <formula>kvartal &lt; 4</formula>
    </cfRule>
  </conditionalFormatting>
  <conditionalFormatting sqref="C69">
    <cfRule type="expression" dxfId="1446" priority="99">
      <formula>kvartal &lt; 4</formula>
    </cfRule>
  </conditionalFormatting>
  <conditionalFormatting sqref="B72">
    <cfRule type="expression" dxfId="1445" priority="98">
      <formula>kvartal &lt; 4</formula>
    </cfRule>
  </conditionalFormatting>
  <conditionalFormatting sqref="C72">
    <cfRule type="expression" dxfId="1444" priority="97">
      <formula>kvartal &lt; 4</formula>
    </cfRule>
  </conditionalFormatting>
  <conditionalFormatting sqref="B80">
    <cfRule type="expression" dxfId="1443" priority="96">
      <formula>kvartal &lt; 4</formula>
    </cfRule>
  </conditionalFormatting>
  <conditionalFormatting sqref="C80">
    <cfRule type="expression" dxfId="1442" priority="95">
      <formula>kvartal &lt; 4</formula>
    </cfRule>
  </conditionalFormatting>
  <conditionalFormatting sqref="B83">
    <cfRule type="expression" dxfId="1441" priority="94">
      <formula>kvartal &lt; 4</formula>
    </cfRule>
  </conditionalFormatting>
  <conditionalFormatting sqref="C83">
    <cfRule type="expression" dxfId="1440" priority="93">
      <formula>kvartal &lt; 4</formula>
    </cfRule>
  </conditionalFormatting>
  <conditionalFormatting sqref="B90">
    <cfRule type="expression" dxfId="1439" priority="84">
      <formula>kvartal &lt; 4</formula>
    </cfRule>
  </conditionalFormatting>
  <conditionalFormatting sqref="C90">
    <cfRule type="expression" dxfId="1438" priority="83">
      <formula>kvartal &lt; 4</formula>
    </cfRule>
  </conditionalFormatting>
  <conditionalFormatting sqref="B93">
    <cfRule type="expression" dxfId="1437" priority="82">
      <formula>kvartal &lt; 4</formula>
    </cfRule>
  </conditionalFormatting>
  <conditionalFormatting sqref="C93">
    <cfRule type="expression" dxfId="1436" priority="81">
      <formula>kvartal &lt; 4</formula>
    </cfRule>
  </conditionalFormatting>
  <conditionalFormatting sqref="B101">
    <cfRule type="expression" dxfId="1435" priority="80">
      <formula>kvartal &lt; 4</formula>
    </cfRule>
  </conditionalFormatting>
  <conditionalFormatting sqref="C101">
    <cfRule type="expression" dxfId="1434" priority="79">
      <formula>kvartal &lt; 4</formula>
    </cfRule>
  </conditionalFormatting>
  <conditionalFormatting sqref="B104">
    <cfRule type="expression" dxfId="1433" priority="78">
      <formula>kvartal &lt; 4</formula>
    </cfRule>
  </conditionalFormatting>
  <conditionalFormatting sqref="C104">
    <cfRule type="expression" dxfId="1432" priority="77">
      <formula>kvartal &lt; 4</formula>
    </cfRule>
  </conditionalFormatting>
  <conditionalFormatting sqref="B115">
    <cfRule type="expression" dxfId="1431" priority="76">
      <formula>kvartal &lt; 4</formula>
    </cfRule>
  </conditionalFormatting>
  <conditionalFormatting sqref="C115">
    <cfRule type="expression" dxfId="1430" priority="75">
      <formula>kvartal &lt; 4</formula>
    </cfRule>
  </conditionalFormatting>
  <conditionalFormatting sqref="B123">
    <cfRule type="expression" dxfId="1429" priority="74">
      <formula>kvartal &lt; 4</formula>
    </cfRule>
  </conditionalFormatting>
  <conditionalFormatting sqref="C123">
    <cfRule type="expression" dxfId="1428" priority="73">
      <formula>kvartal &lt; 4</formula>
    </cfRule>
  </conditionalFormatting>
  <conditionalFormatting sqref="F70">
    <cfRule type="expression" dxfId="1427" priority="72">
      <formula>kvartal &lt; 4</formula>
    </cfRule>
  </conditionalFormatting>
  <conditionalFormatting sqref="G70">
    <cfRule type="expression" dxfId="1426" priority="71">
      <formula>kvartal &lt; 4</formula>
    </cfRule>
  </conditionalFormatting>
  <conditionalFormatting sqref="F71:G71">
    <cfRule type="expression" dxfId="1425" priority="70">
      <formula>kvartal &lt; 4</formula>
    </cfRule>
  </conditionalFormatting>
  <conditionalFormatting sqref="F73:G74">
    <cfRule type="expression" dxfId="1424" priority="69">
      <formula>kvartal &lt; 4</formula>
    </cfRule>
  </conditionalFormatting>
  <conditionalFormatting sqref="F81:G82">
    <cfRule type="expression" dxfId="1423" priority="68">
      <formula>kvartal &lt; 4</formula>
    </cfRule>
  </conditionalFormatting>
  <conditionalFormatting sqref="F84:G85">
    <cfRule type="expression" dxfId="1422" priority="67">
      <formula>kvartal &lt; 4</formula>
    </cfRule>
  </conditionalFormatting>
  <conditionalFormatting sqref="F91:G92">
    <cfRule type="expression" dxfId="1421" priority="62">
      <formula>kvartal &lt; 4</formula>
    </cfRule>
  </conditionalFormatting>
  <conditionalFormatting sqref="F94:G95">
    <cfRule type="expression" dxfId="1420" priority="61">
      <formula>kvartal &lt; 4</formula>
    </cfRule>
  </conditionalFormatting>
  <conditionalFormatting sqref="F102:G103">
    <cfRule type="expression" dxfId="1419" priority="60">
      <formula>kvartal &lt; 4</formula>
    </cfRule>
  </conditionalFormatting>
  <conditionalFormatting sqref="F105:G106">
    <cfRule type="expression" dxfId="1418" priority="59">
      <formula>kvartal &lt; 4</formula>
    </cfRule>
  </conditionalFormatting>
  <conditionalFormatting sqref="F115">
    <cfRule type="expression" dxfId="1417" priority="58">
      <formula>kvartal &lt; 4</formula>
    </cfRule>
  </conditionalFormatting>
  <conditionalFormatting sqref="G115">
    <cfRule type="expression" dxfId="1416" priority="57">
      <formula>kvartal &lt; 4</formula>
    </cfRule>
  </conditionalFormatting>
  <conditionalFormatting sqref="F123:G123">
    <cfRule type="expression" dxfId="1415" priority="56">
      <formula>kvartal &lt; 4</formula>
    </cfRule>
  </conditionalFormatting>
  <conditionalFormatting sqref="F69:G69">
    <cfRule type="expression" dxfId="1414" priority="55">
      <formula>kvartal &lt; 4</formula>
    </cfRule>
  </conditionalFormatting>
  <conditionalFormatting sqref="F72:G72">
    <cfRule type="expression" dxfId="1413" priority="54">
      <formula>kvartal &lt; 4</formula>
    </cfRule>
  </conditionalFormatting>
  <conditionalFormatting sqref="F80:G80">
    <cfRule type="expression" dxfId="1412" priority="53">
      <formula>kvartal &lt; 4</formula>
    </cfRule>
  </conditionalFormatting>
  <conditionalFormatting sqref="F83:G83">
    <cfRule type="expression" dxfId="1411" priority="52">
      <formula>kvartal &lt; 4</formula>
    </cfRule>
  </conditionalFormatting>
  <conditionalFormatting sqref="F90:G90">
    <cfRule type="expression" dxfId="1410" priority="46">
      <formula>kvartal &lt; 4</formula>
    </cfRule>
  </conditionalFormatting>
  <conditionalFormatting sqref="F93">
    <cfRule type="expression" dxfId="1409" priority="45">
      <formula>kvartal &lt; 4</formula>
    </cfRule>
  </conditionalFormatting>
  <conditionalFormatting sqref="G93">
    <cfRule type="expression" dxfId="1408" priority="44">
      <formula>kvartal &lt; 4</formula>
    </cfRule>
  </conditionalFormatting>
  <conditionalFormatting sqref="F101">
    <cfRule type="expression" dxfId="1407" priority="43">
      <formula>kvartal &lt; 4</formula>
    </cfRule>
  </conditionalFormatting>
  <conditionalFormatting sqref="G101">
    <cfRule type="expression" dxfId="1406" priority="42">
      <formula>kvartal &lt; 4</formula>
    </cfRule>
  </conditionalFormatting>
  <conditionalFormatting sqref="G104">
    <cfRule type="expression" dxfId="1405" priority="41">
      <formula>kvartal &lt; 4</formula>
    </cfRule>
  </conditionalFormatting>
  <conditionalFormatting sqref="F104">
    <cfRule type="expression" dxfId="1404" priority="40">
      <formula>kvartal &lt; 4</formula>
    </cfRule>
  </conditionalFormatting>
  <conditionalFormatting sqref="J69:K73">
    <cfRule type="expression" dxfId="1403" priority="39">
      <formula>kvartal &lt; 4</formula>
    </cfRule>
  </conditionalFormatting>
  <conditionalFormatting sqref="J74:K74">
    <cfRule type="expression" dxfId="1402" priority="38">
      <formula>kvartal &lt; 4</formula>
    </cfRule>
  </conditionalFormatting>
  <conditionalFormatting sqref="J80:K85">
    <cfRule type="expression" dxfId="1401" priority="37">
      <formula>kvartal &lt; 4</formula>
    </cfRule>
  </conditionalFormatting>
  <conditionalFormatting sqref="J90:K95">
    <cfRule type="expression" dxfId="1400" priority="34">
      <formula>kvartal &lt; 4</formula>
    </cfRule>
  </conditionalFormatting>
  <conditionalFormatting sqref="J101:K106">
    <cfRule type="expression" dxfId="1399" priority="33">
      <formula>kvartal &lt; 4</formula>
    </cfRule>
  </conditionalFormatting>
  <conditionalFormatting sqref="J115:K115">
    <cfRule type="expression" dxfId="1398" priority="32">
      <formula>kvartal &lt; 4</formula>
    </cfRule>
  </conditionalFormatting>
  <conditionalFormatting sqref="J123:K123">
    <cfRule type="expression" dxfId="1397" priority="31">
      <formula>kvartal &lt; 4</formula>
    </cfRule>
  </conditionalFormatting>
  <conditionalFormatting sqref="A50:A52">
    <cfRule type="expression" dxfId="1396" priority="12">
      <formula>kvartal &lt; 4</formula>
    </cfRule>
  </conditionalFormatting>
  <conditionalFormatting sqref="A69:A74">
    <cfRule type="expression" dxfId="1395" priority="10">
      <formula>kvartal &lt; 4</formula>
    </cfRule>
  </conditionalFormatting>
  <conditionalFormatting sqref="A80:A85">
    <cfRule type="expression" dxfId="1394" priority="9">
      <formula>kvartal &lt; 4</formula>
    </cfRule>
  </conditionalFormatting>
  <conditionalFormatting sqref="A90:A95">
    <cfRule type="expression" dxfId="1393" priority="6">
      <formula>kvartal &lt; 4</formula>
    </cfRule>
  </conditionalFormatting>
  <conditionalFormatting sqref="A101:A106">
    <cfRule type="expression" dxfId="1392" priority="5">
      <formula>kvartal &lt; 4</formula>
    </cfRule>
  </conditionalFormatting>
  <conditionalFormatting sqref="A115">
    <cfRule type="expression" dxfId="1391" priority="4">
      <formula>kvartal &lt; 4</formula>
    </cfRule>
  </conditionalFormatting>
  <conditionalFormatting sqref="A123">
    <cfRule type="expression" dxfId="1390" priority="3">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f 6 9 7 3 f 7 - 0 8 c 0 - 4 5 7 9 - b f 5 c - 6 c 7 f a d 0 9 0 d 4 1 "   x m l n s = " h t t p : / / s c h e m a s . m i c r o s o f t . c o m / D a t a M a s h u p " > A A A A A A Y E A A B Q S w M E F A A C A A g A 7 U L D W O E M w p W m A A A A 9 w A A A B I A H A B D b 2 5 m a W c v U G F j a 2 F n Z S 5 4 b W w g o h g A K K A U A A A A A A A A A A A A A A A A A A A A A A A A A A A A h Y + x D o I w G I R f h X S n L T U Y Q 3 7 K 4 C p q Y m J c a 6 3 Q C M X Q Y n k 3 B x / J V x C j q J v j 3 X 2 X 3 N 2 v N 8 j 6 u g o u q r W 6 M S m K M E W B M r I 5 a F O k q H P H c I Y y D m s h T 6 J Q w Q A b m / R W p 6 h 0 7 p w Q 4 r 3 H f o K b t i C M 0 o j s 8 s V G l q o W o T b W C S M V + r Q O / 1 u I w / Y 1 h j M c M Y r j e B p j C m R 0 I d f m S 7 B h 8 D P 9 M W H e V a 5 r F T f 7 c L k C M k o g 7 x P 8 A V B L A w Q U A A I A C A D t Q s N 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U L D W A b 6 + e n + A A A A Y g E A A B M A H A B G b 3 J t d W x h c y 9 T Z W N 0 a W 9 u M S 5 t I K I Y A C i g F A A A A A A A A A A A A A A A A A A A A A A A A A A A A H 2 P w U r D Q B C G z w 3 0 H Y Y 9 l A b S E D 0 J I S C k Q a R Q l A Q t r E v Y N A P G b L J 1 s i m V 0 q O P 4 p P 0 x b q x R f H i X G Z g / m / + + T t c m 0 q 3 k J 7 7 V T h 2 x k 7 3 K g l L m E s j I Q K F x g F b D 5 J k g w b p C a m s 7 C L Z r V H 5 c U + E r X n W V B d a 1 1 N 3 z 5 d W F 7 E f P T J x 4 L F u j Z U J D 7 6 P L S p V o r 2 R v i t / 8 C l k h 1 O W 3 c 3 S 1 f w m m Q X B 9 c u 9 B a i V i n n A V L X N G 2 k n / t g j f U Q s W S U x 8 L L Q w u e b H I d P 8 g 1 h Z y 1 k 9 6 Z b 4 Y x G t 8 c v s h Y M J r D s m w L J z 3 S G O z P 9 m 4 Q f P 0 n s g 4 M L E + Y N W L 2 V Z K S 6 o P + z i 7 P 2 w g M L m X C d q v 3 N G J 4 A U E s B A i 0 A F A A C A A g A 7 U L D W O E M w p W m A A A A 9 w A A A B I A A A A A A A A A A A A A A A A A A A A A A E N v b m Z p Z y 9 Q Y W N r Y W d l L n h t b F B L A Q I t A B Q A A g A I A O 1 C w 1 g P y u m r p A A A A O k A A A A T A A A A A A A A A A A A A A A A A P I A A A B b Q 2 9 u d G V u d F 9 U e X B l c 1 0 u e G 1 s U E s B A i 0 A F A A C A A g A 7 U L D W A b 6 + e n + A A A A Y g E A A B M A A A A A A A A A A A A A A A A A 4 w E A A E Z v c m 1 1 b G F z L 1 N l Y 3 R p b 2 4 x L m 1 Q S w U G A A A A A A M A A w D C A A A A L g M A A A A A P Q 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T 5 Q d W J s a W M 8 L 1 d v c m t i b 2 9 r R 3 J v d X B U e X B l P j w v U G V y b W l z c 2 l v b k x p c 3 Q + o w w A A A A A A A C B D 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G F 0 Y T w v S X R l b V B h d G g + P C 9 J d G V t T G 9 j Y X R p b 2 4 + P F N 0 Y W J s Z U V u d H J p Z X M + P E V u d H J 5 I F R 5 c G U 9 I k l z U H J p d m F 0 Z S I g V m F s d W U 9 I m w w I i A v P j x F b n R y e S B U e X B l P S J C d W Z m Z X J O Z X h 0 U m V m c m V z a C I g V m F s d W U 9 I m w x I i A v P j x F b n R y e S B U e X B l P S J G a W x s R W 5 h Y m x l Z C I g V m F s d W U 9 I m w w I i A v P j x F b n R y e S B U e X B l P S J G a W x s V G 9 E Y X R h T W 9 k Z W x F b m F i b G V k I i B W Y W x 1 Z T 0 i b D A i I C 8 + P E V u d H J 5 I F R 5 c G U 9 I l J l c 3 V s d F R 5 c G U i I F Z h b H V l P S J z V G F i b G U i I C 8 + P E V u d H J 5 I F R 5 c G U 9 I k 5 h b W V V c G R h d G V k Q W Z 0 Z X J G a W x s I i B W Y W x 1 Z T 0 i b D A i I C 8 + P E V u d H J 5 I F R 5 c G U 9 I k Z p b G x l Z E N v b X B s Z X R l U m V z d W x 0 V G 9 X b 3 J r c 2 h l Z X Q i I F Z h b H V l P S J s M S I g L z 4 8 R W 5 0 c n k g V H l w Z T 0 i U m V j b 3 Z l c n l U Y X J n Z X R T a G V l d C I g V m F s d W U 9 I n N B c m s y I i A v P j x F b n R y e S B U e X B l P S J S Z W N v d m V y e V R h c m d l d E N v b H V t b i I g V m F s d W U 9 I m w x I i A v P j x F b n R y e S B U e X B l P S J S Z W N v d m V y e V R h c m d l d F J v d y I g V m F s d W U 9 I m w x I i A v P j x F b n R y e S B U e X B l P S J R d W V y e U l E I i B W Y W x 1 Z T 0 i c z R l O D N h Z G Q 5 L W V j Y 2 I t N G V m N i 0 5 Y 2 Y 4 L T Z i M j k 4 Z G Y w N D R j O S I g L z 4 8 R W 5 0 c n k g V H l w Z T 0 i T m F 2 a W d h d G l v b l N 0 Z X B O Y W 1 l I i B W Y W x 1 Z T 0 i c 0 5 h d m l n Y X R p b 2 4 i I C 8 + P E V u d H J 5 I F R 5 c G U 9 I k Z p b G x F c n J v c k N v d W 5 0 I i B W Y W x 1 Z T 0 i b D A i I C 8 + P E V u d H J 5 I F R 5 c G U 9 I k Z p b G x M Y X N 0 V X B k Y X R l Z C I g V m F s d W U 9 I m Q y M D I 0 L T A 2 L T A z V D A 2 O j I w O j E y L j Y 3 O T Y 3 M D h a I i A v P j x F b n R y e S B U e X B l P S J G a W x s Q 2 9 s d W 1 u V H l w Z X M i I F Z h b H V l P S J z Q m d J Q 0 F n S U N B Z 1 U 9 I i A v P j x F b n R y e S B U e X B l P S J G a W x s R X J y b 3 J D b 2 R l I i B W Y W x 1 Z T 0 i c 1 V u a 2 5 v d 2 4 i I C 8 + P E V u d H J 5 I F R 5 c G U 9 I k Z p b G x D b 3 V u d C I g V m F s d W U 9 I m w 3 M j Y w 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B Z G R l Z F R v R G F 0 Y U 1 v Z G V s I i B W Y W x 1 Z T 0 i b D A 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0 R h d G E v Q X V 0 b 1 J l b W 9 2 Z W R D b 2 x 1 b W 5 z M S 5 7 c 8 O 4 a 2 V u w 7 h r a 2 V s L D B 9 J n F 1 b 3 Q 7 L C Z x d W 9 0 O 1 N l Y 3 R p b 2 4 x L 0 R h d G E v Q X V 0 b 1 J l b W 9 2 Z W R D b 2 x 1 b W 5 z M S 5 7 c 2 V s c 2 t h c F 9 p Z C w x f S Z x d W 9 0 O y w m c X V v d D t T Z W N 0 a W 9 u M S 9 E Y X R h L 0 F 1 d G 9 S Z W 1 v d m V k Q 2 9 s d W 1 u c z E u e 8 O l c i w y f S Z x d W 9 0 O y w m c X V v d D t T Z W N 0 a W 9 u M S 9 E Y X R h L 0 F 1 d G 9 S Z W 1 v d m V k Q 2 9 s d W 1 u c z E u e 2 t 2 Y X J 0 Y W w s M 3 0 m c X V v d D s s J n F 1 b 3 Q 7 U 2 V j d G l v b j E v R G F 0 Y S 9 B d X R v U m V t b 3 Z l Z E N v b H V t b n M x L n t 0 Y W J l b G x f a W Q s N H 0 m c X V v d D s s J n F 1 b 3 Q 7 U 2 V j d G l v b j E v R G F 0 Y S 9 B d X R v U m V t b 3 Z l Z E N v b H V t b n M x L n t y Y W R f a W Q s N X 0 m c X V v d D s s J n F 1 b 3 Q 7 U 2 V j d G l v b j E v R G F 0 Y S 9 B d X R v U m V t b 3 Z l Z E N v b H V t b n M x L n t r Y X R l Z 2 9 y a V 9 p Z C w 2 f S Z x d W 9 0 O y w m c X V v d D t T Z W N 0 a W 9 u M S 9 E Y X R h L 0 F 1 d G 9 S Z W 1 v d m V k Q 2 9 s d W 1 u c z E u e 3 Z l c m R p L D d 9 J n F 1 b 3 Q 7 X S w m c X V v d D t D b 2 x 1 b W 5 D b 3 V u d C Z x d W 9 0 O z o 4 L C Z x d W 9 0 O 0 t l e U N v b H V t b k 5 h b W V z J n F 1 b 3 Q 7 O l t d L C Z x d W 9 0 O 0 N v b H V t b k l k Z W 5 0 a X R p Z X M m c X V v d D s 6 W y Z x d W 9 0 O 1 N l Y 3 R p b 2 4 x L 0 R h d G E v Q X V 0 b 1 J l b W 9 2 Z W R D b 2 x 1 b W 5 z M S 5 7 c 8 O 4 a 2 V u w 7 h r a 2 V s L D B 9 J n F 1 b 3 Q 7 L C Z x d W 9 0 O 1 N l Y 3 R p b 2 4 x L 0 R h d G E v Q X V 0 b 1 J l b W 9 2 Z W R D b 2 x 1 b W 5 z M S 5 7 c 2 V s c 2 t h c F 9 p Z C w x f S Z x d W 9 0 O y w m c X V v d D t T Z W N 0 a W 9 u M S 9 E Y X R h L 0 F 1 d G 9 S Z W 1 v d m V k Q 2 9 s d W 1 u c z E u e 8 O l c i w y f S Z x d W 9 0 O y w m c X V v d D t T Z W N 0 a W 9 u M S 9 E Y X R h L 0 F 1 d G 9 S Z W 1 v d m V k Q 2 9 s d W 1 u c z E u e 2 t 2 Y X J 0 Y W w s M 3 0 m c X V v d D s s J n F 1 b 3 Q 7 U 2 V j d G l v b j E v R G F 0 Y S 9 B d X R v U m V t b 3 Z l Z E N v b H V t b n M x L n t 0 Y W J l b G x f a W Q s N H 0 m c X V v d D s s J n F 1 b 3 Q 7 U 2 V j d G l v b j E v R G F 0 Y S 9 B d X R v U m V t b 3 Z l Z E N v b H V t b n M x L n t y Y W R f a W Q s N X 0 m c X V v d D s s J n F 1 b 3 Q 7 U 2 V j d G l v b j E v R G F 0 Y S 9 B d X R v U m V t b 3 Z l Z E N v b H V t b n M x L n t r Y X R l Z 2 9 y a V 9 p Z C w 2 f S Z x d W 9 0 O y w m c X V v d D t T Z W N 0 a W 9 u M S 9 E Y X R h L 0 F 1 d G 9 S Z W 1 v d m V k Q 2 9 s d W 1 u c z E u e 3 Z l c m R p L D d 9 J n F 1 b 3 Q 7 X S w m c X V v d D t S Z W x h d G l v b n N o a X B J b m Z v J n F 1 b 3 Q 7 O l t d f S 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R p v N b L x E 0 W N d T K a h 5 8 u 9 Q A A A A A C A A A A A A A D Z g A A w A A A A B A A A A C 7 m g F / Y c 2 4 O U G n Y h x r U 6 m e A A A A A A S A A A C g A A A A E A A A A I 1 T n f J v I P I R P b e / s b o S s Q R Q A A A A p O K 7 w j H N 7 s d p k / G 1 b c 6 e t w Z a I A X O c J + r a y K e Z J 8 P 9 V 8 v l I x J D C o D D k n j u w x d / b 3 l k N T I 9 d k 1 X Y B 4 w 4 A Q l 8 w S u 2 G R u V / m 7 q s K A X v L G p n R R x Q U A A A A 4 z M B d w 2 5 P O I 4 Q j b S 4 Y T 6 D L K h n L 8 = < / D a t a M a s h u p > 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3</vt:i4>
      </vt:variant>
    </vt:vector>
  </HeadingPairs>
  <TitlesOfParts>
    <vt:vector size="37" baseType="lpstr">
      <vt:lpstr>Forside</vt:lpstr>
      <vt:lpstr>Innhold</vt:lpstr>
      <vt:lpstr>Figurer</vt:lpstr>
      <vt:lpstr>Tabel 1.1</vt:lpstr>
      <vt:lpstr>Tabell 1.2</vt:lpstr>
      <vt:lpstr>Tabell 1.3</vt:lpstr>
      <vt:lpstr>Skjema total MA</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If Skadeforsikring NUF</vt:lpstr>
      <vt:lpstr>KLP</vt:lpstr>
      <vt:lpstr>KLP Skadeforsikring AS</vt:lpstr>
      <vt:lpstr>Landkreditt Forsikring</vt:lpstr>
      <vt:lpstr>Ly Forsikring</vt:lpstr>
      <vt:lpstr>Nordea Liv </vt:lpstr>
      <vt:lpstr>Oslo Forsikring</vt:lpstr>
      <vt:lpstr>Oslo Pensjonsforsikring</vt:lpstr>
      <vt:lpstr>Protector Forsikring</vt:lpstr>
      <vt:lpstr>Sparebank 1</vt:lpstr>
      <vt:lpstr>Storebrand Livsforsikring</vt:lpstr>
      <vt:lpstr>Telenor Forsikring</vt:lpstr>
      <vt:lpstr>Tryg Forsikring</vt:lpstr>
      <vt:lpstr>WaterCircles F</vt:lpstr>
      <vt:lpstr>Youplus Livsforsikring</vt:lpstr>
      <vt:lpstr>Tabell 4</vt:lpstr>
      <vt:lpstr>Tabell 6</vt:lpstr>
      <vt:lpstr>Tabell 8</vt:lpstr>
      <vt:lpstr>Noter og kommentarer</vt:lpstr>
      <vt:lpstr>'Fremtind Livsforsikring'!Utskriftsområde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2024-05-31T04:41:07Z</cp:lastPrinted>
  <dcterms:created xsi:type="dcterms:W3CDTF">2010-12-15T10:21:26Z</dcterms:created>
  <dcterms:modified xsi:type="dcterms:W3CDTF">2024-06-05T07:43:32Z</dcterms:modified>
</cp:coreProperties>
</file>