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harts/chart5.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worksheets/sheet1.xml" ContentType="application/vnd.openxmlformats-officedocument.spreadsheetml.worksheet+xml"/>
  <Override PartName="/docProps/app.xml" ContentType="application/vnd.openxmlformats-officedocument.extended-properties+xml"/>
  <Override PartName="/xl/connections.xml" ContentType="application/vnd.openxmlformats-officedocument.spreadsheetml.connection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O:\Statistikk og analyse\Livstatistikk\Faste statistikker\MA\2022\Q1-22\Publisert\"/>
    </mc:Choice>
  </mc:AlternateContent>
  <xr:revisionPtr revIDLastSave="0" documentId="13_ncr:1_{B45DBFC6-5DF2-43C5-BA7C-154D36077D38}" xr6:coauthVersionLast="47" xr6:coauthVersionMax="47" xr10:uidLastSave="{00000000-0000-0000-0000-000000000000}"/>
  <bookViews>
    <workbookView xWindow="-120" yWindow="-120" windowWidth="29040" windowHeight="17640" tabRatio="835" activeTab="1" xr2:uid="{00000000-000D-0000-FFFF-FFFF00000000}"/>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Codan Forsikring" sheetId="76" r:id="rId8"/>
    <sheet name="Danica Pensjonsforsikring" sheetId="18" r:id="rId9"/>
    <sheet name="DNB Livsforsikring" sheetId="13" r:id="rId10"/>
    <sheet name="Eika Forsikring AS" sheetId="19" r:id="rId11"/>
    <sheet name="Euro Accident" sheetId="77" r:id="rId12"/>
    <sheet name="Fremtind Livsforsikring" sheetId="16" r:id="rId13"/>
    <sheet name="Frende Livsforsikring" sheetId="20" r:id="rId14"/>
    <sheet name="Frende Skadeforsikring" sheetId="21" r:id="rId15"/>
    <sheet name="Gjensidige Forsikring" sheetId="22" r:id="rId16"/>
    <sheet name="Gjensidige Pensjon" sheetId="23" r:id="rId17"/>
    <sheet name="Handelsbanken Liv" sheetId="24" r:id="rId18"/>
    <sheet name="If Skadeforsikring NUF" sheetId="25" r:id="rId19"/>
    <sheet name="Insr" sheetId="41" r:id="rId20"/>
    <sheet name="KLP" sheetId="26" r:id="rId21"/>
    <sheet name="KLP Skadeforsikring AS" sheetId="51" r:id="rId22"/>
    <sheet name="Landkreditt Forsikring" sheetId="40" r:id="rId23"/>
    <sheet name="Nordea Liv " sheetId="29" r:id="rId24"/>
    <sheet name="Oslo Pensjonsforsikring" sheetId="34" r:id="rId25"/>
    <sheet name="Protector Forsikring" sheetId="72" r:id="rId26"/>
    <sheet name="SHB Liv" sheetId="35" r:id="rId27"/>
    <sheet name="Sparebank 1" sheetId="33" r:id="rId28"/>
    <sheet name="Storebrand Livsforsikring" sheetId="37" r:id="rId29"/>
    <sheet name="Telenor Forsikring" sheetId="38" r:id="rId30"/>
    <sheet name="Tryg Forsikring" sheetId="39" r:id="rId31"/>
    <sheet name="WaterCircles F" sheetId="74" r:id="rId32"/>
    <sheet name="Youplus Livsforsikring" sheetId="79" r:id="rId33"/>
    <sheet name="Tabell 4" sheetId="65" r:id="rId34"/>
    <sheet name="Tabell 6" sheetId="62" r:id="rId35"/>
    <sheet name="Tabell 8" sheetId="75" r:id="rId36"/>
    <sheet name="Noter og kommentarer" sheetId="3" r:id="rId37"/>
  </sheets>
  <externalReferences>
    <externalReference r:id="rId38"/>
    <externalReference r:id="rId39"/>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12">'Fremtind Livsforsikring'!$A$1:$M$137</definedName>
    <definedName name="_xlnm.Print_Area" localSheetId="19">Insr!$A$1:$M$137</definedName>
    <definedName name="_xlnm.Print_Area" localSheetId="36">'Noter og kommentarer'!$A$1:$L$43</definedName>
    <definedName name="_xlnm.Print_Area" localSheetId="6">'Skjema total MA'!$A$1:$J$138</definedName>
    <definedName name="år">#REF!</definedName>
    <definedName name="ÅrFratrek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 i="18" l="1"/>
  <c r="I33" i="18"/>
  <c r="M33" i="23"/>
  <c r="I33" i="23"/>
  <c r="I33" i="29"/>
  <c r="M33" i="29"/>
  <c r="I33" i="33"/>
  <c r="M33" i="33"/>
  <c r="I33" i="37"/>
  <c r="M33" i="37"/>
  <c r="E76" i="37"/>
  <c r="M76" i="37"/>
  <c r="E76" i="33"/>
  <c r="M76" i="33"/>
  <c r="E76" i="13"/>
  <c r="M76" i="13"/>
  <c r="E76" i="29"/>
  <c r="M76" i="29"/>
  <c r="M97" i="13"/>
  <c r="M97" i="37"/>
  <c r="M97" i="33"/>
  <c r="E97" i="33"/>
  <c r="E97" i="37"/>
  <c r="E97" i="13"/>
  <c r="AE16" i="75"/>
  <c r="AE12" i="75"/>
  <c r="AE11" i="75"/>
  <c r="AB12" i="75"/>
  <c r="AB11" i="75"/>
  <c r="AB16" i="75"/>
  <c r="AE18" i="75"/>
  <c r="AB18" i="75"/>
  <c r="Y18" i="75"/>
  <c r="Y16" i="75"/>
  <c r="Y12" i="75"/>
  <c r="Y11" i="75"/>
  <c r="V12" i="75"/>
  <c r="V11" i="75"/>
  <c r="V16" i="75"/>
  <c r="V18" i="75"/>
  <c r="S18" i="75"/>
  <c r="S16" i="75"/>
  <c r="S12" i="75"/>
  <c r="S11" i="75"/>
  <c r="J18" i="75"/>
  <c r="J12" i="75"/>
  <c r="J11" i="75"/>
  <c r="P18" i="75"/>
  <c r="P16" i="75"/>
  <c r="P12" i="75"/>
  <c r="P11" i="75"/>
  <c r="AK78" i="62"/>
  <c r="AK46" i="62"/>
  <c r="AH78" i="62"/>
  <c r="AH58" i="62"/>
  <c r="AH57" i="62"/>
  <c r="AH49" i="62"/>
  <c r="AH42" i="62"/>
  <c r="AH24" i="62"/>
  <c r="AE89" i="62"/>
  <c r="AE28" i="62"/>
  <c r="AB78" i="62"/>
  <c r="AB77" i="62"/>
  <c r="AB76" i="62"/>
  <c r="AB21" i="62"/>
  <c r="Y87" i="62"/>
  <c r="Y58" i="62"/>
  <c r="Y57" i="62"/>
  <c r="Y56" i="62"/>
  <c r="Y53" i="62"/>
  <c r="Y51" i="62"/>
  <c r="Y50" i="62"/>
  <c r="Y49" i="62"/>
  <c r="Y48" i="62"/>
  <c r="Y42" i="62"/>
  <c r="Y26" i="62"/>
  <c r="Y25" i="62"/>
  <c r="Y24" i="62"/>
  <c r="Y19" i="62"/>
  <c r="Y18" i="62"/>
  <c r="Y17" i="62"/>
  <c r="Y16" i="62"/>
  <c r="Y15" i="62"/>
  <c r="Y14" i="62"/>
  <c r="V87" i="62"/>
  <c r="V84" i="62"/>
  <c r="V82" i="62"/>
  <c r="V78" i="62"/>
  <c r="V77" i="62"/>
  <c r="V52" i="62"/>
  <c r="S28" i="62"/>
  <c r="P78" i="62"/>
  <c r="P76" i="62"/>
  <c r="P71" i="62"/>
  <c r="P61" i="62"/>
  <c r="P49" i="62"/>
  <c r="P46" i="62"/>
  <c r="P40" i="62"/>
  <c r="P34" i="62"/>
  <c r="P19" i="62"/>
  <c r="P14" i="62"/>
  <c r="M75" i="62"/>
  <c r="M70" i="62"/>
  <c r="M36" i="62"/>
  <c r="M17" i="62"/>
  <c r="J88" i="62"/>
  <c r="J87" i="62"/>
  <c r="J71" i="62"/>
  <c r="J70" i="62"/>
  <c r="J43" i="62"/>
  <c r="J42" i="62"/>
  <c r="J38" i="62"/>
  <c r="J34" i="62"/>
  <c r="J26" i="62"/>
  <c r="J24" i="62"/>
  <c r="J23" i="62"/>
  <c r="J19" i="62"/>
  <c r="J16" i="62"/>
  <c r="G78" i="62"/>
  <c r="G49" i="62"/>
  <c r="G46" i="62"/>
  <c r="G38" i="62"/>
  <c r="G19" i="62"/>
  <c r="G18" i="62"/>
  <c r="G17" i="62"/>
  <c r="D70" i="62"/>
  <c r="AE40" i="65" l="1"/>
  <c r="AE42" i="65"/>
  <c r="AE37" i="65"/>
  <c r="AE29" i="65"/>
  <c r="AB33" i="65"/>
  <c r="AB27" i="65"/>
  <c r="AB13" i="65"/>
  <c r="V42" i="65"/>
  <c r="S38" i="65"/>
  <c r="S29" i="65"/>
  <c r="S23" i="65"/>
  <c r="P26" i="65"/>
  <c r="P17" i="65"/>
  <c r="J33" i="65"/>
  <c r="J25" i="65"/>
  <c r="D57" i="76" l="1"/>
  <c r="D56" i="76"/>
  <c r="D54" i="76"/>
  <c r="D53" i="76"/>
  <c r="F39" i="4" l="1"/>
  <c r="E39" i="4"/>
  <c r="F38" i="4"/>
  <c r="E38" i="4"/>
  <c r="F37" i="4"/>
  <c r="E37" i="4"/>
  <c r="F36" i="4"/>
  <c r="E36" i="4"/>
  <c r="AD85" i="62" l="1"/>
  <c r="AD91" i="62" s="1"/>
  <c r="AC85" i="62"/>
  <c r="AC91" i="62" s="1"/>
  <c r="AD54" i="62"/>
  <c r="AD60" i="62" s="1"/>
  <c r="AC54" i="62"/>
  <c r="AC60" i="62" s="1"/>
  <c r="AC62" i="62" s="1"/>
  <c r="AC29" i="62"/>
  <c r="AD29" i="62" l="1"/>
  <c r="AC64" i="62"/>
  <c r="AD62" i="62"/>
  <c r="AD40" i="65"/>
  <c r="AC40" i="65"/>
  <c r="AD29" i="65"/>
  <c r="AC29" i="65"/>
  <c r="AD21" i="65"/>
  <c r="AC21" i="65"/>
  <c r="AD14" i="65"/>
  <c r="AD34" i="65" s="1"/>
  <c r="AD41" i="65" s="1"/>
  <c r="AD43" i="65" s="1"/>
  <c r="AD45" i="65" s="1"/>
  <c r="AC14" i="65"/>
  <c r="AC34" i="65" l="1"/>
  <c r="AC41" i="65" s="1"/>
  <c r="AC43" i="65" s="1"/>
  <c r="AC45" i="65" s="1"/>
  <c r="AD64" i="62"/>
  <c r="AA88" i="62"/>
  <c r="Z88" i="62"/>
  <c r="AA79" i="62"/>
  <c r="Z79" i="62"/>
  <c r="AA39" i="62"/>
  <c r="Z39" i="62"/>
  <c r="AA35" i="62"/>
  <c r="Z35" i="62"/>
  <c r="AA34" i="62"/>
  <c r="Z34" i="62"/>
  <c r="Z28" i="62"/>
  <c r="AA20" i="62"/>
  <c r="Z20" i="62"/>
  <c r="AA16" i="62"/>
  <c r="Z16" i="62"/>
  <c r="AA40" i="65"/>
  <c r="Z40" i="65"/>
  <c r="Z33" i="65"/>
  <c r="AA31" i="65"/>
  <c r="AA29" i="65"/>
  <c r="Z29" i="65"/>
  <c r="AA21" i="65"/>
  <c r="Z21" i="65"/>
  <c r="AA14" i="65"/>
  <c r="Z14" i="65"/>
  <c r="Z45" i="62" l="1"/>
  <c r="Z62" i="62" s="1"/>
  <c r="Z91" i="62"/>
  <c r="Z34" i="65"/>
  <c r="Z41" i="65" s="1"/>
  <c r="Z43" i="65" s="1"/>
  <c r="Z45" i="65" s="1"/>
  <c r="Z27" i="62"/>
  <c r="Z29" i="62" s="1"/>
  <c r="AA34" i="65"/>
  <c r="AA41" i="65" s="1"/>
  <c r="AA43" i="65" s="1"/>
  <c r="AA45" i="65" s="1"/>
  <c r="AA91" i="62"/>
  <c r="AA27" i="62"/>
  <c r="AA29" i="62" s="1"/>
  <c r="AA45" i="62"/>
  <c r="R79" i="62"/>
  <c r="Q79" i="62"/>
  <c r="Q91" i="62" s="1"/>
  <c r="Q29" i="62"/>
  <c r="Q64" i="62" s="1"/>
  <c r="R40" i="65"/>
  <c r="Q40" i="65"/>
  <c r="R29" i="65"/>
  <c r="Q29" i="65"/>
  <c r="R21" i="65"/>
  <c r="Q21" i="65"/>
  <c r="R14" i="65"/>
  <c r="Q14" i="65"/>
  <c r="Z64" i="62" l="1"/>
  <c r="R34" i="65"/>
  <c r="R41" i="65" s="1"/>
  <c r="R43" i="65" s="1"/>
  <c r="R45" i="65" s="1"/>
  <c r="Q34" i="65"/>
  <c r="Q41" i="65" s="1"/>
  <c r="Q43" i="65" s="1"/>
  <c r="Q45" i="65" s="1"/>
  <c r="R29" i="62"/>
  <c r="R91" i="62"/>
  <c r="AA62" i="62"/>
  <c r="AA64" i="62" s="1"/>
  <c r="R64" i="62" l="1"/>
  <c r="T85" i="62"/>
  <c r="T79" i="62"/>
  <c r="T69" i="62"/>
  <c r="T54" i="62"/>
  <c r="T50" i="62"/>
  <c r="T39" i="62"/>
  <c r="T35" i="62"/>
  <c r="T20" i="62"/>
  <c r="T16" i="62"/>
  <c r="X14" i="75"/>
  <c r="W14" i="75"/>
  <c r="Z8" i="65"/>
  <c r="F85" i="62"/>
  <c r="E85" i="62"/>
  <c r="F79" i="62"/>
  <c r="E79" i="62"/>
  <c r="F54" i="62"/>
  <c r="E54" i="62"/>
  <c r="F39" i="62"/>
  <c r="E39" i="62"/>
  <c r="F35" i="62"/>
  <c r="E35" i="62"/>
  <c r="F28" i="62"/>
  <c r="F20" i="62"/>
  <c r="E20" i="62"/>
  <c r="F16" i="62"/>
  <c r="E16" i="62"/>
  <c r="G16" i="62" s="1"/>
  <c r="F40" i="65"/>
  <c r="E40" i="65"/>
  <c r="F29" i="65"/>
  <c r="E29" i="65"/>
  <c r="F21" i="65"/>
  <c r="E21" i="65"/>
  <c r="F14" i="65"/>
  <c r="E14" i="65"/>
  <c r="C85" i="62"/>
  <c r="B85" i="62"/>
  <c r="C79" i="62"/>
  <c r="B79" i="62"/>
  <c r="C59" i="62"/>
  <c r="C54" i="62" s="1"/>
  <c r="B59" i="62"/>
  <c r="B54" i="62" s="1"/>
  <c r="C39" i="62"/>
  <c r="B39" i="62"/>
  <c r="C28" i="62"/>
  <c r="B28" i="62"/>
  <c r="C20" i="62"/>
  <c r="B20" i="62"/>
  <c r="C40" i="65"/>
  <c r="B40" i="65"/>
  <c r="C23" i="65"/>
  <c r="C29" i="65" s="1"/>
  <c r="B23" i="65"/>
  <c r="B29" i="65" s="1"/>
  <c r="C19" i="65"/>
  <c r="C21" i="65" s="1"/>
  <c r="B19" i="65"/>
  <c r="B21" i="65" s="1"/>
  <c r="C11" i="65"/>
  <c r="C14" i="65" s="1"/>
  <c r="B11" i="65"/>
  <c r="B14" i="65" s="1"/>
  <c r="L79" i="62"/>
  <c r="K79" i="62"/>
  <c r="L39" i="62"/>
  <c r="K39" i="62"/>
  <c r="L35" i="62"/>
  <c r="K35" i="62"/>
  <c r="M35" i="62" s="1"/>
  <c r="L20" i="62"/>
  <c r="K20" i="62"/>
  <c r="L16" i="62"/>
  <c r="K16" i="62"/>
  <c r="M16" i="62" s="1"/>
  <c r="L40" i="65"/>
  <c r="K40" i="65"/>
  <c r="L29" i="65"/>
  <c r="K29" i="65"/>
  <c r="L21" i="65"/>
  <c r="K21" i="65"/>
  <c r="L14" i="65"/>
  <c r="K14" i="65"/>
  <c r="AJ85" i="62"/>
  <c r="AI85" i="62"/>
  <c r="AI79" i="62"/>
  <c r="AJ74" i="62"/>
  <c r="AJ79" i="62" s="1"/>
  <c r="AJ54" i="62"/>
  <c r="AI54" i="62"/>
  <c r="AJ53" i="62"/>
  <c r="AJ50" i="62" s="1"/>
  <c r="AI53" i="62"/>
  <c r="AJ39" i="62"/>
  <c r="AI39" i="62"/>
  <c r="AJ38" i="62"/>
  <c r="AJ35" i="62" s="1"/>
  <c r="AI38" i="62"/>
  <c r="AI35" i="62" s="1"/>
  <c r="AJ28" i="62"/>
  <c r="AI28" i="62"/>
  <c r="AJ20" i="62"/>
  <c r="AI20" i="62"/>
  <c r="AJ19" i="62"/>
  <c r="AJ16" i="62" s="1"/>
  <c r="AI19" i="62"/>
  <c r="AI16" i="62" s="1"/>
  <c r="AJ40" i="65"/>
  <c r="AI40" i="65"/>
  <c r="AI29" i="65"/>
  <c r="AJ28" i="65"/>
  <c r="AJ24" i="65"/>
  <c r="AJ21" i="65"/>
  <c r="AI19" i="65"/>
  <c r="AI21" i="65" s="1"/>
  <c r="AJ14" i="65"/>
  <c r="AI14" i="65"/>
  <c r="AM79" i="62"/>
  <c r="AM91" i="62" s="1"/>
  <c r="AM29" i="62"/>
  <c r="AM40" i="65"/>
  <c r="AM29" i="65"/>
  <c r="AM21" i="65"/>
  <c r="AM14" i="65"/>
  <c r="AI50" i="62" l="1"/>
  <c r="AK50" i="62" s="1"/>
  <c r="AK53" i="62"/>
  <c r="T60" i="62"/>
  <c r="F27" i="62"/>
  <c r="T45" i="62"/>
  <c r="T62" i="62" s="1"/>
  <c r="B27" i="62"/>
  <c r="B29" i="62" s="1"/>
  <c r="F34" i="65"/>
  <c r="F41" i="65" s="1"/>
  <c r="F43" i="65" s="1"/>
  <c r="F45" i="65" s="1"/>
  <c r="T91" i="62"/>
  <c r="B45" i="62"/>
  <c r="T27" i="62"/>
  <c r="T29" i="62" s="1"/>
  <c r="C27" i="62"/>
  <c r="C29" i="62" s="1"/>
  <c r="F29" i="62"/>
  <c r="F60" i="62"/>
  <c r="K91" i="62"/>
  <c r="K27" i="62"/>
  <c r="K29" i="62" s="1"/>
  <c r="E91" i="62"/>
  <c r="B91" i="62"/>
  <c r="E45" i="62"/>
  <c r="F91" i="62"/>
  <c r="E27" i="62"/>
  <c r="E29" i="62" s="1"/>
  <c r="K45" i="62"/>
  <c r="E34" i="65"/>
  <c r="E41" i="65" s="1"/>
  <c r="E43" i="65" s="1"/>
  <c r="E45" i="65" s="1"/>
  <c r="F45" i="62"/>
  <c r="E60" i="62"/>
  <c r="AJ29" i="65"/>
  <c r="AJ34" i="65" s="1"/>
  <c r="AJ41" i="65" s="1"/>
  <c r="AJ43" i="65" s="1"/>
  <c r="AJ45" i="65" s="1"/>
  <c r="K34" i="65"/>
  <c r="K41" i="65" s="1"/>
  <c r="K43" i="65" s="1"/>
  <c r="K45" i="65" s="1"/>
  <c r="B60" i="62"/>
  <c r="C60" i="62"/>
  <c r="C34" i="65"/>
  <c r="C41" i="65" s="1"/>
  <c r="C43" i="65" s="1"/>
  <c r="C45" i="65" s="1"/>
  <c r="C45" i="62"/>
  <c r="C91" i="62"/>
  <c r="AM34" i="65"/>
  <c r="AM41" i="65" s="1"/>
  <c r="AM43" i="65" s="1"/>
  <c r="AM45" i="65" s="1"/>
  <c r="AI91" i="62"/>
  <c r="L45" i="62"/>
  <c r="L62" i="62" s="1"/>
  <c r="B34" i="65"/>
  <c r="B41" i="65" s="1"/>
  <c r="B43" i="65" s="1"/>
  <c r="B45" i="65" s="1"/>
  <c r="AJ91" i="62"/>
  <c r="AJ27" i="62"/>
  <c r="AJ29" i="62" s="1"/>
  <c r="AI45" i="62"/>
  <c r="AJ60" i="62"/>
  <c r="L34" i="65"/>
  <c r="L41" i="65" s="1"/>
  <c r="L43" i="65" s="1"/>
  <c r="L45" i="65" s="1"/>
  <c r="L91" i="62"/>
  <c r="L27" i="62"/>
  <c r="L29" i="62" s="1"/>
  <c r="AI27" i="62"/>
  <c r="AI29" i="62" s="1"/>
  <c r="AI60" i="62"/>
  <c r="AJ45" i="62"/>
  <c r="AI34" i="65"/>
  <c r="AI41" i="65" s="1"/>
  <c r="AI43" i="65" s="1"/>
  <c r="AI45" i="65" s="1"/>
  <c r="AM64" i="62"/>
  <c r="L64" i="62" l="1"/>
  <c r="K62" i="62"/>
  <c r="K64" i="62" s="1"/>
  <c r="B62" i="62"/>
  <c r="B64" i="62" s="1"/>
  <c r="T64" i="62"/>
  <c r="C62" i="62"/>
  <c r="C64" i="62" s="1"/>
  <c r="F62" i="62"/>
  <c r="F64" i="62" s="1"/>
  <c r="AJ62" i="62"/>
  <c r="AJ64" i="62" s="1"/>
  <c r="E62" i="62"/>
  <c r="E64" i="62" s="1"/>
  <c r="AI62" i="62"/>
  <c r="AI64" i="62" s="1"/>
  <c r="O85" i="62"/>
  <c r="N85" i="62"/>
  <c r="O79" i="62"/>
  <c r="N79" i="62"/>
  <c r="O54" i="62"/>
  <c r="N54" i="62"/>
  <c r="O39" i="62"/>
  <c r="N39" i="62"/>
  <c r="O35" i="62"/>
  <c r="N35" i="62"/>
  <c r="O20" i="62"/>
  <c r="N20" i="62"/>
  <c r="O16" i="62"/>
  <c r="N16" i="62"/>
  <c r="P16" i="62" s="1"/>
  <c r="O40" i="65"/>
  <c r="N40" i="65"/>
  <c r="O29" i="65"/>
  <c r="N29" i="65"/>
  <c r="O21" i="65"/>
  <c r="N21" i="65"/>
  <c r="O14" i="65"/>
  <c r="N14" i="65"/>
  <c r="AA14" i="75"/>
  <c r="AG85" i="62"/>
  <c r="AF85" i="62"/>
  <c r="AG79" i="62"/>
  <c r="AF79" i="62"/>
  <c r="AG54" i="62"/>
  <c r="AF54" i="62"/>
  <c r="AF60" i="62" s="1"/>
  <c r="AG39" i="62"/>
  <c r="AF39" i="62"/>
  <c r="AG35" i="62"/>
  <c r="AF35" i="62"/>
  <c r="AG20" i="62"/>
  <c r="AF20" i="62"/>
  <c r="AG16" i="62"/>
  <c r="AF16" i="62"/>
  <c r="AG40" i="65"/>
  <c r="AF40" i="65"/>
  <c r="AG29" i="65"/>
  <c r="AF29" i="65"/>
  <c r="AG21" i="65"/>
  <c r="AF21" i="65"/>
  <c r="AG14" i="65"/>
  <c r="AF14" i="65"/>
  <c r="X85" i="62"/>
  <c r="W85" i="62"/>
  <c r="X79" i="62"/>
  <c r="W79" i="62"/>
  <c r="X54" i="62"/>
  <c r="W54" i="62"/>
  <c r="W60" i="62" s="1"/>
  <c r="X50" i="62"/>
  <c r="X39" i="62"/>
  <c r="W39" i="62"/>
  <c r="X35" i="62"/>
  <c r="W35" i="62"/>
  <c r="X20" i="62"/>
  <c r="W20" i="62"/>
  <c r="W27" i="62" s="1"/>
  <c r="W29" i="62" s="1"/>
  <c r="X16" i="62"/>
  <c r="X40" i="65"/>
  <c r="W40" i="65"/>
  <c r="X29" i="65"/>
  <c r="W29" i="65"/>
  <c r="X21" i="65"/>
  <c r="W21" i="65"/>
  <c r="X14" i="65"/>
  <c r="W14" i="65"/>
  <c r="I79" i="62"/>
  <c r="H79" i="62"/>
  <c r="H91" i="62" s="1"/>
  <c r="I39" i="62"/>
  <c r="H39" i="62"/>
  <c r="I35" i="62"/>
  <c r="H35" i="62"/>
  <c r="J35" i="62" s="1"/>
  <c r="I29" i="62"/>
  <c r="H20" i="62"/>
  <c r="H27" i="62" s="1"/>
  <c r="H29" i="62" s="1"/>
  <c r="I40" i="65"/>
  <c r="H40" i="65"/>
  <c r="I29" i="65"/>
  <c r="H29" i="65"/>
  <c r="I21" i="65"/>
  <c r="H21" i="65"/>
  <c r="I14" i="65"/>
  <c r="H14" i="65"/>
  <c r="AG18" i="75"/>
  <c r="AG16" i="75"/>
  <c r="AF18" i="75"/>
  <c r="AF16" i="75"/>
  <c r="AS20" i="65"/>
  <c r="AS19" i="65"/>
  <c r="AS17" i="65"/>
  <c r="AS16" i="65"/>
  <c r="AS15" i="65"/>
  <c r="AS13" i="65"/>
  <c r="AS12" i="65"/>
  <c r="AS11" i="65"/>
  <c r="AR20" i="65"/>
  <c r="AR17" i="65"/>
  <c r="AR16" i="65"/>
  <c r="AR15" i="65"/>
  <c r="AR13" i="65"/>
  <c r="AR12" i="65"/>
  <c r="L9" i="79"/>
  <c r="K8" i="79"/>
  <c r="O27" i="62" l="1"/>
  <c r="O29" i="62" s="1"/>
  <c r="D7" i="79"/>
  <c r="O45" i="62"/>
  <c r="O60" i="62"/>
  <c r="X45" i="62"/>
  <c r="AF27" i="62"/>
  <c r="AF29" i="62" s="1"/>
  <c r="O34" i="65"/>
  <c r="O41" i="65" s="1"/>
  <c r="O43" i="65" s="1"/>
  <c r="O45" i="65" s="1"/>
  <c r="O91" i="62"/>
  <c r="N27" i="62"/>
  <c r="N29" i="62" s="1"/>
  <c r="N60" i="62"/>
  <c r="N34" i="65"/>
  <c r="N41" i="65" s="1"/>
  <c r="N43" i="65" s="1"/>
  <c r="N45" i="65" s="1"/>
  <c r="AG60" i="62"/>
  <c r="H45" i="62"/>
  <c r="H62" i="62" s="1"/>
  <c r="H64" i="62" s="1"/>
  <c r="AG27" i="62"/>
  <c r="AG29" i="62" s="1"/>
  <c r="AF91" i="62"/>
  <c r="W91" i="62"/>
  <c r="AF45" i="62"/>
  <c r="AF62" i="62" s="1"/>
  <c r="AG91" i="62"/>
  <c r="W45" i="62"/>
  <c r="W62" i="62" s="1"/>
  <c r="W64" i="62" s="1"/>
  <c r="X91" i="62"/>
  <c r="AG45" i="62"/>
  <c r="N45" i="62"/>
  <c r="N91" i="62"/>
  <c r="AG34" i="65"/>
  <c r="AG41" i="65" s="1"/>
  <c r="AG43" i="65" s="1"/>
  <c r="AG45" i="65" s="1"/>
  <c r="I91" i="62"/>
  <c r="AF34" i="65"/>
  <c r="AF41" i="65" s="1"/>
  <c r="AF43" i="65" s="1"/>
  <c r="AF45" i="65" s="1"/>
  <c r="W34" i="65"/>
  <c r="W41" i="65" s="1"/>
  <c r="W43" i="65" s="1"/>
  <c r="W45" i="65" s="1"/>
  <c r="X27" i="62"/>
  <c r="X29" i="62" s="1"/>
  <c r="X60" i="62"/>
  <c r="X34" i="65"/>
  <c r="X41" i="65" s="1"/>
  <c r="X43" i="65" s="1"/>
  <c r="X45" i="65" s="1"/>
  <c r="I45" i="62"/>
  <c r="H34" i="65"/>
  <c r="H41" i="65" s="1"/>
  <c r="H43" i="65" s="1"/>
  <c r="H45" i="65" s="1"/>
  <c r="I34" i="65"/>
  <c r="I41" i="65" s="1"/>
  <c r="I43" i="65" s="1"/>
  <c r="I45" i="65" s="1"/>
  <c r="D10" i="79"/>
  <c r="D9" i="79"/>
  <c r="K7" i="79"/>
  <c r="K10" i="79"/>
  <c r="D8" i="79"/>
  <c r="L8" i="79"/>
  <c r="L10" i="79"/>
  <c r="K9" i="79"/>
  <c r="L7" i="79"/>
  <c r="O62" i="62" l="1"/>
  <c r="O64" i="62" s="1"/>
  <c r="X62" i="62"/>
  <c r="X64" i="62" s="1"/>
  <c r="AF64" i="62"/>
  <c r="I62" i="62"/>
  <c r="I64" i="62" s="1"/>
  <c r="AG62" i="62"/>
  <c r="AG64" i="62" s="1"/>
  <c r="N62" i="62"/>
  <c r="N64" i="62" s="1"/>
  <c r="H33" i="9"/>
  <c r="H75" i="9" s="1"/>
  <c r="G33" i="9"/>
  <c r="G75" i="9" s="1"/>
  <c r="C33" i="9"/>
  <c r="C75" i="9" s="1"/>
  <c r="B33" i="9" l="1"/>
  <c r="B75" i="9" s="1"/>
  <c r="AR14" i="65"/>
  <c r="AR11" i="65"/>
  <c r="AR21" i="65"/>
  <c r="AR19" i="65"/>
  <c r="AP8" i="62" l="1"/>
  <c r="AO8" i="62"/>
  <c r="AJ8" i="62"/>
  <c r="AI8" i="62"/>
  <c r="AG8" i="62"/>
  <c r="AF8" i="62"/>
  <c r="AD8" i="62"/>
  <c r="AC8" i="62"/>
  <c r="AA8" i="62"/>
  <c r="Z8" i="62"/>
  <c r="X8" i="62"/>
  <c r="W8" i="62"/>
  <c r="U8" i="62"/>
  <c r="T8" i="62"/>
  <c r="R8" i="62"/>
  <c r="Q8" i="62"/>
  <c r="O8" i="62"/>
  <c r="N8" i="62"/>
  <c r="L8" i="62"/>
  <c r="K8" i="62"/>
  <c r="I8" i="62"/>
  <c r="H8" i="62"/>
  <c r="F8" i="62"/>
  <c r="E8" i="62"/>
  <c r="AM8" i="62"/>
  <c r="AL8" i="62"/>
  <c r="AG8" i="75"/>
  <c r="AF8" i="75"/>
  <c r="AD8" i="75"/>
  <c r="AC8" i="75"/>
  <c r="AA8" i="75"/>
  <c r="Z8" i="75"/>
  <c r="X8" i="75"/>
  <c r="W8" i="75"/>
  <c r="U8" i="75"/>
  <c r="T8" i="75"/>
  <c r="R8" i="75"/>
  <c r="Q8" i="75"/>
  <c r="O8" i="75"/>
  <c r="N8" i="75"/>
  <c r="L8" i="75"/>
  <c r="K8" i="75"/>
  <c r="I8" i="75"/>
  <c r="H8" i="75"/>
  <c r="F8" i="75"/>
  <c r="E8" i="75"/>
  <c r="AS8" i="65"/>
  <c r="AR8" i="65"/>
  <c r="AP8" i="65"/>
  <c r="AO8" i="65"/>
  <c r="AJ8" i="65"/>
  <c r="AI8" i="65"/>
  <c r="AG8" i="65"/>
  <c r="AF8" i="65"/>
  <c r="AD8" i="65"/>
  <c r="AC8" i="65"/>
  <c r="AA8" i="65"/>
  <c r="X8" i="65"/>
  <c r="W8" i="65"/>
  <c r="U8" i="65"/>
  <c r="T8" i="65"/>
  <c r="R8" i="65"/>
  <c r="Q8" i="65"/>
  <c r="O8" i="65"/>
  <c r="N8" i="65"/>
  <c r="L8" i="65"/>
  <c r="K8" i="65"/>
  <c r="I8" i="65"/>
  <c r="H8" i="65"/>
  <c r="F8" i="65"/>
  <c r="E8" i="65"/>
  <c r="AM8" i="65"/>
  <c r="AL8" i="65"/>
  <c r="D54" i="77" l="1"/>
  <c r="D55" i="77"/>
  <c r="D48" i="76"/>
  <c r="H13" i="9"/>
  <c r="D48" i="77"/>
  <c r="G13" i="9"/>
  <c r="D53" i="77" l="1"/>
  <c r="M61" i="8"/>
  <c r="G54" i="9"/>
  <c r="H54" i="9"/>
  <c r="N61" i="8"/>
  <c r="D49" i="77"/>
  <c r="C13" i="9"/>
  <c r="H9" i="9"/>
  <c r="G9" i="9"/>
  <c r="C54" i="9" l="1"/>
  <c r="N12" i="8"/>
  <c r="B13" i="9"/>
  <c r="M12" i="8" s="1"/>
  <c r="H50" i="9"/>
  <c r="N57" i="8"/>
  <c r="C9" i="9"/>
  <c r="D47" i="76"/>
  <c r="B9" i="9"/>
  <c r="M8" i="8" s="1"/>
  <c r="G50" i="9"/>
  <c r="M57" i="8"/>
  <c r="D47" i="77"/>
  <c r="N8" i="8" l="1"/>
  <c r="C50" i="9"/>
  <c r="D9" i="9"/>
  <c r="B50" i="9"/>
  <c r="D13" i="9"/>
  <c r="B54" i="9"/>
  <c r="D54" i="9" s="1"/>
  <c r="D50" i="9" l="1"/>
  <c r="N131" i="8" l="1"/>
  <c r="M131" i="8"/>
  <c r="N108" i="8"/>
  <c r="M108" i="8"/>
  <c r="N83" i="8"/>
  <c r="M83" i="8"/>
  <c r="N77" i="8"/>
  <c r="M77" i="8"/>
  <c r="N56" i="8"/>
  <c r="M56" i="8"/>
  <c r="N36" i="8"/>
  <c r="M36" i="8"/>
  <c r="G73" i="9" l="1"/>
  <c r="H73" i="9"/>
  <c r="N74" i="9"/>
  <c r="O74" i="9"/>
  <c r="L74" i="9"/>
  <c r="M74" i="9"/>
  <c r="AS21" i="65" l="1"/>
  <c r="AS14" i="65"/>
  <c r="G18" i="75" l="1"/>
  <c r="G16" i="75"/>
  <c r="D16" i="75"/>
  <c r="AE14" i="75"/>
  <c r="AB14" i="75"/>
  <c r="Y14" i="75"/>
  <c r="V14" i="75"/>
  <c r="S14" i="75"/>
  <c r="P14" i="75"/>
  <c r="M14" i="75"/>
  <c r="J14" i="75"/>
  <c r="G14" i="75"/>
  <c r="G12" i="75"/>
  <c r="D12" i="75"/>
  <c r="G11" i="75"/>
  <c r="D11" i="75"/>
  <c r="AH16" i="75" l="1"/>
  <c r="AH18" i="75"/>
  <c r="AP89" i="62"/>
  <c r="AP88" i="62"/>
  <c r="AP87" i="62"/>
  <c r="AP84" i="62"/>
  <c r="AP83" i="62"/>
  <c r="AP82" i="62"/>
  <c r="AP81" i="62"/>
  <c r="AP78" i="62"/>
  <c r="AP76" i="62"/>
  <c r="AP75" i="62"/>
  <c r="AP74" i="62"/>
  <c r="AP73" i="62"/>
  <c r="AP71" i="62"/>
  <c r="AP70" i="62"/>
  <c r="AP68" i="62"/>
  <c r="AP61" i="62"/>
  <c r="AP58" i="62"/>
  <c r="AP57" i="62"/>
  <c r="AP56" i="62"/>
  <c r="AP53" i="62"/>
  <c r="AP52" i="62"/>
  <c r="AP51" i="62"/>
  <c r="AP49" i="62"/>
  <c r="AP48" i="62"/>
  <c r="AP46" i="62"/>
  <c r="AP43" i="62"/>
  <c r="AP42" i="62"/>
  <c r="AP41" i="62"/>
  <c r="AP40" i="62"/>
  <c r="AP37" i="62"/>
  <c r="AP36" i="62"/>
  <c r="AP34" i="62"/>
  <c r="AP33" i="62"/>
  <c r="AP26" i="62"/>
  <c r="AP25" i="62"/>
  <c r="AP24" i="62"/>
  <c r="AP23" i="62"/>
  <c r="AP22" i="62"/>
  <c r="AP21" i="62"/>
  <c r="AP18" i="62"/>
  <c r="AP17" i="62"/>
  <c r="AP15" i="62"/>
  <c r="AP14" i="62"/>
  <c r="AO89" i="62"/>
  <c r="AO88" i="62"/>
  <c r="AO87" i="62"/>
  <c r="AO86" i="62"/>
  <c r="AO84" i="62"/>
  <c r="AO83" i="62"/>
  <c r="AO82" i="62"/>
  <c r="AO81" i="62"/>
  <c r="AO78" i="62"/>
  <c r="AO77" i="62"/>
  <c r="AO76" i="62"/>
  <c r="AO75" i="62"/>
  <c r="AO74" i="62"/>
  <c r="AO73" i="62"/>
  <c r="AO71" i="62"/>
  <c r="AO70" i="62"/>
  <c r="AO69" i="62"/>
  <c r="AO68" i="62"/>
  <c r="AO61" i="62"/>
  <c r="AO58" i="62"/>
  <c r="AO57" i="62"/>
  <c r="AO56" i="62"/>
  <c r="AO53" i="62"/>
  <c r="AO52" i="62"/>
  <c r="AO51" i="62"/>
  <c r="AO49" i="62"/>
  <c r="AO48" i="62"/>
  <c r="AO46" i="62"/>
  <c r="AO44" i="62"/>
  <c r="AO43" i="62"/>
  <c r="AO42" i="62"/>
  <c r="AO41" i="62"/>
  <c r="AO40" i="62"/>
  <c r="AO37" i="62"/>
  <c r="AO36" i="62"/>
  <c r="AO33" i="62"/>
  <c r="AO26" i="62"/>
  <c r="AO25" i="62"/>
  <c r="AO24" i="62"/>
  <c r="AO23" i="62"/>
  <c r="AO22" i="62"/>
  <c r="AO21" i="62"/>
  <c r="AO18" i="62"/>
  <c r="AO17" i="62"/>
  <c r="AO15" i="62"/>
  <c r="AO14" i="62"/>
  <c r="J89" i="62"/>
  <c r="J86" i="62"/>
  <c r="J79" i="62"/>
  <c r="J73" i="62"/>
  <c r="J69" i="62"/>
  <c r="J68" i="62"/>
  <c r="J46" i="62"/>
  <c r="J44" i="62"/>
  <c r="J41" i="62"/>
  <c r="J40" i="62"/>
  <c r="J39" i="62"/>
  <c r="J28" i="62"/>
  <c r="J25" i="62"/>
  <c r="J22" i="62"/>
  <c r="J21" i="62"/>
  <c r="J20" i="62"/>
  <c r="AP44" i="65"/>
  <c r="AP42" i="65"/>
  <c r="AP39" i="65"/>
  <c r="AP38" i="65"/>
  <c r="AP37" i="65"/>
  <c r="AP33" i="65"/>
  <c r="AP32" i="65"/>
  <c r="AP31" i="65"/>
  <c r="AP30" i="65"/>
  <c r="AP28" i="65"/>
  <c r="AP27" i="65"/>
  <c r="AP26" i="65"/>
  <c r="AP25" i="65"/>
  <c r="AP24" i="65"/>
  <c r="AP20" i="65"/>
  <c r="AP17" i="65"/>
  <c r="AP16" i="65"/>
  <c r="AP15" i="65"/>
  <c r="AP13" i="65"/>
  <c r="AP12" i="65"/>
  <c r="AO44" i="65"/>
  <c r="AO42" i="65"/>
  <c r="AO39" i="65"/>
  <c r="AO38" i="65"/>
  <c r="AO37" i="65"/>
  <c r="AO33" i="65"/>
  <c r="AO32" i="65"/>
  <c r="AO31" i="65"/>
  <c r="AO30" i="65"/>
  <c r="AO28" i="65"/>
  <c r="AO27" i="65"/>
  <c r="AO26" i="65"/>
  <c r="AO25" i="65"/>
  <c r="AO24" i="65"/>
  <c r="AO20" i="65"/>
  <c r="AO17" i="65"/>
  <c r="AO16" i="65"/>
  <c r="AO15" i="65"/>
  <c r="AO13" i="65"/>
  <c r="AO12" i="65"/>
  <c r="J42" i="65"/>
  <c r="J40" i="65"/>
  <c r="J39" i="65"/>
  <c r="J37" i="65"/>
  <c r="J32" i="65"/>
  <c r="J29" i="65"/>
  <c r="J23" i="65"/>
  <c r="J21" i="65"/>
  <c r="J20" i="65"/>
  <c r="J19" i="65"/>
  <c r="J17" i="65"/>
  <c r="J15" i="65"/>
  <c r="J12" i="65"/>
  <c r="J11" i="65"/>
  <c r="K8" i="74" l="1"/>
  <c r="H32" i="9"/>
  <c r="G32" i="9"/>
  <c r="M78" i="8" s="1"/>
  <c r="D8" i="74"/>
  <c r="J8" i="74"/>
  <c r="J45" i="62"/>
  <c r="J91" i="62"/>
  <c r="J27" i="62"/>
  <c r="J14" i="65"/>
  <c r="K7" i="74"/>
  <c r="J7" i="74"/>
  <c r="D48" i="74"/>
  <c r="D7" i="74"/>
  <c r="L8" i="74" l="1"/>
  <c r="C32" i="9"/>
  <c r="L7" i="74"/>
  <c r="D47" i="74"/>
  <c r="H74" i="9"/>
  <c r="N78" i="8"/>
  <c r="B32" i="9"/>
  <c r="M31" i="8" s="1"/>
  <c r="G74" i="9"/>
  <c r="J29" i="62"/>
  <c r="J62" i="62"/>
  <c r="J34" i="65"/>
  <c r="B74" i="9" l="1"/>
  <c r="AP11" i="65"/>
  <c r="AP59" i="62"/>
  <c r="AO11" i="65"/>
  <c r="AO59" i="62"/>
  <c r="AO23" i="65"/>
  <c r="AP23" i="65"/>
  <c r="J64" i="62"/>
  <c r="J41" i="65"/>
  <c r="J43" i="65" l="1"/>
  <c r="AP77" i="62" l="1"/>
  <c r="AO34" i="62"/>
  <c r="AP86" i="62"/>
  <c r="J45" i="65"/>
  <c r="AO55" i="62" l="1"/>
  <c r="AP55" i="62"/>
  <c r="AO19" i="62" l="1"/>
  <c r="AP19" i="62"/>
  <c r="AO50" i="62"/>
  <c r="AO28" i="62"/>
  <c r="AO38" i="62"/>
  <c r="AP19" i="65"/>
  <c r="AP38" i="62"/>
  <c r="AP69" i="62" l="1"/>
  <c r="AO16" i="62" l="1"/>
  <c r="AP40" i="65" l="1"/>
  <c r="AO40" i="65"/>
  <c r="AP29" i="65"/>
  <c r="AO29" i="65"/>
  <c r="AP14" i="65" l="1"/>
  <c r="AO14" i="65"/>
  <c r="AP50" i="62"/>
  <c r="AO20" i="62"/>
  <c r="AO19" i="65"/>
  <c r="AO79" i="62"/>
  <c r="AO35" i="62"/>
  <c r="AP79" i="62"/>
  <c r="AP35" i="62"/>
  <c r="AO54" i="62"/>
  <c r="AP20" i="62"/>
  <c r="AP28" i="62"/>
  <c r="AO39" i="62"/>
  <c r="AP85" i="62"/>
  <c r="AP16" i="62"/>
  <c r="AP54" i="62"/>
  <c r="AP21" i="65"/>
  <c r="AO85" i="62"/>
  <c r="AP44" i="62"/>
  <c r="AP91" i="62" l="1"/>
  <c r="AO60" i="62"/>
  <c r="AO45" i="62"/>
  <c r="AO34" i="65"/>
  <c r="AP34" i="65"/>
  <c r="AP60" i="62"/>
  <c r="AO91" i="62"/>
  <c r="AO21" i="65"/>
  <c r="AP45" i="62"/>
  <c r="AO27" i="62"/>
  <c r="AP27" i="62"/>
  <c r="AP39" i="62"/>
  <c r="AP62" i="62" l="1"/>
  <c r="AO62" i="62"/>
  <c r="AP29" i="62"/>
  <c r="AO41" i="65"/>
  <c r="AO29" i="62"/>
  <c r="AP41" i="65"/>
  <c r="S73" i="62"/>
  <c r="AO64" i="62" l="1"/>
  <c r="AP45" i="65"/>
  <c r="AP43" i="65"/>
  <c r="AO45" i="65"/>
  <c r="AO43" i="65"/>
  <c r="AP64" i="62"/>
  <c r="F29" i="4" l="1"/>
  <c r="F22" i="4"/>
  <c r="E22" i="4"/>
  <c r="E29" i="4"/>
  <c r="C29" i="4"/>
  <c r="C22" i="4"/>
  <c r="B22" i="4"/>
  <c r="B29" i="4"/>
  <c r="G76" i="62" l="1"/>
  <c r="K32" i="13" l="1"/>
  <c r="F33" i="4"/>
  <c r="E33" i="4"/>
  <c r="E32" i="4"/>
  <c r="E31" i="4"/>
  <c r="F30" i="4"/>
  <c r="C32" i="4"/>
  <c r="E27" i="4"/>
  <c r="F25" i="4"/>
  <c r="E25" i="4"/>
  <c r="E24" i="4"/>
  <c r="C27" i="4"/>
  <c r="B26" i="4" l="1"/>
  <c r="B27" i="4"/>
  <c r="E26" i="4"/>
  <c r="C25" i="4"/>
  <c r="F26" i="4"/>
  <c r="F31" i="4"/>
  <c r="C24" i="4"/>
  <c r="F32" i="4"/>
  <c r="F24" i="4"/>
  <c r="B33" i="4"/>
  <c r="F23" i="4"/>
  <c r="B30" i="4"/>
  <c r="E30" i="4"/>
  <c r="C33" i="4"/>
  <c r="C30" i="4"/>
  <c r="B31" i="4"/>
  <c r="C31" i="4"/>
  <c r="B32" i="4"/>
  <c r="E23" i="4"/>
  <c r="B25" i="4"/>
  <c r="F27" i="4"/>
  <c r="C26" i="4"/>
  <c r="B23" i="4"/>
  <c r="C23" i="4"/>
  <c r="B24" i="4"/>
  <c r="D23" i="29"/>
  <c r="H23" i="33"/>
  <c r="D30" i="33"/>
  <c r="D25" i="29"/>
  <c r="D25" i="13"/>
  <c r="D31" i="37"/>
  <c r="D32" i="29"/>
  <c r="D31" i="24"/>
  <c r="H30" i="18"/>
  <c r="H30" i="37"/>
  <c r="H30" i="33"/>
  <c r="H30" i="35"/>
  <c r="H30" i="29"/>
  <c r="H30" i="23"/>
  <c r="H30" i="13"/>
  <c r="D23" i="37"/>
  <c r="D23" i="20"/>
  <c r="D30" i="37"/>
  <c r="D30" i="20"/>
  <c r="H23" i="37"/>
  <c r="H24" i="13"/>
  <c r="H31" i="18"/>
  <c r="H31" i="37"/>
  <c r="H31" i="29"/>
  <c r="H31" i="23"/>
  <c r="H31" i="13"/>
  <c r="H25" i="13"/>
  <c r="D31" i="13"/>
  <c r="H32" i="18"/>
  <c r="H32" i="37"/>
  <c r="H32" i="33"/>
  <c r="H32" i="29"/>
  <c r="H32" i="23"/>
  <c r="H33" i="37"/>
  <c r="H33" i="33"/>
  <c r="H33" i="35"/>
  <c r="H33" i="29"/>
  <c r="H33" i="23"/>
  <c r="H23" i="35"/>
  <c r="H23" i="13"/>
  <c r="D30" i="13"/>
  <c r="D31" i="33"/>
  <c r="D31" i="29"/>
  <c r="D32" i="13"/>
  <c r="H33" i="18"/>
  <c r="H24" i="33"/>
  <c r="H31" i="33"/>
  <c r="H31" i="35"/>
  <c r="H25" i="18"/>
  <c r="H25" i="37"/>
  <c r="H25" i="33"/>
  <c r="H25" i="29"/>
  <c r="H32" i="13"/>
  <c r="D24" i="37"/>
  <c r="D24" i="33"/>
  <c r="D24" i="29"/>
  <c r="D24" i="24"/>
  <c r="D24" i="13"/>
  <c r="H26" i="18"/>
  <c r="H26" i="37"/>
  <c r="H26" i="33"/>
  <c r="H26" i="35"/>
  <c r="H26" i="29"/>
  <c r="H26" i="23"/>
  <c r="J30" i="29"/>
  <c r="D30" i="29"/>
  <c r="J30" i="23"/>
  <c r="D23" i="33"/>
  <c r="H23" i="18"/>
  <c r="H23" i="29"/>
  <c r="D23" i="13"/>
  <c r="J30" i="18"/>
  <c r="J33" i="35"/>
  <c r="J33" i="23"/>
  <c r="J33" i="33"/>
  <c r="J33" i="29"/>
  <c r="J25" i="29"/>
  <c r="J25" i="13"/>
  <c r="J32" i="18"/>
  <c r="J32" i="33"/>
  <c r="J32" i="29"/>
  <c r="J32" i="23"/>
  <c r="J26" i="18"/>
  <c r="J26" i="37"/>
  <c r="J26" i="33"/>
  <c r="J26" i="35"/>
  <c r="J26" i="29"/>
  <c r="J26" i="23"/>
  <c r="K23" i="33"/>
  <c r="J33" i="18"/>
  <c r="J33" i="37"/>
  <c r="K31" i="23"/>
  <c r="K25" i="18"/>
  <c r="K25" i="37"/>
  <c r="K25" i="33"/>
  <c r="K25" i="29"/>
  <c r="K25" i="13"/>
  <c r="K23" i="37"/>
  <c r="K23" i="20"/>
  <c r="K32" i="18"/>
  <c r="K32" i="33"/>
  <c r="K32" i="29"/>
  <c r="K32" i="23"/>
  <c r="K33" i="23"/>
  <c r="K26" i="18"/>
  <c r="K26" i="33"/>
  <c r="K26" i="29"/>
  <c r="K23" i="35"/>
  <c r="K23" i="13"/>
  <c r="K33" i="18"/>
  <c r="K33" i="33"/>
  <c r="K33" i="29"/>
  <c r="J23" i="20"/>
  <c r="K26" i="35"/>
  <c r="J23" i="37"/>
  <c r="K26" i="37"/>
  <c r="K26" i="23"/>
  <c r="K31" i="13"/>
  <c r="J23" i="18"/>
  <c r="J23" i="29"/>
  <c r="J25" i="18"/>
  <c r="J25" i="37"/>
  <c r="J25" i="33"/>
  <c r="K24" i="24"/>
  <c r="K24" i="13"/>
  <c r="K31" i="18"/>
  <c r="K31" i="33"/>
  <c r="K31" i="29"/>
  <c r="J23" i="35"/>
  <c r="J23" i="13"/>
  <c r="K30" i="20"/>
  <c r="K30" i="13"/>
  <c r="K24" i="33"/>
  <c r="K24" i="29"/>
  <c r="J31" i="37"/>
  <c r="J31" i="24"/>
  <c r="J31" i="35"/>
  <c r="J31" i="13"/>
  <c r="J24" i="37"/>
  <c r="J24" i="33"/>
  <c r="J24" i="29"/>
  <c r="J24" i="24"/>
  <c r="J24" i="13"/>
  <c r="K23" i="18"/>
  <c r="K23" i="29"/>
  <c r="J31" i="18"/>
  <c r="J31" i="33"/>
  <c r="J31" i="29"/>
  <c r="J31" i="23"/>
  <c r="K24" i="37"/>
  <c r="K30" i="37"/>
  <c r="J30" i="13"/>
  <c r="J23" i="33"/>
  <c r="J30" i="33"/>
  <c r="J30" i="35"/>
  <c r="J32" i="13"/>
  <c r="L32" i="13" s="1"/>
  <c r="J30" i="37"/>
  <c r="J30" i="20"/>
  <c r="J32" i="37"/>
  <c r="K30" i="18"/>
  <c r="K30" i="33"/>
  <c r="K30" i="29"/>
  <c r="K30" i="23"/>
  <c r="K32" i="37"/>
  <c r="K30" i="35"/>
  <c r="K31" i="37"/>
  <c r="K33" i="37"/>
  <c r="K31" i="35"/>
  <c r="K33" i="35"/>
  <c r="K31" i="24"/>
  <c r="L31" i="23" l="1"/>
  <c r="L23" i="33"/>
  <c r="L30" i="37"/>
  <c r="L24" i="29"/>
  <c r="L23" i="35"/>
  <c r="L23" i="20"/>
  <c r="L25" i="18"/>
  <c r="L31" i="29"/>
  <c r="L25" i="29"/>
  <c r="L24" i="33"/>
  <c r="L26" i="33"/>
  <c r="L33" i="23"/>
  <c r="L30" i="35"/>
  <c r="L31" i="18"/>
  <c r="L33" i="18"/>
  <c r="L30" i="20"/>
  <c r="L31" i="13"/>
  <c r="L24" i="13"/>
  <c r="L26" i="35"/>
  <c r="L24" i="37"/>
  <c r="L31" i="37"/>
  <c r="L26" i="37"/>
  <c r="L26" i="29"/>
  <c r="L30" i="29"/>
  <c r="L32" i="37"/>
  <c r="L31" i="33"/>
  <c r="L23" i="13"/>
  <c r="L23" i="29"/>
  <c r="L33" i="37"/>
  <c r="L32" i="23"/>
  <c r="L25" i="13"/>
  <c r="L30" i="18"/>
  <c r="L31" i="35"/>
  <c r="L23" i="18"/>
  <c r="L33" i="29"/>
  <c r="L25" i="33"/>
  <c r="L26" i="23"/>
  <c r="L26" i="18"/>
  <c r="L32" i="29"/>
  <c r="L33" i="33"/>
  <c r="L30" i="13"/>
  <c r="L30" i="33"/>
  <c r="L24" i="24"/>
  <c r="L25" i="37"/>
  <c r="L23" i="37"/>
  <c r="L32" i="33"/>
  <c r="L31" i="24"/>
  <c r="L32" i="18"/>
  <c r="L33" i="35"/>
  <c r="L30" i="23"/>
  <c r="J9" i="72"/>
  <c r="E31" i="13" l="1"/>
  <c r="E31" i="37"/>
  <c r="E31" i="33"/>
  <c r="E31" i="24"/>
  <c r="E31" i="29"/>
  <c r="E23" i="13"/>
  <c r="E23" i="20"/>
  <c r="E23" i="37"/>
  <c r="E23" i="33"/>
  <c r="E23" i="29"/>
  <c r="E25" i="29"/>
  <c r="E25" i="13"/>
  <c r="E30" i="13"/>
  <c r="E30" i="20"/>
  <c r="E30" i="37"/>
  <c r="E30" i="29"/>
  <c r="E30" i="33"/>
  <c r="E32" i="13"/>
  <c r="E32" i="29"/>
  <c r="E24" i="24"/>
  <c r="E24" i="13"/>
  <c r="E24" i="29"/>
  <c r="E24" i="33"/>
  <c r="E24" i="37"/>
  <c r="K7" i="72"/>
  <c r="K9" i="72"/>
  <c r="L9" i="72" s="1"/>
  <c r="J7" i="72"/>
  <c r="D48" i="72"/>
  <c r="D7" i="72"/>
  <c r="D9" i="72"/>
  <c r="AK44" i="65"/>
  <c r="Y44" i="65"/>
  <c r="V44" i="65"/>
  <c r="G44" i="65"/>
  <c r="AK42" i="65"/>
  <c r="AH42" i="65"/>
  <c r="AB42" i="65"/>
  <c r="Y42" i="65"/>
  <c r="S42" i="65"/>
  <c r="P42" i="65"/>
  <c r="M42" i="65"/>
  <c r="G42" i="65"/>
  <c r="D42" i="65"/>
  <c r="AK40" i="65"/>
  <c r="AH40" i="65"/>
  <c r="AB40" i="65"/>
  <c r="Y40" i="65"/>
  <c r="AN40" i="65"/>
  <c r="V40" i="65"/>
  <c r="S40" i="65"/>
  <c r="P40" i="65"/>
  <c r="M40" i="65"/>
  <c r="G40" i="65"/>
  <c r="D40" i="65"/>
  <c r="AK39" i="65"/>
  <c r="AH39" i="65"/>
  <c r="AB39" i="65"/>
  <c r="Y39" i="65"/>
  <c r="AN39" i="65"/>
  <c r="V39" i="65"/>
  <c r="P39" i="65"/>
  <c r="G39" i="65"/>
  <c r="AK38" i="65"/>
  <c r="AH38" i="65"/>
  <c r="AB38" i="65"/>
  <c r="Y38" i="65"/>
  <c r="V38" i="65"/>
  <c r="M38" i="65"/>
  <c r="G38" i="65"/>
  <c r="AK37" i="65"/>
  <c r="AH37" i="65"/>
  <c r="AB37" i="65"/>
  <c r="Y37" i="65"/>
  <c r="V37" i="65"/>
  <c r="S37" i="65"/>
  <c r="P37" i="65"/>
  <c r="M37" i="65"/>
  <c r="G37" i="65"/>
  <c r="D37" i="65"/>
  <c r="AK33" i="65"/>
  <c r="AH33" i="65"/>
  <c r="Y33" i="65"/>
  <c r="V33" i="65"/>
  <c r="G33" i="65"/>
  <c r="AK32" i="65"/>
  <c r="AH32" i="65"/>
  <c r="AE32" i="65"/>
  <c r="Y32" i="65"/>
  <c r="AN32" i="65"/>
  <c r="V32" i="65"/>
  <c r="S32" i="65"/>
  <c r="P32" i="65"/>
  <c r="M32" i="65"/>
  <c r="G32" i="65"/>
  <c r="D32" i="65"/>
  <c r="AK31" i="65"/>
  <c r="AH31" i="65"/>
  <c r="AB31" i="65"/>
  <c r="Y31" i="65"/>
  <c r="V31" i="65"/>
  <c r="P31" i="65"/>
  <c r="G31" i="65"/>
  <c r="AK30" i="65"/>
  <c r="AH30" i="65"/>
  <c r="AE30" i="65"/>
  <c r="Y30" i="65"/>
  <c r="V30" i="65"/>
  <c r="P30" i="65"/>
  <c r="G30" i="65"/>
  <c r="D30" i="65"/>
  <c r="Y29" i="65"/>
  <c r="AK28" i="65"/>
  <c r="AH28" i="65"/>
  <c r="Y28" i="65"/>
  <c r="V28" i="65"/>
  <c r="G28" i="65"/>
  <c r="AK27" i="65"/>
  <c r="AH27" i="65"/>
  <c r="Y27" i="65"/>
  <c r="M27" i="65"/>
  <c r="G27" i="65"/>
  <c r="D27" i="65"/>
  <c r="AK26" i="65"/>
  <c r="AH26" i="65"/>
  <c r="AB26" i="65"/>
  <c r="Y26" i="65"/>
  <c r="V26" i="65"/>
  <c r="G26" i="65"/>
  <c r="AK25" i="65"/>
  <c r="AH25" i="65"/>
  <c r="AB25" i="65"/>
  <c r="Y25" i="65"/>
  <c r="V25" i="65"/>
  <c r="P25" i="65"/>
  <c r="G25" i="65"/>
  <c r="D25" i="65"/>
  <c r="AK24" i="65"/>
  <c r="AH24" i="65"/>
  <c r="AB24" i="65"/>
  <c r="Y24" i="65"/>
  <c r="V24" i="65"/>
  <c r="P24" i="65"/>
  <c r="G24" i="65"/>
  <c r="AK23" i="65"/>
  <c r="AH23" i="65"/>
  <c r="AB23" i="65"/>
  <c r="Y23" i="65"/>
  <c r="AN23" i="65"/>
  <c r="V23" i="65"/>
  <c r="P23" i="65"/>
  <c r="M23" i="65"/>
  <c r="G23" i="65"/>
  <c r="D23" i="65"/>
  <c r="AB21" i="65"/>
  <c r="AK20" i="65"/>
  <c r="AH20" i="65"/>
  <c r="AE20" i="65"/>
  <c r="Y20" i="65"/>
  <c r="V20" i="65"/>
  <c r="P20" i="65"/>
  <c r="G20" i="65"/>
  <c r="D20" i="65"/>
  <c r="AK19" i="65"/>
  <c r="AH19" i="65"/>
  <c r="AE19" i="65"/>
  <c r="AB19" i="65"/>
  <c r="Y19" i="65"/>
  <c r="AN19" i="65"/>
  <c r="V19" i="65"/>
  <c r="S19" i="65"/>
  <c r="P19" i="65"/>
  <c r="M19" i="65"/>
  <c r="G19" i="65"/>
  <c r="D19" i="65"/>
  <c r="AK17" i="65"/>
  <c r="AH17" i="65"/>
  <c r="AB17" i="65"/>
  <c r="Y17" i="65"/>
  <c r="V17" i="65"/>
  <c r="M17" i="65"/>
  <c r="G17" i="65"/>
  <c r="AK16" i="65"/>
  <c r="AH16" i="65"/>
  <c r="AE16" i="65"/>
  <c r="Y16" i="65"/>
  <c r="V16" i="65"/>
  <c r="P16" i="65"/>
  <c r="G16" i="65"/>
  <c r="D16" i="65"/>
  <c r="AK15" i="65"/>
  <c r="AH15" i="65"/>
  <c r="AB15" i="65"/>
  <c r="Y15" i="65"/>
  <c r="V15" i="65"/>
  <c r="P15" i="65"/>
  <c r="M15" i="65"/>
  <c r="G15" i="65"/>
  <c r="D15" i="65"/>
  <c r="AK14" i="65"/>
  <c r="Y14" i="65"/>
  <c r="AK13" i="65"/>
  <c r="AH13" i="65"/>
  <c r="AE13" i="65"/>
  <c r="Y13" i="65"/>
  <c r="V13" i="65"/>
  <c r="P13" i="65"/>
  <c r="G13" i="65"/>
  <c r="D13" i="65"/>
  <c r="AK12" i="65"/>
  <c r="AH12" i="65"/>
  <c r="Y12" i="65"/>
  <c r="AN12" i="65"/>
  <c r="V12" i="65"/>
  <c r="P12" i="65"/>
  <c r="M12" i="65"/>
  <c r="G12" i="65"/>
  <c r="D12" i="65"/>
  <c r="AK11" i="65"/>
  <c r="AH11" i="65"/>
  <c r="AE11" i="65"/>
  <c r="AB11" i="65"/>
  <c r="Y11" i="65"/>
  <c r="AN11" i="65"/>
  <c r="V11" i="65"/>
  <c r="S11" i="65"/>
  <c r="P11" i="65"/>
  <c r="M11" i="65"/>
  <c r="G11" i="65"/>
  <c r="D11" i="65"/>
  <c r="AK89" i="62"/>
  <c r="AH89" i="62"/>
  <c r="Y89" i="62"/>
  <c r="AN89" i="62"/>
  <c r="V89" i="62"/>
  <c r="S89" i="62"/>
  <c r="P89" i="62"/>
  <c r="M89" i="62"/>
  <c r="G89" i="62"/>
  <c r="D89" i="62"/>
  <c r="AK88" i="62"/>
  <c r="AH88" i="62"/>
  <c r="AE88" i="62"/>
  <c r="AB88" i="62"/>
  <c r="Y88" i="62"/>
  <c r="AN88" i="62"/>
  <c r="V88" i="62"/>
  <c r="S88" i="62"/>
  <c r="P88" i="62"/>
  <c r="G88" i="62"/>
  <c r="D88" i="62"/>
  <c r="AH87" i="62"/>
  <c r="AK86" i="62"/>
  <c r="AH86" i="62"/>
  <c r="AB86" i="62"/>
  <c r="Y86" i="62"/>
  <c r="V86" i="62"/>
  <c r="P86" i="62"/>
  <c r="M86" i="62"/>
  <c r="G86" i="62"/>
  <c r="D86" i="62"/>
  <c r="AH83" i="62"/>
  <c r="V83" i="62"/>
  <c r="P83" i="62"/>
  <c r="G83" i="62"/>
  <c r="D83" i="62"/>
  <c r="AH82" i="62"/>
  <c r="AK81" i="62"/>
  <c r="AH81" i="62"/>
  <c r="AE81" i="62"/>
  <c r="Y81" i="62"/>
  <c r="V81" i="62"/>
  <c r="P81" i="62"/>
  <c r="G81" i="62"/>
  <c r="D81" i="62"/>
  <c r="AK77" i="62"/>
  <c r="Y77" i="62"/>
  <c r="G77" i="62"/>
  <c r="D77" i="62"/>
  <c r="AK76" i="62"/>
  <c r="AH76" i="62"/>
  <c r="Y76" i="62"/>
  <c r="V76" i="62"/>
  <c r="D76" i="62"/>
  <c r="AK75" i="62"/>
  <c r="AH75" i="62"/>
  <c r="AB75" i="62"/>
  <c r="Y75" i="62"/>
  <c r="V75" i="62"/>
  <c r="P75" i="62"/>
  <c r="G75" i="62"/>
  <c r="D75" i="62"/>
  <c r="AK74" i="62"/>
  <c r="AH74" i="62"/>
  <c r="AB74" i="62"/>
  <c r="Y74" i="62"/>
  <c r="V74" i="62"/>
  <c r="P74" i="62"/>
  <c r="M74" i="62"/>
  <c r="G74" i="62"/>
  <c r="D74" i="62"/>
  <c r="AK73" i="62"/>
  <c r="AH73" i="62"/>
  <c r="AB73" i="62"/>
  <c r="Y73" i="62"/>
  <c r="AN73" i="62"/>
  <c r="V73" i="62"/>
  <c r="P73" i="62"/>
  <c r="M73" i="62"/>
  <c r="G73" i="62"/>
  <c r="D73" i="62"/>
  <c r="AK71" i="62"/>
  <c r="AH71" i="62"/>
  <c r="AB71" i="62"/>
  <c r="Y71" i="62"/>
  <c r="V71" i="62"/>
  <c r="G71" i="62"/>
  <c r="AK70" i="62"/>
  <c r="AH70" i="62"/>
  <c r="Y70" i="62"/>
  <c r="V70" i="62"/>
  <c r="P70" i="62"/>
  <c r="G70" i="62"/>
  <c r="AK69" i="62"/>
  <c r="AH69" i="62"/>
  <c r="AE69" i="62"/>
  <c r="AB69" i="62"/>
  <c r="Y69" i="62"/>
  <c r="AN69" i="62"/>
  <c r="V69" i="62"/>
  <c r="S69" i="62"/>
  <c r="P69" i="62"/>
  <c r="M69" i="62"/>
  <c r="G69" i="62"/>
  <c r="D69" i="62"/>
  <c r="AK68" i="62"/>
  <c r="AH68" i="62"/>
  <c r="AE68" i="62"/>
  <c r="AB68" i="62"/>
  <c r="Y68" i="62"/>
  <c r="AN68" i="62"/>
  <c r="V68" i="62"/>
  <c r="S68" i="62"/>
  <c r="P68" i="62"/>
  <c r="M68" i="62"/>
  <c r="G68" i="62"/>
  <c r="D68" i="62"/>
  <c r="AH59" i="62"/>
  <c r="Y59" i="62"/>
  <c r="V59" i="62"/>
  <c r="P59" i="62"/>
  <c r="D59" i="62"/>
  <c r="AK58" i="62"/>
  <c r="V58" i="62"/>
  <c r="AK57" i="62"/>
  <c r="V57" i="62"/>
  <c r="P57" i="62"/>
  <c r="G57" i="62"/>
  <c r="AK56" i="62"/>
  <c r="AH56" i="62"/>
  <c r="V56" i="62"/>
  <c r="P56" i="62"/>
  <c r="G56" i="62"/>
  <c r="D56" i="62"/>
  <c r="AK55" i="62"/>
  <c r="AH55" i="62"/>
  <c r="AE55" i="62"/>
  <c r="Y55" i="62"/>
  <c r="V55" i="62"/>
  <c r="P55" i="62"/>
  <c r="G55" i="62"/>
  <c r="D55" i="62"/>
  <c r="V53" i="62"/>
  <c r="V51" i="62"/>
  <c r="AK49" i="62"/>
  <c r="V49" i="62"/>
  <c r="AQ48" i="62"/>
  <c r="AH46" i="62"/>
  <c r="Y46" i="62"/>
  <c r="M46" i="62"/>
  <c r="D46" i="62"/>
  <c r="AH44" i="62"/>
  <c r="AB44" i="62"/>
  <c r="Y44" i="62"/>
  <c r="V44" i="62"/>
  <c r="P44" i="62"/>
  <c r="M44" i="62"/>
  <c r="G44" i="62"/>
  <c r="D44" i="62"/>
  <c r="AK43" i="62"/>
  <c r="AH43" i="62"/>
  <c r="AB43" i="62"/>
  <c r="Y43" i="62"/>
  <c r="V43" i="62"/>
  <c r="G43" i="62"/>
  <c r="AK42" i="62"/>
  <c r="V42" i="62"/>
  <c r="G42" i="62"/>
  <c r="AK41" i="62"/>
  <c r="AH41" i="62"/>
  <c r="AB41" i="62"/>
  <c r="Y41" i="62"/>
  <c r="V41" i="62"/>
  <c r="P41" i="62"/>
  <c r="M41" i="62"/>
  <c r="G41" i="62"/>
  <c r="D41" i="62"/>
  <c r="AK40" i="62"/>
  <c r="AH40" i="62"/>
  <c r="AB40" i="62"/>
  <c r="Y40" i="62"/>
  <c r="V40" i="62"/>
  <c r="M40" i="62"/>
  <c r="G40" i="62"/>
  <c r="D40" i="62"/>
  <c r="AK38" i="62"/>
  <c r="AH38" i="62"/>
  <c r="AB38" i="62"/>
  <c r="Y38" i="62"/>
  <c r="V38" i="62"/>
  <c r="P38" i="62"/>
  <c r="AK37" i="62"/>
  <c r="AH37" i="62"/>
  <c r="Y37" i="62"/>
  <c r="V37" i="62"/>
  <c r="G37" i="62"/>
  <c r="AK36" i="62"/>
  <c r="AH36" i="62"/>
  <c r="Y36" i="62"/>
  <c r="V36" i="62"/>
  <c r="G36" i="62"/>
  <c r="G35" i="62"/>
  <c r="AK34" i="62"/>
  <c r="AH34" i="62"/>
  <c r="AB34" i="62"/>
  <c r="Y34" i="62"/>
  <c r="V34" i="62"/>
  <c r="G34" i="62"/>
  <c r="G33" i="62"/>
  <c r="AK28" i="62"/>
  <c r="AH28" i="62"/>
  <c r="AB28" i="62"/>
  <c r="Y28" i="62"/>
  <c r="AN28" i="62"/>
  <c r="V28" i="62"/>
  <c r="P28" i="62"/>
  <c r="M28" i="62"/>
  <c r="G28" i="62"/>
  <c r="D28" i="62"/>
  <c r="AQ26" i="62"/>
  <c r="AH25" i="62"/>
  <c r="V25" i="62"/>
  <c r="M25" i="62"/>
  <c r="G25" i="62"/>
  <c r="AK24" i="62"/>
  <c r="AB24" i="62"/>
  <c r="V24" i="62"/>
  <c r="G24" i="62"/>
  <c r="AH23" i="62"/>
  <c r="Y23" i="62"/>
  <c r="V23" i="62"/>
  <c r="G23" i="62"/>
  <c r="AK22" i="62"/>
  <c r="AH22" i="62"/>
  <c r="AB22" i="62"/>
  <c r="Y22" i="62"/>
  <c r="V22" i="62"/>
  <c r="P22" i="62"/>
  <c r="M22" i="62"/>
  <c r="G22" i="62"/>
  <c r="D22" i="62"/>
  <c r="AK21" i="62"/>
  <c r="AH21" i="62"/>
  <c r="Y21" i="62"/>
  <c r="V21" i="62"/>
  <c r="P21" i="62"/>
  <c r="M21" i="62"/>
  <c r="G21" i="62"/>
  <c r="D21" i="62"/>
  <c r="AK20" i="62"/>
  <c r="AH20" i="62"/>
  <c r="AB20" i="62"/>
  <c r="Y20" i="62"/>
  <c r="V20" i="62"/>
  <c r="P20" i="62"/>
  <c r="M20" i="62"/>
  <c r="G20" i="62"/>
  <c r="AK19" i="62"/>
  <c r="AH19" i="62"/>
  <c r="AB19" i="62"/>
  <c r="V19" i="62"/>
  <c r="AH18" i="62"/>
  <c r="V18" i="62"/>
  <c r="AH17" i="62"/>
  <c r="AB17" i="62"/>
  <c r="V17" i="62"/>
  <c r="AK27" i="62"/>
  <c r="AK15" i="62"/>
  <c r="AH15" i="62"/>
  <c r="AB15" i="62"/>
  <c r="V15" i="62"/>
  <c r="G15" i="62"/>
  <c r="V14" i="62"/>
  <c r="L7" i="72" l="1"/>
  <c r="AQ61" i="62"/>
  <c r="AQ84" i="62"/>
  <c r="AQ22" i="62"/>
  <c r="AQ14" i="62"/>
  <c r="AQ37" i="62"/>
  <c r="AQ41" i="62"/>
  <c r="AQ52" i="62"/>
  <c r="AE54" i="62"/>
  <c r="AH54" i="62"/>
  <c r="AQ40" i="62"/>
  <c r="AQ46" i="62"/>
  <c r="M14" i="65"/>
  <c r="AQ15" i="65"/>
  <c r="AT16" i="65"/>
  <c r="AQ19" i="65"/>
  <c r="AQ28" i="65"/>
  <c r="AQ71" i="62"/>
  <c r="AQ75" i="62"/>
  <c r="AQ81" i="62"/>
  <c r="AQ87" i="62"/>
  <c r="AQ89" i="62"/>
  <c r="H27" i="9"/>
  <c r="D47" i="72"/>
  <c r="G27" i="9"/>
  <c r="G68" i="9" s="1"/>
  <c r="B27" i="9"/>
  <c r="M26" i="8" s="1"/>
  <c r="Y27" i="62"/>
  <c r="AQ55" i="62"/>
  <c r="AQ57" i="62"/>
  <c r="AQ68" i="62"/>
  <c r="AQ17" i="65"/>
  <c r="AQ20" i="65"/>
  <c r="V16" i="62"/>
  <c r="AQ28" i="62"/>
  <c r="AQ42" i="62"/>
  <c r="AQ69" i="62"/>
  <c r="AQ76" i="62"/>
  <c r="AQ82" i="62"/>
  <c r="AT12" i="65"/>
  <c r="AQ13" i="65"/>
  <c r="AQ27" i="65"/>
  <c r="AQ33" i="65"/>
  <c r="AQ44" i="65"/>
  <c r="AQ15" i="62"/>
  <c r="AQ17" i="62"/>
  <c r="AQ19" i="62"/>
  <c r="AQ21" i="62"/>
  <c r="AQ23" i="62"/>
  <c r="AQ33" i="62"/>
  <c r="AQ53" i="62"/>
  <c r="AQ86" i="62"/>
  <c r="AT19" i="65"/>
  <c r="AH35" i="62"/>
  <c r="Y39" i="62"/>
  <c r="AQ38" i="62"/>
  <c r="V39" i="62"/>
  <c r="AQ43" i="62"/>
  <c r="AQ49" i="62"/>
  <c r="AQ51" i="62"/>
  <c r="AQ56" i="62"/>
  <c r="AQ58" i="62"/>
  <c r="AQ59" i="62"/>
  <c r="AQ70" i="62"/>
  <c r="AQ74" i="62"/>
  <c r="AQ77" i="62"/>
  <c r="AQ78" i="62"/>
  <c r="AT15" i="65"/>
  <c r="AT20" i="65"/>
  <c r="G21" i="65"/>
  <c r="AH21" i="65"/>
  <c r="AQ38" i="65"/>
  <c r="AQ39" i="65"/>
  <c r="M29" i="65"/>
  <c r="P54" i="62"/>
  <c r="AK79" i="62"/>
  <c r="AB16" i="62"/>
  <c r="G54" i="62"/>
  <c r="AB14" i="65"/>
  <c r="V29" i="65"/>
  <c r="AQ40" i="65"/>
  <c r="AH16" i="62"/>
  <c r="D14" i="65"/>
  <c r="AH29" i="65"/>
  <c r="AQ18" i="62"/>
  <c r="AQ88" i="62"/>
  <c r="AQ12" i="65"/>
  <c r="AQ26" i="65"/>
  <c r="P35" i="62"/>
  <c r="AK35" i="62"/>
  <c r="AB39" i="62"/>
  <c r="AK54" i="62"/>
  <c r="AQ73" i="62"/>
  <c r="AK16" i="62"/>
  <c r="AQ24" i="62"/>
  <c r="AQ34" i="62"/>
  <c r="AQ36" i="62"/>
  <c r="AQ44" i="62"/>
  <c r="D54" i="62"/>
  <c r="AH79" i="62"/>
  <c r="AQ83" i="62"/>
  <c r="V85" i="62"/>
  <c r="Y85" i="62"/>
  <c r="AQ11" i="65"/>
  <c r="AT13" i="65"/>
  <c r="S14" i="65"/>
  <c r="AQ16" i="65"/>
  <c r="AT17" i="65"/>
  <c r="P21" i="65"/>
  <c r="AQ23" i="65"/>
  <c r="AQ24" i="65"/>
  <c r="AQ25" i="65"/>
  <c r="G29" i="65"/>
  <c r="AQ32" i="65"/>
  <c r="AQ25" i="62"/>
  <c r="AT11" i="65"/>
  <c r="AN14" i="65"/>
  <c r="AE34" i="65"/>
  <c r="V21" i="65"/>
  <c r="AK21" i="65"/>
  <c r="D29" i="65"/>
  <c r="P29" i="65"/>
  <c r="AQ37" i="65"/>
  <c r="G34" i="65"/>
  <c r="V14" i="65"/>
  <c r="M21" i="65"/>
  <c r="AN21" i="65"/>
  <c r="AE21" i="65"/>
  <c r="AK29" i="65"/>
  <c r="AB34" i="65"/>
  <c r="AB29" i="65"/>
  <c r="AQ30" i="65"/>
  <c r="AN29" i="65"/>
  <c r="G14" i="65"/>
  <c r="P14" i="65"/>
  <c r="AE14" i="65"/>
  <c r="D21" i="65"/>
  <c r="S21" i="65"/>
  <c r="AH14" i="65"/>
  <c r="Y21" i="65"/>
  <c r="AQ31" i="65"/>
  <c r="AQ42" i="65"/>
  <c r="V27" i="62"/>
  <c r="S29" i="62"/>
  <c r="G27" i="62"/>
  <c r="M27" i="62"/>
  <c r="D27" i="62"/>
  <c r="P27" i="62"/>
  <c r="AE29" i="62"/>
  <c r="V35" i="62"/>
  <c r="P39" i="62"/>
  <c r="AH39" i="62"/>
  <c r="AQ16" i="62"/>
  <c r="D20" i="62"/>
  <c r="AQ20" i="62"/>
  <c r="Y35" i="62"/>
  <c r="G39" i="62"/>
  <c r="AK39" i="62"/>
  <c r="D39" i="62"/>
  <c r="AB35" i="62"/>
  <c r="M39" i="62"/>
  <c r="G79" i="62"/>
  <c r="P79" i="62"/>
  <c r="V79" i="62"/>
  <c r="Y79" i="62"/>
  <c r="G85" i="62"/>
  <c r="P85" i="62"/>
  <c r="AK85" i="62"/>
  <c r="V91" i="62"/>
  <c r="V50" i="62"/>
  <c r="V54" i="62"/>
  <c r="Y54" i="62"/>
  <c r="D79" i="62"/>
  <c r="M79" i="62"/>
  <c r="S79" i="62"/>
  <c r="AN79" i="62"/>
  <c r="AB79" i="62"/>
  <c r="D85" i="62"/>
  <c r="AE85" i="62"/>
  <c r="AH85" i="62"/>
  <c r="C27" i="9" l="1"/>
  <c r="AQ39" i="62"/>
  <c r="B68" i="9"/>
  <c r="AH27" i="62"/>
  <c r="AQ27" i="62"/>
  <c r="AB27" i="62"/>
  <c r="AT14" i="65"/>
  <c r="AT21" i="65"/>
  <c r="S91" i="62"/>
  <c r="AQ79" i="62"/>
  <c r="S34" i="65"/>
  <c r="M34" i="65"/>
  <c r="G41" i="65"/>
  <c r="AQ29" i="65"/>
  <c r="AQ14" i="65"/>
  <c r="AH34" i="65"/>
  <c r="AQ21" i="65"/>
  <c r="P34" i="65"/>
  <c r="AB41" i="65"/>
  <c r="AK34" i="65"/>
  <c r="AN34" i="65"/>
  <c r="D34" i="65"/>
  <c r="Y34" i="65"/>
  <c r="V34" i="65"/>
  <c r="AH29" i="62"/>
  <c r="AB29" i="62"/>
  <c r="AK60" i="62"/>
  <c r="AN91" i="62"/>
  <c r="AQ85" i="62"/>
  <c r="AQ54" i="62"/>
  <c r="Y91" i="62"/>
  <c r="AQ50" i="62"/>
  <c r="AB45" i="62"/>
  <c r="M29" i="62"/>
  <c r="Y29" i="62"/>
  <c r="M91" i="62"/>
  <c r="D91" i="62"/>
  <c r="D45" i="62"/>
  <c r="AE60" i="62"/>
  <c r="AE91" i="62"/>
  <c r="AK45" i="62"/>
  <c r="AK91" i="62"/>
  <c r="P45" i="62"/>
  <c r="Y45" i="62"/>
  <c r="V45" i="62"/>
  <c r="AK29" i="62"/>
  <c r="P29" i="62"/>
  <c r="D29" i="62"/>
  <c r="AQ29" i="62"/>
  <c r="G29" i="62"/>
  <c r="V29" i="62"/>
  <c r="G60" i="62"/>
  <c r="AB91" i="62"/>
  <c r="V60" i="62"/>
  <c r="P60" i="62"/>
  <c r="P91" i="62"/>
  <c r="Y60" i="62"/>
  <c r="AH45" i="62"/>
  <c r="AH60" i="62"/>
  <c r="D60" i="62"/>
  <c r="AH91" i="62"/>
  <c r="G91" i="62"/>
  <c r="AQ35" i="62"/>
  <c r="G45" i="62"/>
  <c r="M45" i="62"/>
  <c r="AN29" i="62"/>
  <c r="C68" i="9" l="1"/>
  <c r="D68" i="9" s="1"/>
  <c r="N26" i="8"/>
  <c r="AE41" i="65"/>
  <c r="AQ34" i="65"/>
  <c r="AN41" i="65"/>
  <c r="AB43" i="65"/>
  <c r="P41" i="65"/>
  <c r="G43" i="65"/>
  <c r="M41" i="65"/>
  <c r="V41" i="65"/>
  <c r="Y41" i="65"/>
  <c r="D41" i="65"/>
  <c r="AQ41" i="65"/>
  <c r="AH41" i="65"/>
  <c r="S41" i="65"/>
  <c r="AK41" i="65"/>
  <c r="AE43" i="65"/>
  <c r="AH64" i="62"/>
  <c r="M64" i="62"/>
  <c r="D62" i="62"/>
  <c r="G62" i="62"/>
  <c r="AK64" i="62"/>
  <c r="P62" i="62"/>
  <c r="AK62" i="62"/>
  <c r="AB62" i="62"/>
  <c r="AN64" i="62"/>
  <c r="AE62" i="62"/>
  <c r="AH62" i="62"/>
  <c r="AQ91" i="62"/>
  <c r="M62" i="62"/>
  <c r="AQ60" i="62"/>
  <c r="V64" i="62"/>
  <c r="P64" i="62"/>
  <c r="V62" i="62"/>
  <c r="Y62" i="62"/>
  <c r="AQ45" i="62"/>
  <c r="G33" i="4"/>
  <c r="I33" i="4" l="1"/>
  <c r="H33" i="4"/>
  <c r="AK43" i="65"/>
  <c r="S43" i="65"/>
  <c r="AQ43" i="65"/>
  <c r="D43" i="65"/>
  <c r="V43" i="65"/>
  <c r="G45" i="65"/>
  <c r="P43" i="65"/>
  <c r="M43" i="65"/>
  <c r="AB45" i="65"/>
  <c r="AN43" i="65"/>
  <c r="AE45" i="65"/>
  <c r="AH43" i="65"/>
  <c r="Y43" i="65"/>
  <c r="D64" i="62"/>
  <c r="Y64" i="62"/>
  <c r="AE64" i="62"/>
  <c r="G64" i="62"/>
  <c r="AB64" i="62"/>
  <c r="S64" i="62"/>
  <c r="AQ62" i="62"/>
  <c r="J33" i="4" l="1"/>
  <c r="Y45" i="65"/>
  <c r="P45" i="65"/>
  <c r="V45" i="65"/>
  <c r="S45" i="65"/>
  <c r="AN45" i="65"/>
  <c r="AH45" i="65"/>
  <c r="M45" i="65"/>
  <c r="D45" i="65"/>
  <c r="AK45" i="65"/>
  <c r="AQ64" i="62"/>
  <c r="K9" i="18"/>
  <c r="K8" i="18"/>
  <c r="AQ45" i="65" l="1"/>
  <c r="G10" i="9"/>
  <c r="D22" i="18"/>
  <c r="H10" i="9"/>
  <c r="D29" i="18"/>
  <c r="H10" i="18"/>
  <c r="D7" i="18"/>
  <c r="D10" i="18"/>
  <c r="H117" i="18"/>
  <c r="H121" i="18"/>
  <c r="K7" i="18"/>
  <c r="J88" i="18"/>
  <c r="H109" i="18"/>
  <c r="H113" i="18"/>
  <c r="H125" i="18"/>
  <c r="K113" i="18"/>
  <c r="K99" i="18"/>
  <c r="H7" i="18"/>
  <c r="K11" i="18"/>
  <c r="J67" i="18"/>
  <c r="D99" i="18"/>
  <c r="J109" i="18"/>
  <c r="J112" i="18"/>
  <c r="J121" i="18"/>
  <c r="D28" i="18"/>
  <c r="H34" i="18"/>
  <c r="H35" i="18"/>
  <c r="K78" i="18"/>
  <c r="K108" i="18"/>
  <c r="J113" i="18"/>
  <c r="K120" i="18"/>
  <c r="H108" i="18"/>
  <c r="J35" i="18"/>
  <c r="H11" i="18"/>
  <c r="K109" i="18"/>
  <c r="J117" i="18"/>
  <c r="K12" i="18"/>
  <c r="K112" i="18"/>
  <c r="K117" i="18"/>
  <c r="H12" i="18"/>
  <c r="K35" i="18"/>
  <c r="K10" i="18"/>
  <c r="J34" i="18"/>
  <c r="D67" i="18"/>
  <c r="D88" i="18"/>
  <c r="J99" i="18"/>
  <c r="J120" i="18"/>
  <c r="K121" i="18"/>
  <c r="K28" i="18"/>
  <c r="K34" i="18"/>
  <c r="D48" i="18"/>
  <c r="K67" i="18"/>
  <c r="D120" i="18"/>
  <c r="J11" i="18"/>
  <c r="J108" i="18"/>
  <c r="D112" i="18"/>
  <c r="H22" i="18"/>
  <c r="D78" i="18"/>
  <c r="D108" i="18"/>
  <c r="J125" i="18"/>
  <c r="J9" i="18"/>
  <c r="L9" i="18" s="1"/>
  <c r="D9" i="18"/>
  <c r="J28" i="18"/>
  <c r="J12" i="18"/>
  <c r="J7" i="18"/>
  <c r="J10" i="18"/>
  <c r="J8" i="18"/>
  <c r="L8" i="18" s="1"/>
  <c r="D8" i="18"/>
  <c r="J78" i="18"/>
  <c r="K125" i="18"/>
  <c r="K88" i="18"/>
  <c r="B97" i="4"/>
  <c r="E97" i="4"/>
  <c r="C97" i="4" l="1"/>
  <c r="E76" i="4"/>
  <c r="C76" i="4"/>
  <c r="B76" i="4"/>
  <c r="F97" i="4"/>
  <c r="F76" i="4"/>
  <c r="M58" i="8"/>
  <c r="N58" i="8"/>
  <c r="K98" i="18"/>
  <c r="I10" i="9"/>
  <c r="D87" i="18"/>
  <c r="H29" i="18"/>
  <c r="D66" i="18"/>
  <c r="K29" i="18"/>
  <c r="K22" i="18"/>
  <c r="J29" i="18"/>
  <c r="H119" i="18"/>
  <c r="J22" i="18"/>
  <c r="K119" i="18"/>
  <c r="L113" i="18"/>
  <c r="L12" i="18"/>
  <c r="L28" i="18"/>
  <c r="L88" i="18"/>
  <c r="L121" i="18"/>
  <c r="L109" i="18"/>
  <c r="L120" i="18"/>
  <c r="L99" i="18"/>
  <c r="L35" i="18"/>
  <c r="J111" i="18"/>
  <c r="H111" i="18"/>
  <c r="L117" i="18"/>
  <c r="L78" i="18"/>
  <c r="L7" i="18"/>
  <c r="L108" i="18"/>
  <c r="L11" i="18"/>
  <c r="L67" i="18"/>
  <c r="K111" i="18"/>
  <c r="L112" i="18"/>
  <c r="D98" i="18"/>
  <c r="L10" i="18"/>
  <c r="J119" i="18"/>
  <c r="D119" i="18"/>
  <c r="L34" i="18"/>
  <c r="L125" i="18"/>
  <c r="D111" i="18"/>
  <c r="K97" i="37"/>
  <c r="J97" i="37"/>
  <c r="D97" i="29"/>
  <c r="K97" i="33"/>
  <c r="K97" i="29"/>
  <c r="J97" i="13"/>
  <c r="J97" i="33"/>
  <c r="J97" i="29"/>
  <c r="D97" i="37"/>
  <c r="D97" i="13"/>
  <c r="K97" i="13"/>
  <c r="D97" i="33"/>
  <c r="K76" i="37"/>
  <c r="D76" i="33"/>
  <c r="D76" i="37"/>
  <c r="K76" i="29"/>
  <c r="J76" i="13"/>
  <c r="J76" i="37"/>
  <c r="D76" i="29"/>
  <c r="K76" i="33"/>
  <c r="J76" i="33"/>
  <c r="J76" i="29"/>
  <c r="D76" i="13"/>
  <c r="K76" i="13"/>
  <c r="J8" i="37"/>
  <c r="K8" i="37"/>
  <c r="J9" i="37"/>
  <c r="K9" i="37"/>
  <c r="J36" i="37"/>
  <c r="J37" i="37"/>
  <c r="K100" i="18" l="1"/>
  <c r="L8" i="37"/>
  <c r="L9" i="37"/>
  <c r="D47" i="18"/>
  <c r="B10" i="9"/>
  <c r="L76" i="33"/>
  <c r="L119" i="18"/>
  <c r="L97" i="33"/>
  <c r="L97" i="29"/>
  <c r="L76" i="29"/>
  <c r="D77" i="18"/>
  <c r="H68" i="18"/>
  <c r="J68" i="18"/>
  <c r="J66" i="18"/>
  <c r="L29" i="18"/>
  <c r="K79" i="18"/>
  <c r="K77" i="18"/>
  <c r="L22" i="18"/>
  <c r="L76" i="13"/>
  <c r="D97" i="4"/>
  <c r="D76" i="4"/>
  <c r="L97" i="37"/>
  <c r="K68" i="18"/>
  <c r="L76" i="37"/>
  <c r="K87" i="18"/>
  <c r="K89" i="18"/>
  <c r="L97" i="13"/>
  <c r="H100" i="18"/>
  <c r="J100" i="18"/>
  <c r="J89" i="18"/>
  <c r="H89" i="18"/>
  <c r="H79" i="18"/>
  <c r="J79" i="18"/>
  <c r="I97" i="4"/>
  <c r="I76" i="4"/>
  <c r="L111" i="18"/>
  <c r="H34" i="37"/>
  <c r="H116" i="37"/>
  <c r="D114" i="37"/>
  <c r="D116" i="37"/>
  <c r="J124" i="37"/>
  <c r="H76" i="4"/>
  <c r="H97" i="4"/>
  <c r="K12" i="37"/>
  <c r="K7" i="37"/>
  <c r="H113" i="37"/>
  <c r="H117" i="37"/>
  <c r="J88" i="37"/>
  <c r="K75" i="37"/>
  <c r="K108" i="37"/>
  <c r="K96" i="37"/>
  <c r="K67" i="37"/>
  <c r="J35" i="37"/>
  <c r="J10" i="37"/>
  <c r="D7" i="37"/>
  <c r="K135" i="37"/>
  <c r="K134" i="37"/>
  <c r="K122" i="37"/>
  <c r="D122" i="37"/>
  <c r="H112" i="37"/>
  <c r="J121" i="37"/>
  <c r="H121" i="37"/>
  <c r="K114" i="37"/>
  <c r="K107" i="37"/>
  <c r="K99" i="37"/>
  <c r="J125" i="37"/>
  <c r="K116" i="37"/>
  <c r="K78" i="37"/>
  <c r="D8" i="37"/>
  <c r="H108" i="37"/>
  <c r="D67" i="37"/>
  <c r="K110" i="37"/>
  <c r="J86" i="37"/>
  <c r="K28" i="37"/>
  <c r="H7" i="37"/>
  <c r="D135" i="37"/>
  <c r="H124" i="37"/>
  <c r="J110" i="37"/>
  <c r="D108" i="37"/>
  <c r="D28" i="37"/>
  <c r="D125" i="37"/>
  <c r="K113" i="37"/>
  <c r="J108" i="37"/>
  <c r="D34" i="37"/>
  <c r="K10" i="37"/>
  <c r="K125" i="37"/>
  <c r="J117" i="37"/>
  <c r="J113" i="37"/>
  <c r="D110" i="37"/>
  <c r="K136" i="37"/>
  <c r="J134" i="37"/>
  <c r="H35" i="37"/>
  <c r="J28" i="37"/>
  <c r="K11" i="37"/>
  <c r="J122" i="37"/>
  <c r="J116" i="37"/>
  <c r="K109" i="37"/>
  <c r="D35" i="37"/>
  <c r="J12" i="37"/>
  <c r="J7" i="37"/>
  <c r="H75" i="37"/>
  <c r="D48" i="37"/>
  <c r="K121" i="37"/>
  <c r="J67" i="37"/>
  <c r="H125" i="37"/>
  <c r="D124" i="37"/>
  <c r="D109" i="37"/>
  <c r="H96" i="37"/>
  <c r="K88" i="37"/>
  <c r="D55" i="37"/>
  <c r="J34" i="37"/>
  <c r="D9" i="37"/>
  <c r="J107" i="37"/>
  <c r="D107" i="37"/>
  <c r="K124" i="37"/>
  <c r="D99" i="37"/>
  <c r="D134" i="37"/>
  <c r="D120" i="37"/>
  <c r="J78" i="37"/>
  <c r="D78" i="37"/>
  <c r="J75" i="37"/>
  <c r="D75" i="37"/>
  <c r="J112" i="37"/>
  <c r="D112" i="37"/>
  <c r="J109" i="37"/>
  <c r="J135" i="37"/>
  <c r="D136" i="37"/>
  <c r="K120" i="37"/>
  <c r="J99" i="37"/>
  <c r="J96" i="37"/>
  <c r="D96" i="37"/>
  <c r="K86" i="37"/>
  <c r="J136" i="37"/>
  <c r="J120" i="37"/>
  <c r="J114" i="37"/>
  <c r="H109" i="37"/>
  <c r="D86" i="37"/>
  <c r="K117" i="37"/>
  <c r="K112" i="37"/>
  <c r="D88" i="37"/>
  <c r="H11" i="37"/>
  <c r="D10" i="37"/>
  <c r="K35" i="37"/>
  <c r="D57" i="37"/>
  <c r="D54" i="37"/>
  <c r="K34" i="37"/>
  <c r="H12" i="37"/>
  <c r="K37" i="37"/>
  <c r="D37" i="37"/>
  <c r="H10" i="37"/>
  <c r="K36" i="37"/>
  <c r="D36" i="37"/>
  <c r="J11" i="37"/>
  <c r="L122" i="37" l="1"/>
  <c r="M9" i="8"/>
  <c r="J76" i="4"/>
  <c r="L100" i="18"/>
  <c r="L114" i="37"/>
  <c r="L79" i="18"/>
  <c r="D77" i="37"/>
  <c r="H29" i="37"/>
  <c r="J29" i="37"/>
  <c r="D100" i="37"/>
  <c r="L68" i="18"/>
  <c r="L89" i="18"/>
  <c r="K98" i="37"/>
  <c r="H66" i="18"/>
  <c r="K66" i="18"/>
  <c r="L66" i="18" s="1"/>
  <c r="K77" i="37"/>
  <c r="J79" i="37"/>
  <c r="L110" i="37"/>
  <c r="J97" i="4"/>
  <c r="J100" i="37"/>
  <c r="J66" i="37"/>
  <c r="H87" i="18"/>
  <c r="J87" i="18"/>
  <c r="L87" i="18" s="1"/>
  <c r="H77" i="18"/>
  <c r="J77" i="18"/>
  <c r="L77" i="18" s="1"/>
  <c r="J98" i="18"/>
  <c r="L98" i="18" s="1"/>
  <c r="H98" i="18"/>
  <c r="L116" i="37"/>
  <c r="D89" i="37"/>
  <c r="K22" i="37"/>
  <c r="D49" i="37"/>
  <c r="J22" i="37"/>
  <c r="H22" i="37"/>
  <c r="K29" i="37"/>
  <c r="D29" i="37"/>
  <c r="D22" i="37"/>
  <c r="D87" i="37"/>
  <c r="D56" i="37"/>
  <c r="L88" i="37"/>
  <c r="L124" i="37"/>
  <c r="L12" i="37"/>
  <c r="L78" i="37"/>
  <c r="K111" i="37"/>
  <c r="L7" i="37"/>
  <c r="L135" i="37"/>
  <c r="D53" i="37"/>
  <c r="L28" i="37"/>
  <c r="L136" i="37"/>
  <c r="L96" i="37"/>
  <c r="L34" i="37"/>
  <c r="L109" i="37"/>
  <c r="L67" i="37"/>
  <c r="L99" i="37"/>
  <c r="L108" i="37"/>
  <c r="L134" i="37"/>
  <c r="L10" i="37"/>
  <c r="D47" i="37"/>
  <c r="L107" i="37"/>
  <c r="L75" i="37"/>
  <c r="K119" i="37"/>
  <c r="H111" i="37"/>
  <c r="L86" i="37"/>
  <c r="L121" i="37"/>
  <c r="H119" i="37"/>
  <c r="L35" i="37"/>
  <c r="L120" i="37"/>
  <c r="L11" i="37"/>
  <c r="D119" i="37"/>
  <c r="L117" i="37"/>
  <c r="L125" i="37"/>
  <c r="L113" i="37"/>
  <c r="J111" i="37"/>
  <c r="D111" i="37"/>
  <c r="D66" i="37"/>
  <c r="D98" i="37"/>
  <c r="J119" i="37"/>
  <c r="L112" i="37"/>
  <c r="L29" i="37" l="1"/>
  <c r="K79" i="37"/>
  <c r="L79" i="37" s="1"/>
  <c r="K100" i="37"/>
  <c r="L100" i="37" s="1"/>
  <c r="K87" i="37"/>
  <c r="K89" i="37"/>
  <c r="H68" i="37"/>
  <c r="H79" i="37"/>
  <c r="H100" i="37"/>
  <c r="H77" i="37"/>
  <c r="H98" i="37"/>
  <c r="L22" i="37"/>
  <c r="J68" i="37"/>
  <c r="K68" i="37"/>
  <c r="H89" i="37"/>
  <c r="J89" i="37"/>
  <c r="L111" i="37"/>
  <c r="L119" i="37"/>
  <c r="H87" i="37" l="1"/>
  <c r="L89" i="37"/>
  <c r="J98" i="37"/>
  <c r="L98" i="37" s="1"/>
  <c r="J77" i="37"/>
  <c r="L77" i="37" s="1"/>
  <c r="L68" i="37"/>
  <c r="J87" i="37"/>
  <c r="L87" i="37" s="1"/>
  <c r="H66" i="37"/>
  <c r="K66" i="37"/>
  <c r="L66" i="37" s="1"/>
  <c r="G14" i="58" l="1"/>
  <c r="C14" i="58"/>
  <c r="B13" i="58"/>
  <c r="F13" i="58"/>
  <c r="F22" i="58"/>
  <c r="B22" i="58"/>
  <c r="G21" i="58"/>
  <c r="C21" i="58"/>
  <c r="F17" i="58"/>
  <c r="B17" i="58"/>
  <c r="F28" i="58"/>
  <c r="B28" i="58"/>
  <c r="C26" i="58"/>
  <c r="G26" i="58"/>
  <c r="F29" i="58"/>
  <c r="B29" i="58"/>
  <c r="F11" i="58"/>
  <c r="B11" i="58"/>
  <c r="C13" i="58"/>
  <c r="G13" i="58"/>
  <c r="F20" i="58"/>
  <c r="B20" i="58"/>
  <c r="G22" i="58"/>
  <c r="C22" i="58"/>
  <c r="G17" i="58"/>
  <c r="C17" i="58"/>
  <c r="G28" i="58"/>
  <c r="C28" i="58"/>
  <c r="G29" i="58"/>
  <c r="C29" i="58"/>
  <c r="G11" i="58"/>
  <c r="C11" i="58"/>
  <c r="B12" i="58"/>
  <c r="F12" i="58"/>
  <c r="B10" i="58"/>
  <c r="F10" i="58"/>
  <c r="F9" i="58"/>
  <c r="B9" i="58"/>
  <c r="F19" i="58"/>
  <c r="B19" i="58"/>
  <c r="G20" i="58"/>
  <c r="C20" i="58"/>
  <c r="F18" i="58"/>
  <c r="B18" i="58"/>
  <c r="F27" i="58"/>
  <c r="B27" i="58"/>
  <c r="F30" i="58"/>
  <c r="B30" i="58"/>
  <c r="F25" i="58"/>
  <c r="B25" i="58"/>
  <c r="C12" i="58"/>
  <c r="G12" i="58"/>
  <c r="F14" i="58"/>
  <c r="B14" i="58"/>
  <c r="G10" i="58"/>
  <c r="C10" i="58"/>
  <c r="C9" i="58"/>
  <c r="G9" i="58"/>
  <c r="G19" i="58"/>
  <c r="C19" i="58"/>
  <c r="G18" i="58"/>
  <c r="C18" i="58"/>
  <c r="F21" i="58"/>
  <c r="B21" i="58"/>
  <c r="G27" i="58"/>
  <c r="C27" i="58"/>
  <c r="G30" i="58"/>
  <c r="C30" i="58"/>
  <c r="F26" i="58"/>
  <c r="B26" i="58"/>
  <c r="G25" i="58"/>
  <c r="C25" i="58"/>
  <c r="C8" i="58" l="1"/>
  <c r="G31" i="4" l="1"/>
  <c r="G23" i="4" l="1"/>
  <c r="G24" i="4"/>
  <c r="G30" i="4"/>
  <c r="G25" i="4"/>
  <c r="G32" i="4"/>
  <c r="D32" i="4"/>
  <c r="D24" i="4"/>
  <c r="I23" i="37"/>
  <c r="I25" i="37"/>
  <c r="I25" i="18"/>
  <c r="I30" i="37"/>
  <c r="I30" i="18"/>
  <c r="I31" i="37"/>
  <c r="I31" i="18"/>
  <c r="G26" i="4"/>
  <c r="D25" i="4"/>
  <c r="I32" i="37"/>
  <c r="I32" i="18"/>
  <c r="D30" i="4"/>
  <c r="D31" i="4"/>
  <c r="E29" i="18" l="1"/>
  <c r="E29" i="23"/>
  <c r="E29" i="29"/>
  <c r="E29" i="33"/>
  <c r="E29" i="16"/>
  <c r="E29" i="20"/>
  <c r="E29" i="24"/>
  <c r="E29" i="51"/>
  <c r="E29" i="37"/>
  <c r="E29" i="13"/>
  <c r="I23" i="18"/>
  <c r="D23" i="4"/>
  <c r="I26" i="4"/>
  <c r="H26" i="4"/>
  <c r="F26" i="10"/>
  <c r="F16" i="10"/>
  <c r="F34" i="10"/>
  <c r="I26" i="29"/>
  <c r="I26" i="23"/>
  <c r="I26" i="33"/>
  <c r="I26" i="37"/>
  <c r="I26" i="35"/>
  <c r="I26" i="18"/>
  <c r="G16" i="10"/>
  <c r="G26" i="10"/>
  <c r="G34" i="10"/>
  <c r="M26" i="29" l="1"/>
  <c r="J26" i="4"/>
  <c r="M26" i="23"/>
  <c r="M26" i="35"/>
  <c r="M26" i="37"/>
  <c r="M26" i="33"/>
  <c r="M26" i="18"/>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D36" i="58" s="1"/>
  <c r="H26" i="58"/>
  <c r="C33" i="58"/>
  <c r="C16" i="58"/>
  <c r="G24" i="58"/>
  <c r="H16" i="58"/>
  <c r="B8" i="58"/>
  <c r="D8" i="58" s="1"/>
  <c r="B33"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F38" i="58"/>
  <c r="F34" i="58"/>
  <c r="H37" i="58" l="1"/>
  <c r="H34" i="58"/>
  <c r="H36" i="58"/>
  <c r="G32" i="58"/>
  <c r="H38" i="58"/>
  <c r="H35" i="58"/>
  <c r="F32" i="58"/>
  <c r="H32" i="58" l="1"/>
  <c r="L51" i="10" l="1"/>
  <c r="L36" i="10"/>
  <c r="H11" i="10"/>
  <c r="H16" i="10"/>
  <c r="H26" i="10"/>
  <c r="H34" i="10"/>
  <c r="H36" i="10"/>
  <c r="H38" i="10"/>
  <c r="H45" i="10"/>
  <c r="H49" i="10"/>
  <c r="H51" i="10"/>
  <c r="G56" i="10"/>
  <c r="G60" i="10"/>
  <c r="F60" i="10" l="1"/>
  <c r="F56" i="10"/>
  <c r="H56" i="10" s="1"/>
  <c r="K28" i="10" l="1"/>
  <c r="J28" i="10"/>
  <c r="K9" i="33" l="1"/>
  <c r="K9" i="29"/>
  <c r="K8" i="51"/>
  <c r="K8" i="29"/>
  <c r="K9" i="41"/>
  <c r="K8" i="33"/>
  <c r="K8" i="41"/>
  <c r="K9" i="51"/>
  <c r="K8" i="25"/>
  <c r="F117" i="4"/>
  <c r="B99" i="4"/>
  <c r="K8" i="24"/>
  <c r="C100" i="4"/>
  <c r="E114" i="4"/>
  <c r="F107" i="4"/>
  <c r="B8" i="4"/>
  <c r="K9" i="25"/>
  <c r="K9" i="24"/>
  <c r="K8" i="22"/>
  <c r="C49" i="4"/>
  <c r="E96" i="4"/>
  <c r="E78" i="4"/>
  <c r="K9" i="22"/>
  <c r="E7" i="4"/>
  <c r="K9" i="20"/>
  <c r="K8" i="20"/>
  <c r="K8" i="19"/>
  <c r="J36" i="13"/>
  <c r="C86" i="4"/>
  <c r="K9" i="19"/>
  <c r="K39" i="13"/>
  <c r="K37" i="13"/>
  <c r="J39" i="13"/>
  <c r="J37" i="13"/>
  <c r="K36" i="13"/>
  <c r="K8" i="13"/>
  <c r="K9" i="13"/>
  <c r="D22" i="16"/>
  <c r="B136" i="4"/>
  <c r="F112" i="4"/>
  <c r="C58" i="4"/>
  <c r="B86" i="4"/>
  <c r="B55" i="4"/>
  <c r="E75" i="4"/>
  <c r="C75" i="4"/>
  <c r="B58" i="4" l="1"/>
  <c r="E135" i="4"/>
  <c r="B34" i="4"/>
  <c r="F136" i="4"/>
  <c r="C57" i="4"/>
  <c r="B9" i="4"/>
  <c r="B7" i="4"/>
  <c r="B9" i="10" s="1"/>
  <c r="C10" i="4"/>
  <c r="B12" i="4"/>
  <c r="B41" i="10" s="1"/>
  <c r="B135" i="4"/>
  <c r="B25" i="10" s="1"/>
  <c r="B57" i="4"/>
  <c r="F99" i="4"/>
  <c r="F10" i="4"/>
  <c r="F135" i="4"/>
  <c r="E79" i="4"/>
  <c r="C108" i="4"/>
  <c r="C125" i="4"/>
  <c r="E116" i="4"/>
  <c r="C28" i="4"/>
  <c r="F116" i="4"/>
  <c r="E12" i="4"/>
  <c r="F41" i="10" s="1"/>
  <c r="C118" i="4"/>
  <c r="C99" i="4"/>
  <c r="C39" i="4"/>
  <c r="F96" i="4"/>
  <c r="G96" i="4" s="1"/>
  <c r="F78" i="4"/>
  <c r="C114" i="4"/>
  <c r="E137" i="4"/>
  <c r="F12" i="4"/>
  <c r="C11" i="4"/>
  <c r="C79" i="4"/>
  <c r="B49" i="4"/>
  <c r="E100" i="4"/>
  <c r="B108" i="4"/>
  <c r="C124" i="4"/>
  <c r="C116" i="4"/>
  <c r="C9" i="4"/>
  <c r="F11" i="4"/>
  <c r="B37" i="4"/>
  <c r="B26" i="10" s="1"/>
  <c r="C54" i="4"/>
  <c r="F108" i="4"/>
  <c r="E113" i="4"/>
  <c r="B112" i="4"/>
  <c r="B122" i="4"/>
  <c r="E89" i="4"/>
  <c r="F23" i="10" s="1"/>
  <c r="B125" i="4"/>
  <c r="C7" i="4"/>
  <c r="E120" i="4"/>
  <c r="E68" i="4"/>
  <c r="F13" i="10" s="1"/>
  <c r="B48" i="4"/>
  <c r="F34" i="4"/>
  <c r="B36" i="4"/>
  <c r="B16" i="10" s="1"/>
  <c r="C12" i="4"/>
  <c r="C88" i="4"/>
  <c r="F137" i="4"/>
  <c r="B54" i="4"/>
  <c r="E86" i="4"/>
  <c r="B89" i="4"/>
  <c r="B23" i="10" s="1"/>
  <c r="F68" i="4"/>
  <c r="B110" i="4"/>
  <c r="F109" i="4"/>
  <c r="C67" i="4"/>
  <c r="F124" i="4"/>
  <c r="B10" i="4"/>
  <c r="B20" i="10" s="1"/>
  <c r="C34" i="4"/>
  <c r="E10" i="4"/>
  <c r="F20" i="10" s="1"/>
  <c r="C107" i="4"/>
  <c r="E121" i="4"/>
  <c r="F28" i="4"/>
  <c r="E34" i="4"/>
  <c r="F31" i="10" s="1"/>
  <c r="E67" i="4"/>
  <c r="F86" i="4"/>
  <c r="F120" i="4"/>
  <c r="E11" i="4"/>
  <c r="F30" i="10" s="1"/>
  <c r="E28" i="4"/>
  <c r="C112" i="4"/>
  <c r="E107" i="4"/>
  <c r="G107" i="4" s="1"/>
  <c r="E134" i="4"/>
  <c r="F15" i="10" s="1"/>
  <c r="C96" i="4"/>
  <c r="F7" i="4"/>
  <c r="C8" i="4"/>
  <c r="E88" i="4"/>
  <c r="C68" i="4"/>
  <c r="C89" i="4"/>
  <c r="F79" i="4"/>
  <c r="E117" i="4"/>
  <c r="G117" i="4" s="1"/>
  <c r="C110" i="4"/>
  <c r="B116" i="4"/>
  <c r="B75" i="4"/>
  <c r="F113" i="4"/>
  <c r="B114" i="4"/>
  <c r="C120" i="4"/>
  <c r="E99" i="4"/>
  <c r="F88" i="4"/>
  <c r="B39" i="4"/>
  <c r="B35" i="4"/>
  <c r="C121" i="4"/>
  <c r="B11" i="4"/>
  <c r="B30" i="10" s="1"/>
  <c r="C35" i="4"/>
  <c r="C48" i="4"/>
  <c r="B113" i="4"/>
  <c r="F89" i="4"/>
  <c r="B68" i="4"/>
  <c r="B13" i="10" s="1"/>
  <c r="F100" i="4"/>
  <c r="E109" i="4"/>
  <c r="F125" i="4"/>
  <c r="E108" i="4"/>
  <c r="F122" i="4"/>
  <c r="B134" i="4"/>
  <c r="B15" i="10" s="1"/>
  <c r="B107" i="4"/>
  <c r="C113" i="4"/>
  <c r="C134" i="4"/>
  <c r="C37" i="4"/>
  <c r="E35" i="4"/>
  <c r="F42" i="10" s="1"/>
  <c r="F114" i="4"/>
  <c r="B96" i="4"/>
  <c r="B120" i="4"/>
  <c r="B79" i="4"/>
  <c r="E110" i="4"/>
  <c r="B118" i="4"/>
  <c r="B109" i="4"/>
  <c r="B117" i="4"/>
  <c r="E122" i="4"/>
  <c r="B137" i="4"/>
  <c r="B44" i="10" s="1"/>
  <c r="C122" i="4"/>
  <c r="C135" i="4"/>
  <c r="B38" i="4"/>
  <c r="B67" i="4"/>
  <c r="B124" i="4"/>
  <c r="E118" i="4"/>
  <c r="C117" i="4"/>
  <c r="B28" i="4"/>
  <c r="C55" i="4"/>
  <c r="F67" i="4"/>
  <c r="B78" i="4"/>
  <c r="F121" i="4"/>
  <c r="E112" i="4"/>
  <c r="G112" i="4" s="1"/>
  <c r="F35" i="4"/>
  <c r="E136" i="4"/>
  <c r="C36" i="4"/>
  <c r="B121" i="4"/>
  <c r="C136" i="4"/>
  <c r="F75" i="4"/>
  <c r="G75" i="4" s="1"/>
  <c r="C137" i="4"/>
  <c r="B88" i="4"/>
  <c r="C78" i="4"/>
  <c r="F134" i="4"/>
  <c r="C38" i="4"/>
  <c r="B100" i="4"/>
  <c r="F110" i="4"/>
  <c r="E125" i="4"/>
  <c r="C109" i="4"/>
  <c r="E124" i="4"/>
  <c r="F118" i="4"/>
  <c r="F25" i="10"/>
  <c r="B33" i="10"/>
  <c r="G17" i="9"/>
  <c r="G58" i="9" s="1"/>
  <c r="H42" i="9"/>
  <c r="C40" i="9"/>
  <c r="H41" i="9"/>
  <c r="G40" i="9"/>
  <c r="H20" i="9"/>
  <c r="N67" i="8" s="1"/>
  <c r="G18" i="9"/>
  <c r="M65" i="8" s="1"/>
  <c r="G15" i="9"/>
  <c r="M63" i="8" s="1"/>
  <c r="G16" i="9"/>
  <c r="H21" i="9"/>
  <c r="C38" i="9"/>
  <c r="G19" i="9"/>
  <c r="M66" i="8" s="1"/>
  <c r="B43" i="9"/>
  <c r="B44" i="9"/>
  <c r="C44" i="9"/>
  <c r="G23" i="9"/>
  <c r="M70" i="8" s="1"/>
  <c r="C42" i="9"/>
  <c r="H43" i="9"/>
  <c r="H15" i="9"/>
  <c r="N63" i="8" s="1"/>
  <c r="H39" i="9"/>
  <c r="G12" i="9"/>
  <c r="C39" i="9"/>
  <c r="G22" i="9"/>
  <c r="M69" i="8" s="1"/>
  <c r="H22" i="9"/>
  <c r="G25" i="9"/>
  <c r="M72" i="8" s="1"/>
  <c r="H38" i="9"/>
  <c r="H11" i="9"/>
  <c r="N59" i="8" s="1"/>
  <c r="H40" i="9"/>
  <c r="C43" i="9"/>
  <c r="G11" i="9"/>
  <c r="H12" i="9"/>
  <c r="N60" i="8" s="1"/>
  <c r="C41" i="9"/>
  <c r="G24" i="9"/>
  <c r="G20" i="9"/>
  <c r="G26" i="9"/>
  <c r="H44" i="9"/>
  <c r="G28" i="9"/>
  <c r="M74" i="8" s="1"/>
  <c r="G30" i="9"/>
  <c r="M76" i="8" s="1"/>
  <c r="G38" i="9"/>
  <c r="H24" i="9"/>
  <c r="N71" i="8" s="1"/>
  <c r="G21" i="9"/>
  <c r="B38" i="9"/>
  <c r="B42" i="9"/>
  <c r="B39" i="9"/>
  <c r="K135" i="26"/>
  <c r="K7" i="35"/>
  <c r="H29" i="29"/>
  <c r="K121" i="13"/>
  <c r="H121" i="33"/>
  <c r="H125" i="33"/>
  <c r="H68" i="29"/>
  <c r="K113" i="33"/>
  <c r="H68" i="35"/>
  <c r="H29" i="13"/>
  <c r="K12" i="29"/>
  <c r="J86" i="29"/>
  <c r="K108" i="33"/>
  <c r="H22" i="33"/>
  <c r="K68" i="33"/>
  <c r="H35" i="29"/>
  <c r="H34" i="13"/>
  <c r="H121" i="35"/>
  <c r="K22" i="51"/>
  <c r="K135" i="34"/>
  <c r="K134" i="26"/>
  <c r="K113" i="29"/>
  <c r="H100" i="29"/>
  <c r="K137" i="26"/>
  <c r="J79" i="29"/>
  <c r="K28" i="51"/>
  <c r="C56" i="4"/>
  <c r="H89" i="29"/>
  <c r="K12" i="33"/>
  <c r="K116" i="33"/>
  <c r="K29" i="51"/>
  <c r="H34" i="33"/>
  <c r="H12" i="33"/>
  <c r="H125" i="29"/>
  <c r="K108" i="23"/>
  <c r="K22" i="23"/>
  <c r="K107" i="33"/>
  <c r="K100" i="33"/>
  <c r="K75" i="33"/>
  <c r="K122" i="33"/>
  <c r="H86" i="35"/>
  <c r="K114" i="33"/>
  <c r="H29" i="33"/>
  <c r="H75" i="33"/>
  <c r="D37" i="13"/>
  <c r="K89" i="23"/>
  <c r="K68" i="23"/>
  <c r="H135" i="26"/>
  <c r="H22" i="29"/>
  <c r="K113" i="35"/>
  <c r="K12" i="35"/>
  <c r="K109" i="35"/>
  <c r="H12" i="35"/>
  <c r="H96" i="33"/>
  <c r="H117" i="33"/>
  <c r="K28" i="25"/>
  <c r="K96" i="33"/>
  <c r="H35" i="33"/>
  <c r="K117" i="33"/>
  <c r="H109" i="35"/>
  <c r="K28" i="23"/>
  <c r="K89" i="33"/>
  <c r="K11" i="35"/>
  <c r="H113" i="35"/>
  <c r="D57" i="16"/>
  <c r="D28" i="16"/>
  <c r="D29" i="16"/>
  <c r="D9" i="16"/>
  <c r="D10" i="16"/>
  <c r="D54" i="16"/>
  <c r="D8" i="16"/>
  <c r="D49" i="16"/>
  <c r="D7" i="16"/>
  <c r="D48" i="16"/>
  <c r="H100" i="23"/>
  <c r="B21" i="10"/>
  <c r="K109" i="23"/>
  <c r="K10" i="35"/>
  <c r="K34" i="13"/>
  <c r="K107" i="13"/>
  <c r="K121" i="23"/>
  <c r="H109" i="23"/>
  <c r="H22" i="23"/>
  <c r="H89" i="35"/>
  <c r="H100" i="33"/>
  <c r="H68" i="33"/>
  <c r="K125" i="33"/>
  <c r="D49" i="39"/>
  <c r="K7" i="13"/>
  <c r="K7" i="19"/>
  <c r="K10" i="29"/>
  <c r="H7" i="23"/>
  <c r="H7" i="29"/>
  <c r="H7" i="33"/>
  <c r="K10" i="33"/>
  <c r="H10" i="13"/>
  <c r="K7" i="23"/>
  <c r="K11" i="33"/>
  <c r="K7" i="29"/>
  <c r="H10" i="35"/>
  <c r="H11" i="13"/>
  <c r="K22" i="13"/>
  <c r="K29" i="13"/>
  <c r="H79" i="13"/>
  <c r="K100" i="13"/>
  <c r="K116" i="13"/>
  <c r="K10" i="13"/>
  <c r="H121" i="13"/>
  <c r="K7" i="20"/>
  <c r="K10" i="20"/>
  <c r="K22" i="24"/>
  <c r="D49" i="26"/>
  <c r="K11" i="29"/>
  <c r="H22" i="35"/>
  <c r="H113" i="29"/>
  <c r="H7" i="35"/>
  <c r="H11" i="35"/>
  <c r="K7" i="33"/>
  <c r="H89" i="33"/>
  <c r="H107" i="33"/>
  <c r="K121" i="33"/>
  <c r="H89" i="13"/>
  <c r="K109" i="13"/>
  <c r="K67" i="13"/>
  <c r="K11" i="13"/>
  <c r="H113" i="33"/>
  <c r="H107" i="35"/>
  <c r="H12" i="23"/>
  <c r="H136" i="26"/>
  <c r="K28" i="29"/>
  <c r="K34" i="29"/>
  <c r="H134" i="26"/>
  <c r="K117" i="29"/>
  <c r="H35" i="35"/>
  <c r="H79" i="23"/>
  <c r="H89" i="23"/>
  <c r="H117" i="23"/>
  <c r="K35" i="29"/>
  <c r="H117" i="29"/>
  <c r="H45" i="9"/>
  <c r="D39" i="13"/>
  <c r="H22" i="13"/>
  <c r="H7" i="13"/>
  <c r="K35" i="13"/>
  <c r="K108" i="13"/>
  <c r="K12" i="13"/>
  <c r="H107" i="13"/>
  <c r="C45" i="9"/>
  <c r="D48" i="13"/>
  <c r="J10" i="13"/>
  <c r="D10" i="13"/>
  <c r="K28" i="13"/>
  <c r="K68" i="13"/>
  <c r="K112" i="13"/>
  <c r="K117" i="13"/>
  <c r="H35" i="13"/>
  <c r="H109" i="13"/>
  <c r="J89" i="13"/>
  <c r="D89" i="13"/>
  <c r="D11" i="13"/>
  <c r="J11" i="13"/>
  <c r="J9" i="19"/>
  <c r="L9" i="19" s="1"/>
  <c r="D9" i="19"/>
  <c r="B37" i="9"/>
  <c r="K113" i="13"/>
  <c r="J9" i="13"/>
  <c r="L9" i="13" s="1"/>
  <c r="D9" i="13"/>
  <c r="H68" i="13"/>
  <c r="J88" i="13"/>
  <c r="D88" i="13"/>
  <c r="H100" i="13"/>
  <c r="H12" i="13"/>
  <c r="C37" i="9"/>
  <c r="H37" i="9"/>
  <c r="H51" i="9" s="1"/>
  <c r="G37" i="9"/>
  <c r="G51" i="9" s="1"/>
  <c r="D78" i="13"/>
  <c r="J78" i="13"/>
  <c r="J12" i="13"/>
  <c r="D12" i="13"/>
  <c r="K120" i="13"/>
  <c r="K88" i="13"/>
  <c r="H117" i="13"/>
  <c r="D48" i="19"/>
  <c r="D47" i="19"/>
  <c r="D35" i="13"/>
  <c r="J35" i="13"/>
  <c r="J68" i="13"/>
  <c r="K86" i="13"/>
  <c r="K89" i="13"/>
  <c r="J107" i="13"/>
  <c r="D107" i="13"/>
  <c r="D112" i="13"/>
  <c r="J112" i="13"/>
  <c r="J117" i="13"/>
  <c r="D86" i="13"/>
  <c r="J86" i="13"/>
  <c r="J125" i="13"/>
  <c r="D8" i="20"/>
  <c r="J8" i="20"/>
  <c r="L8" i="20" s="1"/>
  <c r="J79" i="13"/>
  <c r="D99" i="13"/>
  <c r="J99" i="13"/>
  <c r="J124" i="13"/>
  <c r="D124" i="13"/>
  <c r="H108" i="13"/>
  <c r="H113" i="13"/>
  <c r="D36" i="13"/>
  <c r="D54" i="13"/>
  <c r="D108" i="13"/>
  <c r="J108" i="13"/>
  <c r="J113" i="13"/>
  <c r="K124" i="13"/>
  <c r="J7" i="20"/>
  <c r="D7" i="20"/>
  <c r="J7" i="13"/>
  <c r="D7" i="13"/>
  <c r="D22" i="13"/>
  <c r="J22" i="13"/>
  <c r="J29" i="13"/>
  <c r="D29" i="13"/>
  <c r="D57" i="13"/>
  <c r="K78" i="13"/>
  <c r="K99" i="13"/>
  <c r="D109" i="13"/>
  <c r="J109" i="13"/>
  <c r="J120" i="13"/>
  <c r="D120" i="13"/>
  <c r="H125" i="13"/>
  <c r="J10" i="20"/>
  <c r="D10" i="20"/>
  <c r="J7" i="19"/>
  <c r="D7" i="19"/>
  <c r="J28" i="20"/>
  <c r="D28" i="20"/>
  <c r="D54" i="22"/>
  <c r="D22" i="23"/>
  <c r="J22" i="23"/>
  <c r="D28" i="25"/>
  <c r="J28" i="25"/>
  <c r="J112" i="23"/>
  <c r="D112" i="23"/>
  <c r="J22" i="24"/>
  <c r="D22" i="24"/>
  <c r="D8" i="22"/>
  <c r="J8" i="22"/>
  <c r="L8" i="22" s="1"/>
  <c r="D29" i="23"/>
  <c r="J29" i="23"/>
  <c r="K112" i="23"/>
  <c r="D7" i="24"/>
  <c r="J7" i="24"/>
  <c r="J22" i="51"/>
  <c r="D22" i="51"/>
  <c r="K11" i="23"/>
  <c r="K35" i="23"/>
  <c r="D107" i="23"/>
  <c r="J107" i="23"/>
  <c r="J117" i="23"/>
  <c r="K29" i="24"/>
  <c r="D48" i="25"/>
  <c r="D9" i="22"/>
  <c r="J9" i="22"/>
  <c r="L9" i="22" s="1"/>
  <c r="K12" i="23"/>
  <c r="K67" i="23"/>
  <c r="D78" i="23"/>
  <c r="K78" i="23"/>
  <c r="J108" i="23"/>
  <c r="D108" i="23"/>
  <c r="H113" i="23"/>
  <c r="D67" i="29"/>
  <c r="K67" i="29"/>
  <c r="J75" i="33"/>
  <c r="D75" i="33"/>
  <c r="D48" i="26"/>
  <c r="D48" i="51"/>
  <c r="D54" i="40"/>
  <c r="J28" i="29"/>
  <c r="D28" i="29"/>
  <c r="J136" i="26"/>
  <c r="D7" i="29"/>
  <c r="J7" i="29"/>
  <c r="J10" i="35"/>
  <c r="J8" i="41"/>
  <c r="L8" i="41" s="1"/>
  <c r="D8" i="41"/>
  <c r="J12" i="29"/>
  <c r="D9" i="41"/>
  <c r="J9" i="41"/>
  <c r="L9" i="41" s="1"/>
  <c r="H12" i="29"/>
  <c r="J109" i="29"/>
  <c r="D109" i="29"/>
  <c r="K120" i="29"/>
  <c r="D68" i="29"/>
  <c r="J68" i="29"/>
  <c r="D86" i="29"/>
  <c r="K86" i="29"/>
  <c r="K89" i="29"/>
  <c r="K107" i="29"/>
  <c r="H121" i="29"/>
  <c r="J7" i="35"/>
  <c r="K22" i="35"/>
  <c r="K29" i="35"/>
  <c r="J10" i="33"/>
  <c r="D10" i="33"/>
  <c r="J68" i="33"/>
  <c r="D68" i="33"/>
  <c r="J125" i="35"/>
  <c r="J86" i="35"/>
  <c r="J89" i="35"/>
  <c r="J107" i="35"/>
  <c r="K78" i="33"/>
  <c r="K112" i="33"/>
  <c r="K121" i="35"/>
  <c r="J8" i="33"/>
  <c r="L8" i="33" s="1"/>
  <c r="D8" i="33"/>
  <c r="H11" i="33"/>
  <c r="K35" i="33"/>
  <c r="D96" i="33"/>
  <c r="J96" i="33"/>
  <c r="J108" i="33"/>
  <c r="D108" i="33"/>
  <c r="K110" i="33"/>
  <c r="D116" i="33"/>
  <c r="J116" i="33"/>
  <c r="D54" i="39"/>
  <c r="J8" i="13"/>
  <c r="L8" i="13" s="1"/>
  <c r="D8" i="13"/>
  <c r="J28" i="13"/>
  <c r="D28" i="13"/>
  <c r="J34" i="13"/>
  <c r="D34" i="13"/>
  <c r="D67" i="13"/>
  <c r="J67" i="13"/>
  <c r="K79" i="13"/>
  <c r="D100" i="13"/>
  <c r="J100" i="13"/>
  <c r="J116" i="13"/>
  <c r="D116" i="13"/>
  <c r="J121" i="13"/>
  <c r="K125" i="13"/>
  <c r="J8" i="19"/>
  <c r="L8" i="19" s="1"/>
  <c r="D8" i="19"/>
  <c r="D57" i="22"/>
  <c r="J9" i="20"/>
  <c r="L9" i="20" s="1"/>
  <c r="D9" i="20"/>
  <c r="K22" i="20"/>
  <c r="K29" i="20"/>
  <c r="J113" i="23"/>
  <c r="K7" i="22"/>
  <c r="J12" i="35"/>
  <c r="D49" i="22"/>
  <c r="J10" i="23"/>
  <c r="J34" i="23"/>
  <c r="K113" i="23"/>
  <c r="J125" i="23"/>
  <c r="J8" i="24"/>
  <c r="L8" i="24" s="1"/>
  <c r="D8" i="24"/>
  <c r="J7" i="25"/>
  <c r="D7" i="25"/>
  <c r="D29" i="51"/>
  <c r="J29" i="51"/>
  <c r="J12" i="23"/>
  <c r="J78" i="23"/>
  <c r="K7" i="24"/>
  <c r="D10" i="24"/>
  <c r="J10" i="24"/>
  <c r="H29" i="23"/>
  <c r="J68" i="23"/>
  <c r="K79" i="23"/>
  <c r="J88" i="23"/>
  <c r="D88" i="23"/>
  <c r="K99" i="23"/>
  <c r="J109" i="23"/>
  <c r="K120" i="23"/>
  <c r="K10" i="24"/>
  <c r="D48" i="40"/>
  <c r="J29" i="29"/>
  <c r="D29" i="29"/>
  <c r="D48" i="41"/>
  <c r="D134" i="26"/>
  <c r="J134" i="26"/>
  <c r="D137" i="26"/>
  <c r="J137" i="26"/>
  <c r="K7" i="51"/>
  <c r="K10" i="51"/>
  <c r="J78" i="29"/>
  <c r="D78" i="29"/>
  <c r="J22" i="29"/>
  <c r="D22" i="29"/>
  <c r="K68" i="29"/>
  <c r="J88" i="29"/>
  <c r="D88" i="29"/>
  <c r="J11" i="33"/>
  <c r="J121" i="29"/>
  <c r="J134" i="34"/>
  <c r="D134" i="34"/>
  <c r="H29" i="35"/>
  <c r="K108" i="29"/>
  <c r="D48" i="34"/>
  <c r="J22" i="35"/>
  <c r="J29" i="35"/>
  <c r="H107" i="29"/>
  <c r="J117" i="29"/>
  <c r="D55" i="34"/>
  <c r="J135" i="34"/>
  <c r="D135" i="34"/>
  <c r="K34" i="35"/>
  <c r="J117" i="35"/>
  <c r="J9" i="33"/>
  <c r="L9" i="33" s="1"/>
  <c r="D9" i="33"/>
  <c r="J78" i="33"/>
  <c r="D78" i="33"/>
  <c r="J22" i="33"/>
  <c r="D22" i="33"/>
  <c r="J29" i="33"/>
  <c r="D29" i="33"/>
  <c r="J67" i="33"/>
  <c r="K79" i="33"/>
  <c r="K86" i="35"/>
  <c r="K89" i="35"/>
  <c r="K107" i="35"/>
  <c r="H117" i="35"/>
  <c r="J99" i="33"/>
  <c r="D99" i="33"/>
  <c r="D109" i="33"/>
  <c r="J109" i="33"/>
  <c r="D48" i="38"/>
  <c r="G45" i="9"/>
  <c r="J112" i="33"/>
  <c r="D112" i="33"/>
  <c r="J117" i="33"/>
  <c r="D48" i="39"/>
  <c r="D56" i="21"/>
  <c r="D57" i="21"/>
  <c r="K28" i="20"/>
  <c r="J28" i="23"/>
  <c r="D28" i="23"/>
  <c r="D48" i="21"/>
  <c r="D57" i="25"/>
  <c r="J11" i="23"/>
  <c r="J35" i="23"/>
  <c r="J8" i="25"/>
  <c r="L8" i="25" s="1"/>
  <c r="D8" i="25"/>
  <c r="J9" i="51"/>
  <c r="L9" i="51" s="1"/>
  <c r="D9" i="51"/>
  <c r="K29" i="23"/>
  <c r="J67" i="23"/>
  <c r="D67" i="23"/>
  <c r="J79" i="23"/>
  <c r="J99" i="23"/>
  <c r="D99" i="23"/>
  <c r="J120" i="23"/>
  <c r="D120" i="23"/>
  <c r="K125" i="23"/>
  <c r="K7" i="25"/>
  <c r="D48" i="22"/>
  <c r="H10" i="23"/>
  <c r="H34" i="23"/>
  <c r="K86" i="23"/>
  <c r="J89" i="23"/>
  <c r="K100" i="23"/>
  <c r="K116" i="23"/>
  <c r="J121" i="23"/>
  <c r="H125" i="23"/>
  <c r="J9" i="24"/>
  <c r="L9" i="24" s="1"/>
  <c r="D9" i="24"/>
  <c r="D54" i="25"/>
  <c r="J7" i="51"/>
  <c r="D7" i="51"/>
  <c r="D10" i="51"/>
  <c r="J10" i="51"/>
  <c r="J34" i="29"/>
  <c r="D34" i="29"/>
  <c r="K7" i="41"/>
  <c r="D10" i="29"/>
  <c r="J10" i="29"/>
  <c r="J89" i="29"/>
  <c r="D89" i="29"/>
  <c r="J11" i="35"/>
  <c r="H10" i="29"/>
  <c r="K22" i="29"/>
  <c r="K29" i="29"/>
  <c r="J120" i="29"/>
  <c r="D120" i="29"/>
  <c r="J107" i="29"/>
  <c r="D107" i="29"/>
  <c r="H34" i="35"/>
  <c r="K78" i="29"/>
  <c r="K99" i="29"/>
  <c r="K109" i="29"/>
  <c r="J125" i="29"/>
  <c r="K134" i="34"/>
  <c r="J34" i="35"/>
  <c r="J68" i="35"/>
  <c r="H29" i="9"/>
  <c r="N75" i="8" s="1"/>
  <c r="H79" i="29"/>
  <c r="J113" i="29"/>
  <c r="K125" i="29"/>
  <c r="K35" i="35"/>
  <c r="K68" i="35"/>
  <c r="K117" i="35"/>
  <c r="D67" i="33"/>
  <c r="K67" i="33"/>
  <c r="J79" i="33"/>
  <c r="D79" i="33"/>
  <c r="K125" i="35"/>
  <c r="J34" i="33"/>
  <c r="K86" i="33"/>
  <c r="D122" i="33"/>
  <c r="J122" i="33"/>
  <c r="J113" i="35"/>
  <c r="K22" i="33"/>
  <c r="K29" i="33"/>
  <c r="H79" i="33"/>
  <c r="J88" i="33"/>
  <c r="D88" i="33"/>
  <c r="J100" i="33"/>
  <c r="D100" i="33"/>
  <c r="K120" i="33"/>
  <c r="D113" i="33"/>
  <c r="J113" i="33"/>
  <c r="D57" i="39"/>
  <c r="D54" i="21"/>
  <c r="J22" i="20"/>
  <c r="D22" i="20"/>
  <c r="J29" i="20"/>
  <c r="D29" i="20"/>
  <c r="D48" i="20"/>
  <c r="J7" i="23"/>
  <c r="K88" i="23"/>
  <c r="J35" i="29"/>
  <c r="D7" i="22"/>
  <c r="J7" i="22"/>
  <c r="H121" i="23"/>
  <c r="J29" i="24"/>
  <c r="D29" i="24"/>
  <c r="K10" i="23"/>
  <c r="K34" i="23"/>
  <c r="H68" i="23"/>
  <c r="D86" i="23"/>
  <c r="J86" i="23"/>
  <c r="J100" i="23"/>
  <c r="D116" i="23"/>
  <c r="J116" i="23"/>
  <c r="J28" i="51"/>
  <c r="D28" i="51"/>
  <c r="H11" i="23"/>
  <c r="H35" i="23"/>
  <c r="K107" i="23"/>
  <c r="K117" i="23"/>
  <c r="J9" i="25"/>
  <c r="L9" i="25" s="1"/>
  <c r="D9" i="25"/>
  <c r="K136" i="26"/>
  <c r="J8" i="51"/>
  <c r="L8" i="51" s="1"/>
  <c r="D8" i="51"/>
  <c r="D135" i="26"/>
  <c r="J135" i="26"/>
  <c r="D57" i="40"/>
  <c r="J7" i="41"/>
  <c r="D7" i="41"/>
  <c r="J8" i="29"/>
  <c r="L8" i="29" s="1"/>
  <c r="D8" i="29"/>
  <c r="J11" i="29"/>
  <c r="J99" i="29"/>
  <c r="D99" i="29"/>
  <c r="D120" i="33"/>
  <c r="J120" i="33"/>
  <c r="D9" i="29"/>
  <c r="J9" i="29"/>
  <c r="L9" i="29" s="1"/>
  <c r="H11" i="29"/>
  <c r="H34" i="29"/>
  <c r="J100" i="29"/>
  <c r="D100" i="29"/>
  <c r="J108" i="29"/>
  <c r="D108" i="29"/>
  <c r="J12" i="33"/>
  <c r="D125" i="33"/>
  <c r="J125" i="33"/>
  <c r="J67" i="29"/>
  <c r="D79" i="29"/>
  <c r="K79" i="29"/>
  <c r="K88" i="29"/>
  <c r="K100" i="29"/>
  <c r="K121" i="29"/>
  <c r="J35" i="35"/>
  <c r="K99" i="33"/>
  <c r="H86" i="29"/>
  <c r="H109" i="29"/>
  <c r="K88" i="33"/>
  <c r="J86" i="33"/>
  <c r="D121" i="33"/>
  <c r="J121" i="33"/>
  <c r="J121" i="35"/>
  <c r="J35" i="33"/>
  <c r="D35" i="33"/>
  <c r="J109" i="35"/>
  <c r="H125" i="35"/>
  <c r="J7" i="33"/>
  <c r="D7" i="33"/>
  <c r="H10" i="33"/>
  <c r="K34" i="33"/>
  <c r="H86" i="33"/>
  <c r="J89" i="33"/>
  <c r="D89" i="33"/>
  <c r="J107" i="33"/>
  <c r="J110" i="33"/>
  <c r="D110" i="33"/>
  <c r="K109" i="33"/>
  <c r="H109" i="33"/>
  <c r="J114" i="33"/>
  <c r="D114" i="33"/>
  <c r="G29" i="9"/>
  <c r="M75" i="8" s="1"/>
  <c r="B10" i="10"/>
  <c r="F9" i="10"/>
  <c r="F21" i="10"/>
  <c r="F10" i="10"/>
  <c r="K9" i="16"/>
  <c r="K8" i="16"/>
  <c r="K22" i="16"/>
  <c r="K7" i="16"/>
  <c r="J8" i="16"/>
  <c r="J9" i="16"/>
  <c r="J22" i="16"/>
  <c r="J28" i="16"/>
  <c r="J29" i="16"/>
  <c r="K10" i="16"/>
  <c r="K29" i="16"/>
  <c r="J10" i="16"/>
  <c r="J7" i="16"/>
  <c r="K28" i="16"/>
  <c r="D28" i="4" l="1"/>
  <c r="G124" i="4"/>
  <c r="G86" i="4"/>
  <c r="G108" i="4"/>
  <c r="G116" i="4"/>
  <c r="G89" i="4"/>
  <c r="B119" i="4"/>
  <c r="B43" i="10" s="1"/>
  <c r="E98" i="4"/>
  <c r="C53" i="4"/>
  <c r="C47" i="4"/>
  <c r="C77" i="4"/>
  <c r="G121" i="4"/>
  <c r="G79" i="4"/>
  <c r="B56" i="4"/>
  <c r="B49" i="10" s="1"/>
  <c r="D109" i="4"/>
  <c r="G113" i="4"/>
  <c r="B98" i="4"/>
  <c r="G125" i="4"/>
  <c r="G109" i="4"/>
  <c r="G68" i="4"/>
  <c r="G100" i="4"/>
  <c r="B111" i="4"/>
  <c r="B32" i="10" s="1"/>
  <c r="E111" i="4"/>
  <c r="F111" i="4"/>
  <c r="E77" i="4"/>
  <c r="B53" i="4"/>
  <c r="B38" i="10" s="1"/>
  <c r="F119" i="4"/>
  <c r="B47" i="4"/>
  <c r="B11" i="10" s="1"/>
  <c r="F98" i="4"/>
  <c r="E87" i="4"/>
  <c r="C119" i="4"/>
  <c r="F77" i="4"/>
  <c r="F87" i="4"/>
  <c r="E66" i="4"/>
  <c r="B87" i="4"/>
  <c r="B22" i="10" s="1"/>
  <c r="C111" i="4"/>
  <c r="B77" i="4"/>
  <c r="E119" i="4"/>
  <c r="C98" i="4"/>
  <c r="B66" i="4"/>
  <c r="C87" i="4"/>
  <c r="C66" i="4"/>
  <c r="F66" i="4"/>
  <c r="E37" i="13"/>
  <c r="E36" i="13"/>
  <c r="H77" i="29"/>
  <c r="K77" i="33"/>
  <c r="D53" i="34"/>
  <c r="M59" i="8"/>
  <c r="L86" i="23"/>
  <c r="E9" i="79"/>
  <c r="E7" i="79"/>
  <c r="E8" i="79"/>
  <c r="E10" i="79"/>
  <c r="H14" i="9"/>
  <c r="N62" i="8" s="1"/>
  <c r="G14" i="9"/>
  <c r="M62" i="8" s="1"/>
  <c r="N79" i="8"/>
  <c r="D34" i="4"/>
  <c r="E48" i="77"/>
  <c r="E48" i="76"/>
  <c r="E55" i="77"/>
  <c r="E57" i="76"/>
  <c r="E49" i="77"/>
  <c r="E54" i="76"/>
  <c r="E54" i="77"/>
  <c r="L7" i="35"/>
  <c r="L107" i="23"/>
  <c r="B14" i="9"/>
  <c r="M13" i="8" s="1"/>
  <c r="H77" i="33"/>
  <c r="L29" i="51"/>
  <c r="N136" i="8"/>
  <c r="G62" i="9"/>
  <c r="M68" i="8"/>
  <c r="E28" i="16"/>
  <c r="H63" i="9"/>
  <c r="N69" i="8"/>
  <c r="E28" i="51"/>
  <c r="G67" i="9"/>
  <c r="M73" i="8"/>
  <c r="G61" i="9"/>
  <c r="M67" i="8"/>
  <c r="E28" i="29"/>
  <c r="G65" i="9"/>
  <c r="M71" i="8"/>
  <c r="E28" i="23"/>
  <c r="E28" i="20"/>
  <c r="G53" i="9"/>
  <c r="M60" i="8"/>
  <c r="E28" i="25"/>
  <c r="G57" i="9"/>
  <c r="M64" i="8"/>
  <c r="M136" i="8"/>
  <c r="G71" i="9"/>
  <c r="I11" i="9"/>
  <c r="G52" i="9"/>
  <c r="G59" i="9"/>
  <c r="G72" i="9"/>
  <c r="G64" i="9"/>
  <c r="G60" i="9"/>
  <c r="K98" i="33"/>
  <c r="C14" i="9"/>
  <c r="L22" i="51"/>
  <c r="D47" i="39"/>
  <c r="L7" i="51"/>
  <c r="E34" i="37"/>
  <c r="E34" i="13"/>
  <c r="E34" i="29"/>
  <c r="L7" i="41"/>
  <c r="L110" i="33"/>
  <c r="E8" i="74"/>
  <c r="E28" i="18"/>
  <c r="E7" i="72"/>
  <c r="E7" i="74"/>
  <c r="E48" i="72"/>
  <c r="E48" i="74"/>
  <c r="E28" i="37"/>
  <c r="E28" i="13"/>
  <c r="D35" i="4"/>
  <c r="C31" i="9"/>
  <c r="N30" i="8" s="1"/>
  <c r="D53" i="40"/>
  <c r="D53" i="21"/>
  <c r="L28" i="51"/>
  <c r="L125" i="35"/>
  <c r="L10" i="51"/>
  <c r="E35" i="13"/>
  <c r="E35" i="37"/>
  <c r="E35" i="33"/>
  <c r="B34" i="10"/>
  <c r="H77" i="13"/>
  <c r="B42" i="10"/>
  <c r="E99" i="18"/>
  <c r="D29" i="4"/>
  <c r="E88" i="18"/>
  <c r="E9" i="18"/>
  <c r="E9" i="72"/>
  <c r="E67" i="18"/>
  <c r="E8" i="18"/>
  <c r="E112" i="18"/>
  <c r="E108" i="18"/>
  <c r="E120" i="18"/>
  <c r="E78" i="18"/>
  <c r="D37" i="4"/>
  <c r="D36" i="4"/>
  <c r="D39" i="4"/>
  <c r="I33" i="35"/>
  <c r="B31" i="10"/>
  <c r="D110" i="4"/>
  <c r="L117" i="35"/>
  <c r="L122" i="33"/>
  <c r="L135" i="26"/>
  <c r="E39" i="13"/>
  <c r="H111" i="35"/>
  <c r="L113" i="35"/>
  <c r="D122" i="4"/>
  <c r="H119" i="35"/>
  <c r="D47" i="34"/>
  <c r="L121" i="13"/>
  <c r="L108" i="33"/>
  <c r="L121" i="35"/>
  <c r="E48" i="37"/>
  <c r="E48" i="18"/>
  <c r="I11" i="37"/>
  <c r="I11" i="18"/>
  <c r="E54" i="37"/>
  <c r="I34" i="37"/>
  <c r="I34" i="18"/>
  <c r="I117" i="37"/>
  <c r="I117" i="18"/>
  <c r="E22" i="37"/>
  <c r="E22" i="18"/>
  <c r="I109" i="37"/>
  <c r="I109" i="18"/>
  <c r="E7" i="37"/>
  <c r="E7" i="18"/>
  <c r="E134" i="37"/>
  <c r="E55" i="37"/>
  <c r="I89" i="37"/>
  <c r="I89" i="18"/>
  <c r="I10" i="37"/>
  <c r="I10" i="18"/>
  <c r="I125" i="37"/>
  <c r="I125" i="18"/>
  <c r="I124" i="37"/>
  <c r="I113" i="37"/>
  <c r="I113" i="18"/>
  <c r="I68" i="37"/>
  <c r="I68" i="18"/>
  <c r="I96" i="37"/>
  <c r="E75" i="37"/>
  <c r="E36" i="37"/>
  <c r="E49" i="37"/>
  <c r="I100" i="37"/>
  <c r="I100" i="18"/>
  <c r="E89" i="37"/>
  <c r="D114" i="4"/>
  <c r="I12" i="37"/>
  <c r="I12" i="18"/>
  <c r="E37" i="37"/>
  <c r="I22" i="37"/>
  <c r="I22" i="18"/>
  <c r="I121" i="37"/>
  <c r="I121" i="18"/>
  <c r="I29" i="37"/>
  <c r="I29" i="18"/>
  <c r="I79" i="37"/>
  <c r="I79" i="18"/>
  <c r="I116" i="37"/>
  <c r="I35" i="37"/>
  <c r="I35" i="18"/>
  <c r="I75" i="37"/>
  <c r="E135" i="37"/>
  <c r="I112" i="37"/>
  <c r="I108" i="37"/>
  <c r="I108" i="18"/>
  <c r="E10" i="37"/>
  <c r="E10" i="18"/>
  <c r="E57" i="37"/>
  <c r="I7" i="37"/>
  <c r="I7" i="18"/>
  <c r="E96" i="37"/>
  <c r="E136" i="37"/>
  <c r="L114" i="33"/>
  <c r="H77" i="23"/>
  <c r="K77" i="23"/>
  <c r="D47" i="21"/>
  <c r="D47" i="20"/>
  <c r="L107" i="29"/>
  <c r="L134" i="26"/>
  <c r="L109" i="23"/>
  <c r="L113" i="33"/>
  <c r="L12" i="33"/>
  <c r="D56" i="22"/>
  <c r="E100" i="37"/>
  <c r="E122" i="37"/>
  <c r="E78" i="37"/>
  <c r="E114" i="37"/>
  <c r="E9" i="37"/>
  <c r="E124" i="37"/>
  <c r="E8" i="37"/>
  <c r="E67" i="37"/>
  <c r="E109" i="37"/>
  <c r="E116" i="37"/>
  <c r="E125" i="37"/>
  <c r="E99" i="37"/>
  <c r="E112" i="37"/>
  <c r="E110" i="37"/>
  <c r="E107" i="37"/>
  <c r="E88" i="37"/>
  <c r="E86" i="37"/>
  <c r="E108" i="37"/>
  <c r="E120" i="37"/>
  <c r="D47" i="38"/>
  <c r="L96" i="33"/>
  <c r="L113" i="29"/>
  <c r="L89" i="23"/>
  <c r="L75" i="33"/>
  <c r="L68" i="33"/>
  <c r="L68" i="23"/>
  <c r="H98" i="29"/>
  <c r="K98" i="29"/>
  <c r="L22" i="23"/>
  <c r="L120" i="33"/>
  <c r="K87" i="29"/>
  <c r="L137" i="26"/>
  <c r="D47" i="40"/>
  <c r="L28" i="23"/>
  <c r="L12" i="29"/>
  <c r="D53" i="13"/>
  <c r="K87" i="33"/>
  <c r="K87" i="23"/>
  <c r="L89" i="33"/>
  <c r="H87" i="29"/>
  <c r="L135" i="34"/>
  <c r="L10" i="29"/>
  <c r="L7" i="33"/>
  <c r="H66" i="23"/>
  <c r="L35" i="29"/>
  <c r="D56" i="39"/>
  <c r="L11" i="35"/>
  <c r="H87" i="35"/>
  <c r="L11" i="29"/>
  <c r="D47" i="41"/>
  <c r="H111" i="13"/>
  <c r="L35" i="23"/>
  <c r="N135" i="8"/>
  <c r="C12" i="9"/>
  <c r="N11" i="8" s="1"/>
  <c r="N112" i="8"/>
  <c r="C25" i="9"/>
  <c r="N24" i="8" s="1"/>
  <c r="C15" i="9"/>
  <c r="N14" i="8" s="1"/>
  <c r="C24" i="9"/>
  <c r="N22" i="8" s="1"/>
  <c r="C28" i="9"/>
  <c r="N27" i="8" s="1"/>
  <c r="K111" i="13"/>
  <c r="L107" i="33"/>
  <c r="L100" i="33"/>
  <c r="N138" i="8"/>
  <c r="M112" i="8"/>
  <c r="L108" i="13"/>
  <c r="D56" i="40"/>
  <c r="N139" i="8"/>
  <c r="L109" i="35"/>
  <c r="H119" i="23"/>
  <c r="L116" i="33"/>
  <c r="C22" i="9"/>
  <c r="N20" i="8" s="1"/>
  <c r="D53" i="22"/>
  <c r="L35" i="33"/>
  <c r="L8" i="16"/>
  <c r="L67" i="29"/>
  <c r="L29" i="20"/>
  <c r="L116" i="23"/>
  <c r="L12" i="35"/>
  <c r="L108" i="23"/>
  <c r="L28" i="25"/>
  <c r="L9" i="16"/>
  <c r="H98" i="13"/>
  <c r="K111" i="29"/>
  <c r="L7" i="16"/>
  <c r="D53" i="16"/>
  <c r="D56" i="25"/>
  <c r="L117" i="33"/>
  <c r="L10" i="35"/>
  <c r="L12" i="13"/>
  <c r="K66" i="35"/>
  <c r="D56" i="16"/>
  <c r="N133" i="8"/>
  <c r="L99" i="23"/>
  <c r="L7" i="20"/>
  <c r="K119" i="13"/>
  <c r="M113" i="8"/>
  <c r="K66" i="23"/>
  <c r="K87" i="35"/>
  <c r="M109" i="8"/>
  <c r="L11" i="33"/>
  <c r="H119" i="13"/>
  <c r="L22" i="16"/>
  <c r="L29" i="16"/>
  <c r="C16" i="9"/>
  <c r="N15" i="8" s="1"/>
  <c r="L10" i="16"/>
  <c r="D47" i="16"/>
  <c r="L28" i="16"/>
  <c r="N137" i="8"/>
  <c r="L7" i="13"/>
  <c r="N132" i="8"/>
  <c r="B29" i="9"/>
  <c r="M28" i="8" s="1"/>
  <c r="M114" i="8"/>
  <c r="M137" i="8"/>
  <c r="N111" i="8"/>
  <c r="N134" i="8"/>
  <c r="N140" i="8"/>
  <c r="C29" i="9"/>
  <c r="N28" i="8" s="1"/>
  <c r="C23" i="9"/>
  <c r="N21" i="8" s="1"/>
  <c r="C19" i="9"/>
  <c r="N18" i="8" s="1"/>
  <c r="M111" i="8"/>
  <c r="B11" i="9"/>
  <c r="B17" i="9"/>
  <c r="M16" i="8" s="1"/>
  <c r="M115" i="8"/>
  <c r="H119" i="33"/>
  <c r="L125" i="33"/>
  <c r="L121" i="23"/>
  <c r="M135" i="8"/>
  <c r="L116" i="13"/>
  <c r="N114" i="8"/>
  <c r="L10" i="33"/>
  <c r="C20" i="9"/>
  <c r="N19" i="8" s="1"/>
  <c r="B20" i="9"/>
  <c r="M19" i="8" s="1"/>
  <c r="L22" i="13"/>
  <c r="L107" i="13"/>
  <c r="L10" i="13"/>
  <c r="L121" i="33"/>
  <c r="C26" i="9"/>
  <c r="N25" i="8" s="1"/>
  <c r="H87" i="23"/>
  <c r="L29" i="24"/>
  <c r="L7" i="23"/>
  <c r="H87" i="33"/>
  <c r="L120" i="29"/>
  <c r="D47" i="22"/>
  <c r="L11" i="23"/>
  <c r="L117" i="29"/>
  <c r="B21" i="9"/>
  <c r="M23" i="8" s="1"/>
  <c r="K119" i="23"/>
  <c r="L34" i="13"/>
  <c r="M139" i="8"/>
  <c r="B23" i="9"/>
  <c r="M21" i="8" s="1"/>
  <c r="B22" i="9"/>
  <c r="M20" i="8" s="1"/>
  <c r="L22" i="24"/>
  <c r="L7" i="19"/>
  <c r="N109" i="8"/>
  <c r="M110" i="8"/>
  <c r="C10" i="9"/>
  <c r="L11" i="13"/>
  <c r="C11" i="9"/>
  <c r="N10" i="8" s="1"/>
  <c r="M132" i="8"/>
  <c r="C30" i="9"/>
  <c r="N29" i="8" s="1"/>
  <c r="F14" i="10"/>
  <c r="E48" i="39"/>
  <c r="E48" i="16"/>
  <c r="I89" i="13"/>
  <c r="I89" i="29"/>
  <c r="I89" i="35"/>
  <c r="I89" i="33"/>
  <c r="I89" i="23"/>
  <c r="G23" i="10"/>
  <c r="I35" i="23"/>
  <c r="I35" i="29"/>
  <c r="I35" i="35"/>
  <c r="I35" i="33"/>
  <c r="I35" i="13"/>
  <c r="G42" i="10"/>
  <c r="I134" i="26"/>
  <c r="G15" i="10"/>
  <c r="I10" i="23"/>
  <c r="I10" i="35"/>
  <c r="I10" i="29"/>
  <c r="I10" i="33"/>
  <c r="I10" i="13"/>
  <c r="G20" i="10"/>
  <c r="E49" i="39"/>
  <c r="E49" i="16"/>
  <c r="I23" i="33"/>
  <c r="I23" i="13"/>
  <c r="I23" i="29"/>
  <c r="I23" i="35"/>
  <c r="E54" i="39"/>
  <c r="E54" i="16"/>
  <c r="C25" i="10"/>
  <c r="C31" i="10"/>
  <c r="C9" i="10"/>
  <c r="C23" i="10"/>
  <c r="G44" i="10"/>
  <c r="C41" i="10"/>
  <c r="I86" i="29"/>
  <c r="I86" i="33"/>
  <c r="I86" i="35"/>
  <c r="C21" i="10"/>
  <c r="C33" i="10"/>
  <c r="C16" i="10"/>
  <c r="H18" i="9"/>
  <c r="N65" i="8" s="1"/>
  <c r="B16" i="9"/>
  <c r="M15" i="8" s="1"/>
  <c r="M140" i="8"/>
  <c r="B12" i="9"/>
  <c r="M11" i="8" s="1"/>
  <c r="H68" i="9"/>
  <c r="H19" i="9"/>
  <c r="N66" i="8" s="1"/>
  <c r="M134" i="8"/>
  <c r="N110" i="8"/>
  <c r="I29" i="33"/>
  <c r="I29" i="23"/>
  <c r="I29" i="29"/>
  <c r="I29" i="13"/>
  <c r="I29" i="35"/>
  <c r="G21" i="10"/>
  <c r="I25" i="29"/>
  <c r="I25" i="33"/>
  <c r="I25" i="13"/>
  <c r="I30" i="23"/>
  <c r="I30" i="29"/>
  <c r="I30" i="35"/>
  <c r="I30" i="33"/>
  <c r="I30" i="13"/>
  <c r="C30" i="10"/>
  <c r="I107" i="13"/>
  <c r="I107" i="29"/>
  <c r="I107" i="35"/>
  <c r="I107" i="33"/>
  <c r="C44" i="10"/>
  <c r="I75" i="33"/>
  <c r="G14" i="10"/>
  <c r="I32" i="13"/>
  <c r="I32" i="23"/>
  <c r="I32" i="29"/>
  <c r="I32" i="33"/>
  <c r="I100" i="13"/>
  <c r="I100" i="23"/>
  <c r="I100" i="29"/>
  <c r="I100" i="33"/>
  <c r="I22" i="23"/>
  <c r="I22" i="29"/>
  <c r="I22" i="35"/>
  <c r="I22" i="33"/>
  <c r="I22" i="13"/>
  <c r="G10" i="10"/>
  <c r="C34" i="10"/>
  <c r="I121" i="13"/>
  <c r="I121" i="23"/>
  <c r="I121" i="35"/>
  <c r="I121" i="33"/>
  <c r="I121" i="29"/>
  <c r="I113" i="23"/>
  <c r="I113" i="13"/>
  <c r="I113" i="35"/>
  <c r="I113" i="33"/>
  <c r="I113" i="29"/>
  <c r="I108" i="13"/>
  <c r="M138" i="8"/>
  <c r="N113" i="8"/>
  <c r="B41" i="9"/>
  <c r="B15" i="9"/>
  <c r="M14" i="8" s="1"/>
  <c r="B31" i="9"/>
  <c r="M30" i="8" s="1"/>
  <c r="G44" i="9"/>
  <c r="G70" i="9" s="1"/>
  <c r="H23" i="9"/>
  <c r="N70" i="8" s="1"/>
  <c r="C17" i="9"/>
  <c r="N16" i="8" s="1"/>
  <c r="B30" i="9"/>
  <c r="M29" i="8" s="1"/>
  <c r="H28" i="9"/>
  <c r="N74" i="8" s="1"/>
  <c r="B40" i="9"/>
  <c r="B19" i="9"/>
  <c r="M18" i="8" s="1"/>
  <c r="I136" i="26"/>
  <c r="G33" i="10"/>
  <c r="I7" i="29"/>
  <c r="I7" i="33"/>
  <c r="I7" i="23"/>
  <c r="I7" i="35"/>
  <c r="I7" i="13"/>
  <c r="G9" i="10"/>
  <c r="B45" i="10"/>
  <c r="I31" i="35"/>
  <c r="I31" i="13"/>
  <c r="I31" i="33"/>
  <c r="I31" i="23"/>
  <c r="I31" i="29"/>
  <c r="C45" i="10"/>
  <c r="C42" i="10"/>
  <c r="I24" i="13"/>
  <c r="I24" i="33"/>
  <c r="C15" i="10"/>
  <c r="B28" i="9"/>
  <c r="M27" i="8" s="1"/>
  <c r="H17" i="9"/>
  <c r="M133" i="8"/>
  <c r="B45" i="9"/>
  <c r="G43" i="9"/>
  <c r="G69" i="9" s="1"/>
  <c r="C21" i="9"/>
  <c r="N115" i="8"/>
  <c r="C18" i="9"/>
  <c r="N17" i="8" s="1"/>
  <c r="H30" i="9"/>
  <c r="N76" i="8" s="1"/>
  <c r="C13" i="10"/>
  <c r="F44" i="10"/>
  <c r="I135" i="26"/>
  <c r="G25" i="10"/>
  <c r="I96" i="33"/>
  <c r="G24" i="10"/>
  <c r="C14" i="10"/>
  <c r="I68" i="23"/>
  <c r="I68" i="29"/>
  <c r="I68" i="35"/>
  <c r="I68" i="33"/>
  <c r="I68" i="13"/>
  <c r="G13" i="10"/>
  <c r="G136" i="4"/>
  <c r="F33" i="10"/>
  <c r="I79" i="13"/>
  <c r="I79" i="23"/>
  <c r="I79" i="33"/>
  <c r="I79" i="29"/>
  <c r="I109" i="13"/>
  <c r="I109" i="35"/>
  <c r="I109" i="29"/>
  <c r="I109" i="23"/>
  <c r="I109" i="33"/>
  <c r="I12" i="29"/>
  <c r="I12" i="33"/>
  <c r="I12" i="35"/>
  <c r="I12" i="23"/>
  <c r="I12" i="13"/>
  <c r="G41" i="10"/>
  <c r="I11" i="13"/>
  <c r="I11" i="23"/>
  <c r="I11" i="35"/>
  <c r="I11" i="33"/>
  <c r="G30" i="10"/>
  <c r="I11" i="29"/>
  <c r="F24" i="10"/>
  <c r="I125" i="13"/>
  <c r="I125" i="23"/>
  <c r="I125" i="35"/>
  <c r="I125" i="29"/>
  <c r="I125" i="33"/>
  <c r="C26" i="10"/>
  <c r="I34" i="13"/>
  <c r="I34" i="35"/>
  <c r="I34" i="23"/>
  <c r="I34" i="29"/>
  <c r="I34" i="33"/>
  <c r="G31" i="10"/>
  <c r="D96" i="4"/>
  <c r="B24" i="10"/>
  <c r="C24" i="10"/>
  <c r="I117" i="13"/>
  <c r="I117" i="23"/>
  <c r="I117" i="35"/>
  <c r="I117" i="29"/>
  <c r="I117" i="33"/>
  <c r="C10" i="10"/>
  <c r="C20" i="10"/>
  <c r="D75" i="4"/>
  <c r="B14" i="10"/>
  <c r="E57" i="39"/>
  <c r="E57" i="16"/>
  <c r="L120" i="23"/>
  <c r="L67" i="23"/>
  <c r="H98" i="33"/>
  <c r="L22" i="35"/>
  <c r="L100" i="13"/>
  <c r="D53" i="39"/>
  <c r="L109" i="29"/>
  <c r="L7" i="29"/>
  <c r="L28" i="29"/>
  <c r="L117" i="23"/>
  <c r="H98" i="23"/>
  <c r="L10" i="20"/>
  <c r="K98" i="13"/>
  <c r="L29" i="13"/>
  <c r="G41" i="9"/>
  <c r="G63" i="9" s="1"/>
  <c r="B18" i="9"/>
  <c r="M17" i="8" s="1"/>
  <c r="G42" i="9"/>
  <c r="G66" i="9" s="1"/>
  <c r="B24" i="9"/>
  <c r="M22" i="8" s="1"/>
  <c r="H16" i="9"/>
  <c r="N64" i="8" s="1"/>
  <c r="B26" i="9"/>
  <c r="M25" i="8" s="1"/>
  <c r="N32" i="8"/>
  <c r="G39" i="9"/>
  <c r="G56" i="9" s="1"/>
  <c r="H26" i="9"/>
  <c r="N73" i="8" s="1"/>
  <c r="B25" i="9"/>
  <c r="M24" i="8" s="1"/>
  <c r="H25" i="9"/>
  <c r="N72" i="8" s="1"/>
  <c r="L22" i="20"/>
  <c r="L109" i="33"/>
  <c r="L99" i="33"/>
  <c r="H111" i="29"/>
  <c r="L10" i="23"/>
  <c r="L28" i="13"/>
  <c r="L89" i="35"/>
  <c r="D56" i="13"/>
  <c r="L35" i="35"/>
  <c r="L99" i="29"/>
  <c r="K119" i="33"/>
  <c r="L88" i="33"/>
  <c r="L79" i="33"/>
  <c r="L34" i="29"/>
  <c r="H66" i="33"/>
  <c r="L78" i="33"/>
  <c r="L67" i="13"/>
  <c r="H66" i="35"/>
  <c r="L109" i="13"/>
  <c r="L112" i="13"/>
  <c r="L35" i="13"/>
  <c r="L79" i="29"/>
  <c r="L86" i="29"/>
  <c r="L7" i="22"/>
  <c r="K66" i="33"/>
  <c r="L89" i="29"/>
  <c r="L12" i="23"/>
  <c r="H87" i="13"/>
  <c r="L120" i="13"/>
  <c r="L68" i="13"/>
  <c r="L7" i="25"/>
  <c r="L134" i="34"/>
  <c r="L108" i="29"/>
  <c r="L34" i="35"/>
  <c r="D53" i="25"/>
  <c r="L112" i="33"/>
  <c r="L29" i="33"/>
  <c r="L121" i="29"/>
  <c r="L29" i="29"/>
  <c r="H111" i="23"/>
  <c r="L86" i="35"/>
  <c r="L68" i="29"/>
  <c r="L136" i="26"/>
  <c r="D47" i="25"/>
  <c r="L112" i="23"/>
  <c r="L113" i="13"/>
  <c r="L117" i="13"/>
  <c r="L68" i="35"/>
  <c r="L86" i="33"/>
  <c r="H119" i="29"/>
  <c r="L100" i="29"/>
  <c r="L34" i="33"/>
  <c r="L125" i="29"/>
  <c r="L29" i="35"/>
  <c r="L88" i="29"/>
  <c r="L78" i="29"/>
  <c r="L88" i="23"/>
  <c r="L125" i="23"/>
  <c r="L113" i="23"/>
  <c r="H111" i="33"/>
  <c r="L107" i="35"/>
  <c r="D47" i="51"/>
  <c r="D47" i="26"/>
  <c r="L7" i="24"/>
  <c r="L29" i="23"/>
  <c r="L28" i="20"/>
  <c r="K119" i="35"/>
  <c r="L100" i="23"/>
  <c r="L79" i="23"/>
  <c r="L67" i="33"/>
  <c r="L22" i="33"/>
  <c r="L22" i="29"/>
  <c r="J77" i="29"/>
  <c r="K98" i="23"/>
  <c r="L10" i="24"/>
  <c r="L78" i="23"/>
  <c r="L34" i="23"/>
  <c r="L124" i="13"/>
  <c r="L79" i="13"/>
  <c r="L89" i="13"/>
  <c r="L99" i="13"/>
  <c r="L125" i="13"/>
  <c r="L78" i="13"/>
  <c r="K66" i="13"/>
  <c r="L86" i="13"/>
  <c r="K87" i="13"/>
  <c r="J77" i="13"/>
  <c r="L88" i="13"/>
  <c r="H66" i="13"/>
  <c r="D47" i="13"/>
  <c r="J87" i="35"/>
  <c r="D66" i="33"/>
  <c r="J66" i="33"/>
  <c r="J98" i="23"/>
  <c r="D98" i="23"/>
  <c r="D111" i="33"/>
  <c r="J111" i="33"/>
  <c r="J111" i="35"/>
  <c r="D66" i="13"/>
  <c r="J66" i="13"/>
  <c r="K111" i="33"/>
  <c r="K111" i="35"/>
  <c r="J111" i="29"/>
  <c r="J111" i="23"/>
  <c r="D111" i="23"/>
  <c r="J87" i="13"/>
  <c r="D87" i="13"/>
  <c r="J119" i="33"/>
  <c r="D119" i="33"/>
  <c r="D77" i="29"/>
  <c r="K77" i="29"/>
  <c r="J66" i="35"/>
  <c r="D77" i="13"/>
  <c r="K77" i="13"/>
  <c r="J66" i="29"/>
  <c r="J87" i="33"/>
  <c r="D87" i="33"/>
  <c r="D119" i="29"/>
  <c r="J119" i="29"/>
  <c r="D98" i="33"/>
  <c r="J98" i="33"/>
  <c r="J87" i="29"/>
  <c r="D87" i="29"/>
  <c r="J87" i="23"/>
  <c r="D87" i="23"/>
  <c r="K119" i="29"/>
  <c r="K111" i="23"/>
  <c r="D119" i="13"/>
  <c r="J119" i="13"/>
  <c r="D98" i="13"/>
  <c r="J98" i="13"/>
  <c r="D111" i="13"/>
  <c r="J111" i="13"/>
  <c r="J98" i="29"/>
  <c r="D98" i="29"/>
  <c r="J119" i="35"/>
  <c r="H66" i="29"/>
  <c r="D119" i="23"/>
  <c r="J119" i="23"/>
  <c r="J66" i="23"/>
  <c r="D66" i="23"/>
  <c r="D77" i="33"/>
  <c r="J77" i="33"/>
  <c r="J77" i="23"/>
  <c r="D77" i="23"/>
  <c r="D66" i="29"/>
  <c r="K66" i="29"/>
  <c r="E48" i="38"/>
  <c r="E88" i="33"/>
  <c r="E108" i="33"/>
  <c r="E22" i="33"/>
  <c r="E99" i="33"/>
  <c r="E9" i="33"/>
  <c r="E110" i="33"/>
  <c r="E122" i="33"/>
  <c r="E75" i="33"/>
  <c r="E116" i="33"/>
  <c r="E10" i="33"/>
  <c r="E79" i="33"/>
  <c r="E7" i="33"/>
  <c r="E89" i="33"/>
  <c r="E100" i="33"/>
  <c r="E125" i="33"/>
  <c r="E68" i="33"/>
  <c r="E96" i="33"/>
  <c r="E8" i="33"/>
  <c r="E78" i="33"/>
  <c r="E67" i="33"/>
  <c r="E112" i="33"/>
  <c r="E109" i="33"/>
  <c r="E114" i="33"/>
  <c r="E121" i="33"/>
  <c r="E120" i="33"/>
  <c r="E113" i="33"/>
  <c r="E99" i="29"/>
  <c r="E9" i="29"/>
  <c r="E48" i="34"/>
  <c r="E86" i="29"/>
  <c r="E134" i="34"/>
  <c r="E55" i="34"/>
  <c r="E68" i="29"/>
  <c r="E88" i="29"/>
  <c r="E108" i="29"/>
  <c r="E22" i="29"/>
  <c r="E10" i="29"/>
  <c r="E79" i="29"/>
  <c r="E135" i="34"/>
  <c r="E7" i="29"/>
  <c r="E89" i="29"/>
  <c r="E100" i="29"/>
  <c r="E107" i="29"/>
  <c r="E8" i="29"/>
  <c r="E78" i="29"/>
  <c r="E67" i="29"/>
  <c r="E109" i="29"/>
  <c r="E120" i="29"/>
  <c r="E9" i="41"/>
  <c r="E48" i="40"/>
  <c r="E48" i="41"/>
  <c r="E57" i="40"/>
  <c r="E54" i="40"/>
  <c r="E7" i="41"/>
  <c r="E8" i="41"/>
  <c r="E9" i="51"/>
  <c r="E48" i="51"/>
  <c r="E22" i="51"/>
  <c r="E10" i="51"/>
  <c r="E7" i="51"/>
  <c r="E8" i="51"/>
  <c r="E9" i="25"/>
  <c r="E57" i="25"/>
  <c r="E48" i="25"/>
  <c r="E48" i="26"/>
  <c r="E137" i="26"/>
  <c r="E49" i="26"/>
  <c r="E54" i="25"/>
  <c r="E135" i="26"/>
  <c r="E7" i="25"/>
  <c r="E134" i="26"/>
  <c r="E8" i="25"/>
  <c r="E99" i="23"/>
  <c r="E9" i="24"/>
  <c r="E86" i="23"/>
  <c r="E88" i="23"/>
  <c r="E108" i="23"/>
  <c r="E116" i="23"/>
  <c r="E22" i="23"/>
  <c r="E22" i="24"/>
  <c r="E10" i="24"/>
  <c r="E7" i="24"/>
  <c r="E107" i="23"/>
  <c r="E8" i="24"/>
  <c r="E78" i="23"/>
  <c r="E67" i="23"/>
  <c r="E112" i="23"/>
  <c r="E120" i="23"/>
  <c r="E9" i="22"/>
  <c r="E48" i="21"/>
  <c r="E48" i="22"/>
  <c r="E57" i="21"/>
  <c r="E57" i="22"/>
  <c r="E49" i="22"/>
  <c r="E54" i="21"/>
  <c r="E54" i="22"/>
  <c r="E7" i="22"/>
  <c r="E8" i="22"/>
  <c r="E22" i="20"/>
  <c r="E10" i="20"/>
  <c r="E7" i="19"/>
  <c r="E7" i="20"/>
  <c r="E9" i="19"/>
  <c r="E9" i="20"/>
  <c r="E48" i="19"/>
  <c r="E48" i="20"/>
  <c r="E8" i="19"/>
  <c r="E8" i="20"/>
  <c r="E99" i="13"/>
  <c r="E9" i="13"/>
  <c r="E48" i="13"/>
  <c r="E86" i="13"/>
  <c r="E88" i="13"/>
  <c r="E124" i="13"/>
  <c r="E108" i="13"/>
  <c r="E116" i="13"/>
  <c r="E22" i="13"/>
  <c r="E10" i="13"/>
  <c r="E57" i="13"/>
  <c r="E11" i="13"/>
  <c r="E54" i="13"/>
  <c r="E7" i="13"/>
  <c r="E89" i="13"/>
  <c r="E100" i="13"/>
  <c r="E107" i="13"/>
  <c r="E12" i="13"/>
  <c r="E8" i="13"/>
  <c r="E78" i="13"/>
  <c r="E67" i="13"/>
  <c r="E112" i="13"/>
  <c r="E109" i="13"/>
  <c r="E120" i="13"/>
  <c r="D116" i="4"/>
  <c r="D108" i="4"/>
  <c r="D124" i="4"/>
  <c r="D125" i="4"/>
  <c r="E22" i="16"/>
  <c r="E9" i="16"/>
  <c r="D22" i="4"/>
  <c r="D136" i="4"/>
  <c r="D57" i="4"/>
  <c r="E10" i="16"/>
  <c r="G22" i="4"/>
  <c r="D113" i="4"/>
  <c r="D137" i="4"/>
  <c r="D10" i="4"/>
  <c r="D112" i="4"/>
  <c r="D55" i="4"/>
  <c r="D120" i="4"/>
  <c r="D7" i="4"/>
  <c r="E7" i="16"/>
  <c r="D68" i="4"/>
  <c r="D8" i="4"/>
  <c r="E8" i="16"/>
  <c r="D134" i="4"/>
  <c r="G7" i="4"/>
  <c r="D48" i="4"/>
  <c r="D54" i="4"/>
  <c r="D49" i="4"/>
  <c r="D12" i="4"/>
  <c r="D11" i="4"/>
  <c r="G12" i="4"/>
  <c r="G34" i="4"/>
  <c r="D121" i="4"/>
  <c r="G11" i="4"/>
  <c r="H22" i="4"/>
  <c r="G29" i="4"/>
  <c r="D67" i="4"/>
  <c r="D100" i="4"/>
  <c r="G10" i="4"/>
  <c r="D89" i="4"/>
  <c r="G35" i="4"/>
  <c r="D99" i="4"/>
  <c r="D86" i="4"/>
  <c r="D107" i="4"/>
  <c r="D135" i="4"/>
  <c r="G135" i="4"/>
  <c r="G134" i="4"/>
  <c r="D78" i="4"/>
  <c r="D88" i="4"/>
  <c r="D79" i="4"/>
  <c r="D9" i="4"/>
  <c r="L77" i="33" l="1"/>
  <c r="G77" i="4"/>
  <c r="G111" i="4"/>
  <c r="G87" i="4"/>
  <c r="G98" i="4"/>
  <c r="C34" i="9"/>
  <c r="F32" i="10"/>
  <c r="H34" i="9"/>
  <c r="J28" i="9" s="1"/>
  <c r="G119" i="4"/>
  <c r="F43" i="10"/>
  <c r="M10" i="8"/>
  <c r="B34" i="9"/>
  <c r="G34" i="9"/>
  <c r="G55" i="9"/>
  <c r="G76" i="9" s="1"/>
  <c r="I14" i="9"/>
  <c r="H55" i="9"/>
  <c r="N9" i="8"/>
  <c r="E56" i="76"/>
  <c r="E47" i="76"/>
  <c r="E47" i="77"/>
  <c r="E53" i="76"/>
  <c r="E53" i="77"/>
  <c r="B55" i="9"/>
  <c r="L98" i="33"/>
  <c r="C55" i="9"/>
  <c r="N13" i="8"/>
  <c r="D14" i="9"/>
  <c r="E47" i="72"/>
  <c r="E47" i="74"/>
  <c r="L119" i="35"/>
  <c r="E87" i="18"/>
  <c r="E66" i="18"/>
  <c r="L77" i="23"/>
  <c r="I77" i="29"/>
  <c r="I77" i="23"/>
  <c r="I77" i="13"/>
  <c r="I77" i="33"/>
  <c r="L111" i="35"/>
  <c r="E56" i="37"/>
  <c r="I111" i="37"/>
  <c r="I111" i="18"/>
  <c r="I98" i="18"/>
  <c r="E77" i="18"/>
  <c r="I77" i="18"/>
  <c r="E119" i="37"/>
  <c r="E119" i="18"/>
  <c r="I119" i="37"/>
  <c r="I119" i="18"/>
  <c r="E47" i="37"/>
  <c r="E47" i="18"/>
  <c r="E98" i="18"/>
  <c r="I87" i="37"/>
  <c r="I87" i="18"/>
  <c r="E111" i="37"/>
  <c r="E111" i="18"/>
  <c r="E53" i="37"/>
  <c r="I66" i="37"/>
  <c r="I66" i="18"/>
  <c r="I77" i="37"/>
  <c r="L87" i="29"/>
  <c r="E97" i="29"/>
  <c r="I98" i="37"/>
  <c r="L119" i="13"/>
  <c r="E66" i="37"/>
  <c r="E87" i="33"/>
  <c r="E87" i="37"/>
  <c r="E98" i="37"/>
  <c r="E77" i="37"/>
  <c r="L111" i="29"/>
  <c r="L111" i="13"/>
  <c r="L87" i="33"/>
  <c r="L98" i="29"/>
  <c r="L119" i="23"/>
  <c r="L87" i="23"/>
  <c r="L98" i="23"/>
  <c r="E87" i="13"/>
  <c r="E87" i="23"/>
  <c r="D98" i="4"/>
  <c r="L66" i="35"/>
  <c r="E98" i="29"/>
  <c r="E98" i="33"/>
  <c r="L119" i="33"/>
  <c r="L98" i="13"/>
  <c r="L66" i="33"/>
  <c r="L87" i="35"/>
  <c r="L66" i="23"/>
  <c r="L66" i="13"/>
  <c r="E66" i="23"/>
  <c r="E66" i="13"/>
  <c r="E66" i="29"/>
  <c r="E66" i="33"/>
  <c r="L111" i="33"/>
  <c r="D87" i="4"/>
  <c r="E98" i="23"/>
  <c r="E87" i="29"/>
  <c r="C43" i="10"/>
  <c r="I119" i="13"/>
  <c r="I119" i="23"/>
  <c r="I119" i="29"/>
  <c r="I119" i="35"/>
  <c r="I119" i="33"/>
  <c r="G43" i="10"/>
  <c r="F22" i="10"/>
  <c r="I98" i="13"/>
  <c r="I98" i="23"/>
  <c r="I98" i="29"/>
  <c r="I98" i="33"/>
  <c r="D66" i="4"/>
  <c r="B12" i="10"/>
  <c r="I66" i="13"/>
  <c r="I66" i="29"/>
  <c r="I66" i="35"/>
  <c r="I66" i="33"/>
  <c r="G12" i="10"/>
  <c r="I66" i="23"/>
  <c r="G66" i="4"/>
  <c r="F12" i="10"/>
  <c r="E53" i="39"/>
  <c r="C38" i="10"/>
  <c r="E53" i="16"/>
  <c r="I111" i="13"/>
  <c r="I111" i="23"/>
  <c r="I111" i="29"/>
  <c r="I111" i="35"/>
  <c r="I111" i="33"/>
  <c r="G32" i="10"/>
  <c r="E56" i="39"/>
  <c r="E56" i="16"/>
  <c r="C49" i="10"/>
  <c r="C32" i="10"/>
  <c r="C22" i="10"/>
  <c r="E47" i="39"/>
  <c r="C11" i="10"/>
  <c r="E47" i="16"/>
  <c r="C12" i="10"/>
  <c r="I87" i="13"/>
  <c r="I87" i="29"/>
  <c r="I87" i="23"/>
  <c r="I87" i="33"/>
  <c r="I87" i="35"/>
  <c r="G22" i="10"/>
  <c r="L87" i="13"/>
  <c r="L119" i="29"/>
  <c r="L66" i="29"/>
  <c r="L77" i="29"/>
  <c r="L111" i="23"/>
  <c r="E98" i="13"/>
  <c r="L77" i="13"/>
  <c r="E47" i="38"/>
  <c r="E77" i="33"/>
  <c r="E111" i="33"/>
  <c r="E119" i="33"/>
  <c r="E47" i="34"/>
  <c r="E119" i="29"/>
  <c r="E53" i="34"/>
  <c r="E77" i="29"/>
  <c r="E53" i="40"/>
  <c r="E56" i="40"/>
  <c r="E47" i="40"/>
  <c r="E47" i="41"/>
  <c r="E47" i="51"/>
  <c r="E53" i="25"/>
  <c r="E47" i="25"/>
  <c r="E47" i="26"/>
  <c r="E56" i="25"/>
  <c r="E119" i="23"/>
  <c r="E77" i="23"/>
  <c r="E111" i="23"/>
  <c r="E56" i="21"/>
  <c r="E56" i="22"/>
  <c r="E47" i="21"/>
  <c r="E47" i="22"/>
  <c r="E53" i="21"/>
  <c r="E53" i="22"/>
  <c r="E47" i="19"/>
  <c r="E47" i="20"/>
  <c r="E53" i="13"/>
  <c r="E77" i="13"/>
  <c r="E56" i="13"/>
  <c r="E111" i="13"/>
  <c r="E47" i="13"/>
  <c r="E119" i="13"/>
  <c r="D111" i="4"/>
  <c r="D77" i="4"/>
  <c r="D119" i="4"/>
  <c r="D53" i="4"/>
  <c r="D56" i="4"/>
  <c r="D47" i="4"/>
  <c r="J14" i="9" l="1"/>
  <c r="J18" i="9"/>
  <c r="J26" i="9"/>
  <c r="J23" i="9"/>
  <c r="J19" i="9"/>
  <c r="J11" i="9"/>
  <c r="J22" i="9"/>
  <c r="J29" i="9"/>
  <c r="J15" i="9"/>
  <c r="J33" i="9"/>
  <c r="J25" i="9"/>
  <c r="I55" i="9"/>
  <c r="D55" i="9"/>
  <c r="C60" i="10"/>
  <c r="H107" i="4"/>
  <c r="H114" i="4"/>
  <c r="H116" i="4"/>
  <c r="H28" i="4"/>
  <c r="H98" i="4" l="1"/>
  <c r="H117" i="4"/>
  <c r="H99" i="4"/>
  <c r="H24" i="4"/>
  <c r="H118" i="4"/>
  <c r="H27" i="4"/>
  <c r="H78" i="4"/>
  <c r="D9" i="10"/>
  <c r="H124" i="4"/>
  <c r="H112" i="4"/>
  <c r="H88" i="4"/>
  <c r="H9" i="4"/>
  <c r="H8" i="4"/>
  <c r="H79" i="4"/>
  <c r="H122" i="4"/>
  <c r="H14" i="10"/>
  <c r="H37" i="4"/>
  <c r="H121" i="4"/>
  <c r="I121" i="4"/>
  <c r="I112" i="4"/>
  <c r="I9" i="4"/>
  <c r="I109" i="4"/>
  <c r="K49" i="10"/>
  <c r="H113" i="4"/>
  <c r="I108" i="4"/>
  <c r="H11" i="4"/>
  <c r="I122" i="4"/>
  <c r="I79" i="4"/>
  <c r="I100" i="4"/>
  <c r="H110" i="4"/>
  <c r="H25" i="4"/>
  <c r="H125" i="4"/>
  <c r="H86" i="4"/>
  <c r="H42" i="10"/>
  <c r="H21" i="10"/>
  <c r="I120" i="4"/>
  <c r="I28" i="4"/>
  <c r="H109" i="4"/>
  <c r="I32" i="4"/>
  <c r="I67" i="4"/>
  <c r="K11" i="10"/>
  <c r="I23" i="4"/>
  <c r="H22" i="10"/>
  <c r="H108" i="4"/>
  <c r="H10" i="4"/>
  <c r="H38" i="4"/>
  <c r="I77" i="4"/>
  <c r="I88" i="4"/>
  <c r="I117" i="4"/>
  <c r="H67" i="4"/>
  <c r="H12" i="10"/>
  <c r="I116" i="4"/>
  <c r="I118" i="4"/>
  <c r="H120" i="4"/>
  <c r="I110" i="4"/>
  <c r="I113" i="4"/>
  <c r="I78" i="4"/>
  <c r="K26" i="10"/>
  <c r="I98" i="4"/>
  <c r="I99" i="4"/>
  <c r="K9" i="10"/>
  <c r="H77" i="4"/>
  <c r="H24" i="10"/>
  <c r="I31" i="4"/>
  <c r="I24" i="4"/>
  <c r="K16" i="10"/>
  <c r="I30" i="4"/>
  <c r="H36" i="4"/>
  <c r="K45" i="10"/>
  <c r="H39" i="4"/>
  <c r="I107" i="4"/>
  <c r="I8" i="4"/>
  <c r="I114" i="4"/>
  <c r="I86" i="4"/>
  <c r="H10" i="10"/>
  <c r="I124" i="4"/>
  <c r="H100" i="4"/>
  <c r="H7" i="4"/>
  <c r="H23" i="4"/>
  <c r="H15" i="10"/>
  <c r="I125" i="4"/>
  <c r="M8" i="79" l="1"/>
  <c r="M9" i="79"/>
  <c r="M9" i="72"/>
  <c r="M8" i="74"/>
  <c r="J23" i="4"/>
  <c r="J24" i="4"/>
  <c r="J110" i="4"/>
  <c r="M67" i="37"/>
  <c r="M67" i="18"/>
  <c r="M107" i="37"/>
  <c r="M32" i="37"/>
  <c r="M32" i="18"/>
  <c r="M79" i="37"/>
  <c r="M79" i="18"/>
  <c r="M124" i="37"/>
  <c r="M88" i="37"/>
  <c r="M88" i="18"/>
  <c r="M78" i="37"/>
  <c r="M78" i="18"/>
  <c r="M100" i="37"/>
  <c r="M100" i="18"/>
  <c r="M86" i="37"/>
  <c r="M122" i="37"/>
  <c r="M109" i="37"/>
  <c r="M109" i="18"/>
  <c r="M99" i="37"/>
  <c r="M99" i="18"/>
  <c r="M113" i="37"/>
  <c r="M113" i="18"/>
  <c r="M117" i="37"/>
  <c r="M117" i="18"/>
  <c r="M28" i="37"/>
  <c r="M28" i="18"/>
  <c r="M114" i="37"/>
  <c r="M98" i="18"/>
  <c r="M110" i="37"/>
  <c r="M9" i="37"/>
  <c r="M9" i="18"/>
  <c r="M31" i="37"/>
  <c r="M31" i="18"/>
  <c r="M8" i="37"/>
  <c r="M8" i="18"/>
  <c r="M24" i="37"/>
  <c r="M108" i="37"/>
  <c r="M108" i="18"/>
  <c r="M112" i="37"/>
  <c r="M112" i="18"/>
  <c r="J122" i="4"/>
  <c r="M23" i="37"/>
  <c r="M23" i="18"/>
  <c r="M121" i="37"/>
  <c r="M121" i="18"/>
  <c r="M125" i="37"/>
  <c r="M125" i="18"/>
  <c r="M30" i="37"/>
  <c r="M30" i="18"/>
  <c r="M116" i="37"/>
  <c r="M77" i="18"/>
  <c r="M120" i="37"/>
  <c r="M120" i="18"/>
  <c r="J114" i="4"/>
  <c r="M98" i="37"/>
  <c r="M97" i="29"/>
  <c r="M77" i="37"/>
  <c r="M24" i="13"/>
  <c r="M24" i="24"/>
  <c r="M24" i="33"/>
  <c r="M24" i="29"/>
  <c r="M88" i="13"/>
  <c r="M88" i="29"/>
  <c r="M88" i="23"/>
  <c r="M88" i="33"/>
  <c r="J28" i="4"/>
  <c r="M28" i="20"/>
  <c r="M28" i="25"/>
  <c r="M28" i="23"/>
  <c r="M28" i="51"/>
  <c r="M28" i="29"/>
  <c r="M28" i="16"/>
  <c r="M28" i="13"/>
  <c r="M121" i="23"/>
  <c r="M121" i="13"/>
  <c r="M121" i="29"/>
  <c r="M121" i="33"/>
  <c r="M121" i="35"/>
  <c r="M125" i="23"/>
  <c r="M125" i="13"/>
  <c r="M125" i="29"/>
  <c r="M125" i="33"/>
  <c r="M125" i="35"/>
  <c r="M124" i="13"/>
  <c r="M114" i="33"/>
  <c r="M31" i="23"/>
  <c r="M31" i="13"/>
  <c r="M31" i="24"/>
  <c r="M31" i="35"/>
  <c r="M31" i="29"/>
  <c r="M31" i="33"/>
  <c r="M78" i="23"/>
  <c r="M78" i="13"/>
  <c r="M78" i="29"/>
  <c r="M78" i="33"/>
  <c r="M113" i="23"/>
  <c r="M113" i="13"/>
  <c r="M113" i="29"/>
  <c r="M113" i="33"/>
  <c r="M113" i="35"/>
  <c r="J116" i="4"/>
  <c r="M116" i="13"/>
  <c r="M116" i="23"/>
  <c r="M116" i="33"/>
  <c r="M117" i="23"/>
  <c r="M117" i="13"/>
  <c r="M117" i="29"/>
  <c r="M117" i="33"/>
  <c r="M117" i="35"/>
  <c r="M23" i="20"/>
  <c r="M23" i="13"/>
  <c r="M23" i="35"/>
  <c r="M23" i="29"/>
  <c r="M23" i="33"/>
  <c r="M32" i="13"/>
  <c r="M32" i="33"/>
  <c r="M32" i="23"/>
  <c r="M32" i="29"/>
  <c r="M79" i="13"/>
  <c r="M79" i="23"/>
  <c r="M79" i="33"/>
  <c r="M79" i="29"/>
  <c r="M8" i="20"/>
  <c r="M8" i="13"/>
  <c r="M8" i="22"/>
  <c r="M8" i="24"/>
  <c r="M8" i="51"/>
  <c r="M8" i="25"/>
  <c r="M8" i="41"/>
  <c r="M8" i="29"/>
  <c r="M8" i="33"/>
  <c r="M8" i="19"/>
  <c r="M8" i="16"/>
  <c r="M30" i="20"/>
  <c r="M30" i="13"/>
  <c r="M30" i="23"/>
  <c r="M30" i="33"/>
  <c r="M30" i="29"/>
  <c r="M30" i="35"/>
  <c r="M99" i="23"/>
  <c r="M99" i="29"/>
  <c r="M99" i="13"/>
  <c r="M99" i="33"/>
  <c r="M110" i="33"/>
  <c r="M120" i="13"/>
  <c r="M120" i="23"/>
  <c r="M120" i="29"/>
  <c r="M120" i="33"/>
  <c r="M100" i="13"/>
  <c r="M100" i="29"/>
  <c r="M100" i="33"/>
  <c r="M100" i="23"/>
  <c r="M122" i="33"/>
  <c r="M108" i="13"/>
  <c r="M108" i="23"/>
  <c r="M108" i="33"/>
  <c r="M108" i="29"/>
  <c r="M9" i="19"/>
  <c r="M9" i="25"/>
  <c r="M9" i="20"/>
  <c r="M9" i="22"/>
  <c r="M9" i="51"/>
  <c r="M9" i="13"/>
  <c r="M9" i="16"/>
  <c r="M9" i="29"/>
  <c r="M9" i="24"/>
  <c r="M9" i="41"/>
  <c r="M9" i="33"/>
  <c r="M86" i="23"/>
  <c r="M86" i="35"/>
  <c r="M86" i="29"/>
  <c r="M86" i="13"/>
  <c r="M86" i="33"/>
  <c r="J107" i="4"/>
  <c r="M107" i="23"/>
  <c r="M107" i="13"/>
  <c r="M107" i="35"/>
  <c r="M107" i="29"/>
  <c r="M107" i="33"/>
  <c r="M98" i="13"/>
  <c r="M98" i="23"/>
  <c r="M98" i="29"/>
  <c r="M98" i="33"/>
  <c r="M77" i="13"/>
  <c r="M77" i="23"/>
  <c r="M77" i="29"/>
  <c r="M77" i="33"/>
  <c r="M67" i="13"/>
  <c r="M67" i="23"/>
  <c r="M67" i="29"/>
  <c r="M67" i="33"/>
  <c r="M109" i="13"/>
  <c r="M109" i="23"/>
  <c r="M109" i="29"/>
  <c r="M109" i="35"/>
  <c r="M109" i="33"/>
  <c r="M112" i="13"/>
  <c r="M112" i="23"/>
  <c r="M112" i="33"/>
  <c r="J108" i="4"/>
  <c r="M42" i="8"/>
  <c r="D42" i="9"/>
  <c r="H67" i="9"/>
  <c r="B69" i="9"/>
  <c r="M43" i="8"/>
  <c r="D43" i="9"/>
  <c r="M39" i="8"/>
  <c r="C56" i="9"/>
  <c r="H53" i="9"/>
  <c r="N45" i="8"/>
  <c r="B73" i="9"/>
  <c r="D31" i="9"/>
  <c r="D16" i="9"/>
  <c r="B57" i="9"/>
  <c r="D24" i="9"/>
  <c r="B65" i="9"/>
  <c r="M37" i="8"/>
  <c r="B46" i="9"/>
  <c r="D37" i="9"/>
  <c r="I25" i="9"/>
  <c r="H57" i="9"/>
  <c r="C51" i="9"/>
  <c r="B72" i="9"/>
  <c r="D30" i="9"/>
  <c r="M86" i="8"/>
  <c r="I22" i="9"/>
  <c r="N42" i="8"/>
  <c r="C53" i="9"/>
  <c r="C65" i="9"/>
  <c r="B63" i="9"/>
  <c r="D22" i="9"/>
  <c r="H58" i="9"/>
  <c r="N41" i="8"/>
  <c r="N40" i="8"/>
  <c r="C71" i="9"/>
  <c r="H56" i="9"/>
  <c r="N44" i="8"/>
  <c r="M45" i="8"/>
  <c r="D45" i="9"/>
  <c r="B71" i="9"/>
  <c r="I33" i="9"/>
  <c r="C52" i="9"/>
  <c r="M85" i="8"/>
  <c r="I38" i="9"/>
  <c r="H61" i="9"/>
  <c r="D44" i="9"/>
  <c r="M44" i="8"/>
  <c r="H65" i="9"/>
  <c r="I23" i="9"/>
  <c r="D15" i="9"/>
  <c r="B56" i="9"/>
  <c r="N86" i="8"/>
  <c r="B67" i="9"/>
  <c r="D26" i="9"/>
  <c r="C63" i="9"/>
  <c r="D33" i="9"/>
  <c r="D11" i="9"/>
  <c r="B52" i="9"/>
  <c r="M87" i="8"/>
  <c r="I40" i="9"/>
  <c r="H60" i="9"/>
  <c r="I28" i="9"/>
  <c r="H70" i="9"/>
  <c r="H71" i="9"/>
  <c r="N92" i="8"/>
  <c r="B51" i="9"/>
  <c r="D10" i="9"/>
  <c r="N43" i="8"/>
  <c r="C69" i="9"/>
  <c r="H66" i="9"/>
  <c r="N87" i="8"/>
  <c r="H52" i="9"/>
  <c r="C58" i="9"/>
  <c r="I42" i="9"/>
  <c r="M89" i="8"/>
  <c r="B60" i="9"/>
  <c r="D19" i="9"/>
  <c r="N89" i="8"/>
  <c r="C73" i="9"/>
  <c r="I43" i="9"/>
  <c r="M90" i="8"/>
  <c r="C70" i="9"/>
  <c r="D23" i="9"/>
  <c r="B64" i="9"/>
  <c r="C59" i="9"/>
  <c r="N91" i="8"/>
  <c r="C46" i="9"/>
  <c r="N37" i="8"/>
  <c r="M41" i="8"/>
  <c r="D41" i="9"/>
  <c r="I26" i="9"/>
  <c r="N39" i="8"/>
  <c r="B66" i="9"/>
  <c r="D25" i="9"/>
  <c r="D38" i="9"/>
  <c r="M38" i="8"/>
  <c r="N88" i="8"/>
  <c r="D29" i="9"/>
  <c r="H46" i="9"/>
  <c r="N84" i="8"/>
  <c r="C67" i="9"/>
  <c r="N38" i="8"/>
  <c r="B59" i="9"/>
  <c r="D18" i="9"/>
  <c r="C64" i="9"/>
  <c r="N85" i="8"/>
  <c r="C62" i="9"/>
  <c r="C72" i="9"/>
  <c r="I41" i="9"/>
  <c r="M88" i="8"/>
  <c r="D12" i="9"/>
  <c r="B53" i="9"/>
  <c r="C57" i="9"/>
  <c r="I37" i="9"/>
  <c r="G46" i="9"/>
  <c r="F27" i="10" s="1"/>
  <c r="M84" i="8"/>
  <c r="C60" i="9"/>
  <c r="H69" i="9"/>
  <c r="N90" i="8"/>
  <c r="D28" i="9"/>
  <c r="B70" i="9"/>
  <c r="H59" i="9"/>
  <c r="M91" i="8"/>
  <c r="I44" i="9"/>
  <c r="H64" i="9"/>
  <c r="D20" i="9"/>
  <c r="B61" i="9"/>
  <c r="H72" i="9"/>
  <c r="C61" i="9"/>
  <c r="M92" i="8"/>
  <c r="I45" i="9"/>
  <c r="M40" i="8"/>
  <c r="D40" i="9"/>
  <c r="D27" i="9"/>
  <c r="B58" i="9"/>
  <c r="D17" i="9"/>
  <c r="D21" i="9"/>
  <c r="B62" i="9"/>
  <c r="H62" i="9"/>
  <c r="I15" i="9"/>
  <c r="I29" i="9"/>
  <c r="I18" i="9"/>
  <c r="C66" i="9"/>
  <c r="I19" i="9"/>
  <c r="J109" i="4"/>
  <c r="J117" i="4"/>
  <c r="J125" i="4"/>
  <c r="J124" i="4"/>
  <c r="J120" i="4"/>
  <c r="J8" i="4"/>
  <c r="J112" i="4"/>
  <c r="J78" i="4"/>
  <c r="J9" i="4"/>
  <c r="J67" i="4"/>
  <c r="J86" i="4"/>
  <c r="J113" i="4"/>
  <c r="J88" i="4"/>
  <c r="J99" i="4"/>
  <c r="J100" i="4"/>
  <c r="J121" i="4"/>
  <c r="J77" i="4"/>
  <c r="J79" i="4"/>
  <c r="J98" i="4"/>
  <c r="K21" i="10"/>
  <c r="H75" i="4"/>
  <c r="H25" i="10"/>
  <c r="G55" i="10"/>
  <c r="H136" i="4"/>
  <c r="H96" i="4"/>
  <c r="K42" i="10"/>
  <c r="G53" i="10"/>
  <c r="H29" i="4"/>
  <c r="H89" i="4"/>
  <c r="K12" i="10"/>
  <c r="K14" i="10"/>
  <c r="K23" i="10"/>
  <c r="H87" i="4"/>
  <c r="H44" i="10"/>
  <c r="H111" i="4"/>
  <c r="K44" i="10"/>
  <c r="K24" i="10"/>
  <c r="G46" i="10"/>
  <c r="H43" i="10"/>
  <c r="H31" i="4"/>
  <c r="J31" i="4" s="1"/>
  <c r="H32" i="4"/>
  <c r="J32" i="4" s="1"/>
  <c r="J10" i="10"/>
  <c r="D10" i="10"/>
  <c r="J24" i="10"/>
  <c r="D24" i="10"/>
  <c r="I25" i="4"/>
  <c r="B60" i="10"/>
  <c r="D38" i="10"/>
  <c r="J38" i="10"/>
  <c r="I37" i="4"/>
  <c r="F55" i="10"/>
  <c r="H33" i="10"/>
  <c r="D23" i="10"/>
  <c r="J23" i="10"/>
  <c r="H34" i="4"/>
  <c r="H134" i="4"/>
  <c r="J14" i="10"/>
  <c r="D14" i="10"/>
  <c r="I87"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5" i="4"/>
  <c r="I137" i="4"/>
  <c r="D22" i="10"/>
  <c r="J22" i="10"/>
  <c r="G54" i="10"/>
  <c r="J31" i="10"/>
  <c r="B53" i="10"/>
  <c r="D31" i="10"/>
  <c r="J15" i="10"/>
  <c r="D15" i="10"/>
  <c r="I96" i="4"/>
  <c r="H20" i="10"/>
  <c r="K22" i="10"/>
  <c r="K10" i="10"/>
  <c r="D44" i="10"/>
  <c r="J44" i="10"/>
  <c r="I111" i="4"/>
  <c r="C55" i="10"/>
  <c r="K33" i="10"/>
  <c r="J13" i="10"/>
  <c r="D13" i="10"/>
  <c r="K13" i="10"/>
  <c r="H35" i="4"/>
  <c r="C56" i="10"/>
  <c r="K56" i="10" s="1"/>
  <c r="K34" i="10"/>
  <c r="I119" i="4"/>
  <c r="F35" i="10"/>
  <c r="F52" i="10"/>
  <c r="H30" i="10"/>
  <c r="I135" i="4"/>
  <c r="I29" i="4"/>
  <c r="H31" i="10"/>
  <c r="F53" i="10"/>
  <c r="I89" i="4"/>
  <c r="J32" i="10"/>
  <c r="D32" i="10"/>
  <c r="B54" i="10"/>
  <c r="I66" i="4"/>
  <c r="J20" i="10"/>
  <c r="D20" i="10"/>
  <c r="B56" i="10"/>
  <c r="D34" i="10"/>
  <c r="J34" i="10"/>
  <c r="H66" i="4"/>
  <c r="H32" i="10"/>
  <c r="F54" i="10"/>
  <c r="I22" i="4"/>
  <c r="K41" i="10"/>
  <c r="C46" i="10"/>
  <c r="H119" i="4"/>
  <c r="H137" i="4"/>
  <c r="I136" i="4"/>
  <c r="H68" i="4"/>
  <c r="I68" i="4"/>
  <c r="I38" i="4"/>
  <c r="K43" i="10"/>
  <c r="I10" i="4"/>
  <c r="H135" i="4"/>
  <c r="H12" i="4"/>
  <c r="J26" i="10"/>
  <c r="L26" i="10" s="1"/>
  <c r="D26" i="10"/>
  <c r="I34" i="4"/>
  <c r="H9" i="10"/>
  <c r="J9" i="10"/>
  <c r="L9" i="10" s="1"/>
  <c r="J49" i="10"/>
  <c r="L49" i="10" s="1"/>
  <c r="D49" i="10"/>
  <c r="D21" i="10"/>
  <c r="J21" i="10"/>
  <c r="I39" i="4"/>
  <c r="J39" i="4" s="1"/>
  <c r="I27" i="4"/>
  <c r="I36" i="4"/>
  <c r="B35" i="10"/>
  <c r="J30" i="10"/>
  <c r="B52" i="10"/>
  <c r="D30" i="10"/>
  <c r="I7" i="4"/>
  <c r="K60" i="10"/>
  <c r="K38" i="10"/>
  <c r="H13" i="10"/>
  <c r="G35" i="10"/>
  <c r="G52" i="10"/>
  <c r="I35" i="4"/>
  <c r="D12" i="10"/>
  <c r="J12" i="10"/>
  <c r="I12" i="4"/>
  <c r="D43" i="10"/>
  <c r="J43" i="10"/>
  <c r="I134" i="4"/>
  <c r="I11" i="4"/>
  <c r="K20" i="10"/>
  <c r="D25" i="10"/>
  <c r="J25" i="10"/>
  <c r="D41" i="10"/>
  <c r="J41" i="10"/>
  <c r="B46" i="10"/>
  <c r="K31" i="10"/>
  <c r="C53" i="10"/>
  <c r="L41" i="9"/>
  <c r="H76" i="9" l="1"/>
  <c r="B76" i="9"/>
  <c r="M10" i="79"/>
  <c r="M7" i="79"/>
  <c r="J74" i="9"/>
  <c r="B17" i="10"/>
  <c r="N37" i="9"/>
  <c r="N19" i="9"/>
  <c r="M29" i="9"/>
  <c r="M38" i="9"/>
  <c r="L17" i="9"/>
  <c r="J50" i="9" l="1"/>
  <c r="J54" i="9"/>
  <c r="M7" i="72"/>
  <c r="M7" i="74"/>
  <c r="J41" i="9"/>
  <c r="E37" i="9"/>
  <c r="M40" i="9"/>
  <c r="O23" i="9"/>
  <c r="O39" i="9"/>
  <c r="N38" i="9"/>
  <c r="L12" i="9"/>
  <c r="M22" i="9"/>
  <c r="N30" i="9"/>
  <c r="N45" i="9"/>
  <c r="N12" i="9"/>
  <c r="L14" i="9"/>
  <c r="O45" i="9"/>
  <c r="O16" i="9"/>
  <c r="M37" i="9"/>
  <c r="O21" i="9"/>
  <c r="O43" i="9"/>
  <c r="L10" i="9"/>
  <c r="N17" i="9"/>
  <c r="M10" i="9"/>
  <c r="L33" i="9"/>
  <c r="O27" i="9"/>
  <c r="M21" i="9"/>
  <c r="O44" i="9"/>
  <c r="N29" i="9"/>
  <c r="L11" i="9"/>
  <c r="N20" i="9"/>
  <c r="N27" i="9"/>
  <c r="O17" i="9"/>
  <c r="N40" i="9"/>
  <c r="O18" i="9"/>
  <c r="N16" i="9"/>
  <c r="O24" i="9"/>
  <c r="O22" i="9"/>
  <c r="N43" i="9"/>
  <c r="N42" i="9"/>
  <c r="O37" i="9"/>
  <c r="N41" i="9"/>
  <c r="M24" i="9"/>
  <c r="O30" i="9"/>
  <c r="N23" i="9"/>
  <c r="O42" i="9"/>
  <c r="N32" i="9"/>
  <c r="N14" i="9"/>
  <c r="L39" i="9"/>
  <c r="O29" i="9"/>
  <c r="M28" i="9"/>
  <c r="O10" i="9"/>
  <c r="L29" i="9"/>
  <c r="L40" i="9"/>
  <c r="M30" i="9"/>
  <c r="O38" i="9"/>
  <c r="N28" i="9"/>
  <c r="N31" i="9"/>
  <c r="M31" i="9"/>
  <c r="N22" i="9"/>
  <c r="M33" i="9"/>
  <c r="L20" i="9"/>
  <c r="L23" i="9"/>
  <c r="N18" i="9"/>
  <c r="L25" i="9"/>
  <c r="M41" i="9"/>
  <c r="O28" i="9"/>
  <c r="L24" i="9"/>
  <c r="L42" i="9"/>
  <c r="M27" i="9"/>
  <c r="N44" i="9"/>
  <c r="L43" i="9"/>
  <c r="L38" i="9"/>
  <c r="M43" i="9"/>
  <c r="L27" i="9"/>
  <c r="O11" i="9"/>
  <c r="M11" i="9"/>
  <c r="M14" i="9"/>
  <c r="O32" i="9"/>
  <c r="M20" i="9"/>
  <c r="M25" i="9"/>
  <c r="L44" i="9"/>
  <c r="L26" i="9"/>
  <c r="L16" i="9"/>
  <c r="N24" i="9"/>
  <c r="O33" i="9"/>
  <c r="L45" i="9"/>
  <c r="M44" i="9"/>
  <c r="N10" i="9"/>
  <c r="N26" i="9"/>
  <c r="N25" i="9"/>
  <c r="M45" i="9"/>
  <c r="M18" i="9"/>
  <c r="O12" i="9"/>
  <c r="L31" i="9"/>
  <c r="M17" i="9"/>
  <c r="N33" i="9"/>
  <c r="M32" i="9"/>
  <c r="M23" i="9"/>
  <c r="L21" i="9"/>
  <c r="M26" i="9"/>
  <c r="O26" i="9"/>
  <c r="L30" i="9"/>
  <c r="O41" i="9"/>
  <c r="M19" i="9"/>
  <c r="O31" i="9"/>
  <c r="O19" i="9"/>
  <c r="M16" i="9"/>
  <c r="O14" i="9"/>
  <c r="L18" i="9"/>
  <c r="L22" i="9"/>
  <c r="M12" i="9"/>
  <c r="L37" i="9"/>
  <c r="O20" i="9"/>
  <c r="M42" i="9"/>
  <c r="M39" i="9"/>
  <c r="L28" i="9"/>
  <c r="O40" i="9"/>
  <c r="N11" i="9"/>
  <c r="O25" i="9"/>
  <c r="N39" i="9"/>
  <c r="J25" i="4" l="1"/>
  <c r="M33" i="35"/>
  <c r="M35" i="37"/>
  <c r="M35" i="18"/>
  <c r="M22" i="37"/>
  <c r="M22" i="18"/>
  <c r="M29" i="37"/>
  <c r="M29" i="18"/>
  <c r="M135" i="37"/>
  <c r="M37" i="37"/>
  <c r="M66" i="37"/>
  <c r="M66" i="18"/>
  <c r="M111" i="37"/>
  <c r="M111" i="18"/>
  <c r="M10" i="37"/>
  <c r="M10" i="18"/>
  <c r="M136" i="37"/>
  <c r="M75" i="37"/>
  <c r="M134" i="37"/>
  <c r="M36" i="37"/>
  <c r="M12" i="37"/>
  <c r="M12" i="18"/>
  <c r="M89" i="37"/>
  <c r="M89" i="18"/>
  <c r="M87" i="37"/>
  <c r="M87" i="18"/>
  <c r="M25" i="37"/>
  <c r="M25" i="18"/>
  <c r="M11" i="37"/>
  <c r="M11" i="18"/>
  <c r="M7" i="37"/>
  <c r="M7" i="18"/>
  <c r="M34" i="37"/>
  <c r="M34" i="18"/>
  <c r="M119" i="37"/>
  <c r="M119" i="18"/>
  <c r="M68" i="37"/>
  <c r="M68" i="18"/>
  <c r="M96" i="37"/>
  <c r="L24" i="10"/>
  <c r="L14" i="10"/>
  <c r="J75" i="4"/>
  <c r="J96" i="4"/>
  <c r="L15" i="10"/>
  <c r="L52" i="9"/>
  <c r="M46" i="9"/>
  <c r="M71" i="9"/>
  <c r="O70" i="9"/>
  <c r="L57" i="9"/>
  <c r="M52" i="9"/>
  <c r="M59" i="9"/>
  <c r="O59" i="9"/>
  <c r="N64" i="9"/>
  <c r="O73" i="9"/>
  <c r="O58" i="9"/>
  <c r="M64" i="9"/>
  <c r="N59" i="9"/>
  <c r="N56" i="9"/>
  <c r="O72" i="9"/>
  <c r="M70" i="9"/>
  <c r="L67" i="9"/>
  <c r="L61" i="9"/>
  <c r="L66" i="9"/>
  <c r="M75" i="9"/>
  <c r="L72" i="9"/>
  <c r="M50" i="9"/>
  <c r="M34" i="9"/>
  <c r="O57" i="9"/>
  <c r="L46" i="9"/>
  <c r="L56" i="9"/>
  <c r="O69" i="9"/>
  <c r="L51" i="9"/>
  <c r="N62" i="9"/>
  <c r="M73" i="9"/>
  <c r="N50" i="9"/>
  <c r="N34" i="9"/>
  <c r="M65" i="9"/>
  <c r="O46" i="9"/>
  <c r="N58" i="9"/>
  <c r="O52" i="9"/>
  <c r="O51" i="9"/>
  <c r="L64" i="9"/>
  <c r="M62" i="9"/>
  <c r="N69" i="9"/>
  <c r="N73" i="9"/>
  <c r="M66" i="9"/>
  <c r="O66" i="9"/>
  <c r="N71" i="9"/>
  <c r="O63" i="9"/>
  <c r="L65" i="9"/>
  <c r="L71" i="9"/>
  <c r="L60" i="9"/>
  <c r="N67" i="9"/>
  <c r="N57" i="9"/>
  <c r="L69" i="9"/>
  <c r="O64" i="9"/>
  <c r="O75" i="9"/>
  <c r="O71" i="9"/>
  <c r="L63" i="9"/>
  <c r="O67" i="9"/>
  <c r="N52" i="9"/>
  <c r="L75" i="9"/>
  <c r="N51" i="9"/>
  <c r="M72" i="9"/>
  <c r="N66" i="9"/>
  <c r="M57" i="9"/>
  <c r="M69" i="9"/>
  <c r="O50" i="9"/>
  <c r="O34" i="9"/>
  <c r="M61" i="9"/>
  <c r="M63" i="9"/>
  <c r="L62" i="9"/>
  <c r="M51" i="9"/>
  <c r="N72" i="9"/>
  <c r="O62" i="9"/>
  <c r="N53" i="9"/>
  <c r="O60" i="9"/>
  <c r="M60" i="9"/>
  <c r="L70" i="9"/>
  <c r="M56" i="9"/>
  <c r="M58" i="9"/>
  <c r="N46" i="9"/>
  <c r="N65" i="9"/>
  <c r="N60" i="9"/>
  <c r="M53" i="9"/>
  <c r="N75" i="9"/>
  <c r="N63" i="9"/>
  <c r="L34" i="9"/>
  <c r="L50" i="9"/>
  <c r="M67" i="9"/>
  <c r="L58" i="9"/>
  <c r="O61" i="9"/>
  <c r="O56" i="9"/>
  <c r="O53" i="9"/>
  <c r="N70" i="9"/>
  <c r="O65" i="9"/>
  <c r="L53" i="9"/>
  <c r="L42" i="10"/>
  <c r="J11" i="4"/>
  <c r="M11" i="13"/>
  <c r="M11" i="33"/>
  <c r="M11" i="23"/>
  <c r="M11" i="29"/>
  <c r="M11" i="35"/>
  <c r="J10" i="4"/>
  <c r="M10" i="20"/>
  <c r="M10" i="23"/>
  <c r="M10" i="13"/>
  <c r="M10" i="24"/>
  <c r="M10" i="35"/>
  <c r="M10" i="51"/>
  <c r="M10" i="16"/>
  <c r="M10" i="29"/>
  <c r="M10" i="33"/>
  <c r="M68" i="13"/>
  <c r="M68" i="23"/>
  <c r="M68" i="29"/>
  <c r="M68" i="35"/>
  <c r="M68" i="33"/>
  <c r="M136" i="26"/>
  <c r="M119" i="23"/>
  <c r="M119" i="13"/>
  <c r="M119" i="35"/>
  <c r="M119" i="29"/>
  <c r="M119" i="33"/>
  <c r="M111" i="23"/>
  <c r="M111" i="35"/>
  <c r="M111" i="29"/>
  <c r="M111" i="13"/>
  <c r="M111" i="33"/>
  <c r="J7" i="4"/>
  <c r="M7" i="19"/>
  <c r="M7" i="13"/>
  <c r="M7" i="23"/>
  <c r="M7" i="22"/>
  <c r="M7" i="25"/>
  <c r="M7" i="20"/>
  <c r="M7" i="24"/>
  <c r="M7" i="29"/>
  <c r="M7" i="41"/>
  <c r="M7" i="16"/>
  <c r="M7" i="51"/>
  <c r="M7" i="35"/>
  <c r="M7" i="33"/>
  <c r="J22" i="4"/>
  <c r="M22" i="20"/>
  <c r="M22" i="13"/>
  <c r="M22" i="24"/>
  <c r="M22" i="51"/>
  <c r="M22" i="23"/>
  <c r="M22" i="29"/>
  <c r="M22" i="35"/>
  <c r="M22" i="33"/>
  <c r="M22" i="16"/>
  <c r="M29" i="23"/>
  <c r="M29" i="13"/>
  <c r="M29" i="29"/>
  <c r="M29" i="51"/>
  <c r="M29" i="35"/>
  <c r="M29" i="24"/>
  <c r="M29" i="16"/>
  <c r="M29" i="20"/>
  <c r="M29" i="33"/>
  <c r="M137" i="26"/>
  <c r="M87" i="13"/>
  <c r="M87" i="23"/>
  <c r="M87" i="33"/>
  <c r="M87" i="29"/>
  <c r="M87" i="35"/>
  <c r="J10" i="9"/>
  <c r="J34" i="9" s="1"/>
  <c r="M35" i="13"/>
  <c r="M35" i="23"/>
  <c r="M35" i="29"/>
  <c r="M35" i="35"/>
  <c r="M35" i="33"/>
  <c r="M39" i="13"/>
  <c r="M34" i="13"/>
  <c r="M34" i="23"/>
  <c r="M34" i="29"/>
  <c r="M34" i="35"/>
  <c r="M34" i="33"/>
  <c r="M66" i="13"/>
  <c r="M66" i="35"/>
  <c r="M66" i="33"/>
  <c r="M66" i="23"/>
  <c r="M66" i="29"/>
  <c r="M89" i="13"/>
  <c r="M89" i="23"/>
  <c r="M89" i="29"/>
  <c r="M89" i="35"/>
  <c r="M89" i="33"/>
  <c r="M96" i="33"/>
  <c r="M75" i="33"/>
  <c r="J37" i="4"/>
  <c r="M37" i="13"/>
  <c r="I71" i="9"/>
  <c r="M134" i="26"/>
  <c r="M134" i="34"/>
  <c r="M12" i="13"/>
  <c r="M12" i="23"/>
  <c r="M12" i="29"/>
  <c r="M12" i="35"/>
  <c r="M12" i="33"/>
  <c r="J36" i="4"/>
  <c r="M36" i="13"/>
  <c r="L21" i="10"/>
  <c r="H53" i="10"/>
  <c r="M135" i="26"/>
  <c r="M135" i="34"/>
  <c r="M25" i="13"/>
  <c r="M25" i="29"/>
  <c r="M25" i="33"/>
  <c r="L31" i="10"/>
  <c r="L22" i="10"/>
  <c r="L12" i="10"/>
  <c r="L10" i="10"/>
  <c r="I69" i="9"/>
  <c r="I66" i="9"/>
  <c r="I75" i="9"/>
  <c r="I59" i="9"/>
  <c r="I56" i="9"/>
  <c r="I34" i="9"/>
  <c r="I51" i="9"/>
  <c r="D69" i="9"/>
  <c r="D46" i="9"/>
  <c r="D51" i="9"/>
  <c r="G17" i="10"/>
  <c r="E40" i="9"/>
  <c r="E43" i="9"/>
  <c r="E38" i="9"/>
  <c r="E39" i="9"/>
  <c r="E45" i="9"/>
  <c r="E44" i="9"/>
  <c r="E42" i="9"/>
  <c r="F17" i="10"/>
  <c r="J17" i="10" s="1"/>
  <c r="E41" i="9"/>
  <c r="B27" i="10"/>
  <c r="J27" i="10" s="1"/>
  <c r="J37" i="9"/>
  <c r="J42" i="9"/>
  <c r="G27" i="10"/>
  <c r="H27" i="10" s="1"/>
  <c r="J55" i="9"/>
  <c r="C27" i="10"/>
  <c r="J43" i="9"/>
  <c r="J44" i="9"/>
  <c r="J38" i="9"/>
  <c r="J39" i="9"/>
  <c r="I46" i="9"/>
  <c r="J40" i="9"/>
  <c r="J45" i="9"/>
  <c r="J119" i="4"/>
  <c r="J137" i="4"/>
  <c r="J135" i="4"/>
  <c r="J111" i="4"/>
  <c r="J12" i="4"/>
  <c r="J66" i="4"/>
  <c r="J35" i="4"/>
  <c r="J134" i="4"/>
  <c r="J34" i="4"/>
  <c r="J136" i="4"/>
  <c r="J68" i="4"/>
  <c r="J89" i="4"/>
  <c r="J87" i="4"/>
  <c r="J29" i="4"/>
  <c r="K53" i="10"/>
  <c r="K55" i="10"/>
  <c r="L44" i="10"/>
  <c r="L23" i="10"/>
  <c r="H55" i="10"/>
  <c r="L30" i="10"/>
  <c r="G57" i="10"/>
  <c r="L32" i="10"/>
  <c r="H54" i="10"/>
  <c r="L3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L19" i="9"/>
  <c r="L32" i="9"/>
  <c r="N21" i="9"/>
  <c r="N61" i="9" l="1"/>
  <c r="L59" i="9"/>
  <c r="L73" i="9"/>
  <c r="J73" i="9"/>
  <c r="J68" i="9"/>
  <c r="L55" i="10"/>
  <c r="M76" i="9"/>
  <c r="O76" i="9"/>
  <c r="L76" i="9"/>
  <c r="N76" i="9"/>
  <c r="L53" i="10"/>
  <c r="J46" i="9"/>
  <c r="I76" i="9"/>
  <c r="E46" i="9"/>
  <c r="H17" i="10"/>
  <c r="J59" i="9"/>
  <c r="J58" i="9"/>
  <c r="D27" i="10"/>
  <c r="K27" i="10"/>
  <c r="L27" i="10" s="1"/>
  <c r="J69" i="9"/>
  <c r="J62" i="9"/>
  <c r="J53" i="9"/>
  <c r="J63" i="9"/>
  <c r="I63" i="9" s="1"/>
  <c r="J65" i="9"/>
  <c r="J52" i="9"/>
  <c r="I52" i="9" s="1"/>
  <c r="J60" i="9"/>
  <c r="I60" i="9" s="1"/>
  <c r="J66" i="9"/>
  <c r="J61" i="9"/>
  <c r="J67" i="9"/>
  <c r="I67" i="9" s="1"/>
  <c r="J56" i="9"/>
  <c r="J75" i="9"/>
  <c r="J72" i="9"/>
  <c r="J51" i="9"/>
  <c r="J64" i="9"/>
  <c r="I64" i="9" s="1"/>
  <c r="J57" i="9"/>
  <c r="J70" i="9"/>
  <c r="I70" i="9" s="1"/>
  <c r="J71" i="9"/>
  <c r="K57" i="10"/>
  <c r="H57" i="10"/>
  <c r="L46" i="10"/>
  <c r="L35" i="10"/>
  <c r="L54" i="10"/>
  <c r="J57" i="10"/>
  <c r="D57" i="10"/>
  <c r="L52" i="10"/>
  <c r="J76" i="9" l="1"/>
  <c r="L57" i="10"/>
  <c r="D32" i="9" l="1"/>
  <c r="N31" i="8" l="1"/>
  <c r="C74" i="9"/>
  <c r="D74" i="9" l="1"/>
  <c r="C76" i="9"/>
  <c r="E9" i="9"/>
  <c r="E13" i="9"/>
  <c r="E27" i="9"/>
  <c r="D34" i="9"/>
  <c r="E25" i="9"/>
  <c r="E19" i="9"/>
  <c r="E15" i="9"/>
  <c r="E33" i="9"/>
  <c r="E23" i="9"/>
  <c r="E30" i="9"/>
  <c r="E16" i="9"/>
  <c r="E11" i="9"/>
  <c r="E10" i="9"/>
  <c r="E26" i="9"/>
  <c r="E14" i="9"/>
  <c r="C17" i="10"/>
  <c r="K17" i="10" s="1"/>
  <c r="L17" i="10" s="1"/>
  <c r="E28" i="9"/>
  <c r="E32" i="9"/>
  <c r="E20" i="9"/>
  <c r="E24" i="9"/>
  <c r="E18" i="9"/>
  <c r="E12" i="9"/>
  <c r="E29" i="9"/>
  <c r="E31" i="9"/>
  <c r="E17" i="9"/>
  <c r="E21" i="9"/>
  <c r="E22" i="9"/>
  <c r="E74" i="9"/>
  <c r="E34" i="9" l="1"/>
  <c r="E54" i="9"/>
  <c r="D76" i="9"/>
  <c r="E50" i="9"/>
  <c r="D17" i="10"/>
  <c r="E55" i="9"/>
  <c r="E65" i="9"/>
  <c r="D65" i="9" s="1"/>
  <c r="E75" i="9"/>
  <c r="D75" i="9" s="1"/>
  <c r="E60" i="9"/>
  <c r="D60" i="9" s="1"/>
  <c r="E67" i="9"/>
  <c r="D67" i="9" s="1"/>
  <c r="E70" i="9"/>
  <c r="D70" i="9" s="1"/>
  <c r="E58" i="9"/>
  <c r="D58" i="9" s="1"/>
  <c r="E62" i="9"/>
  <c r="D62" i="9" s="1"/>
  <c r="E63" i="9"/>
  <c r="D63" i="9" s="1"/>
  <c r="E53" i="9"/>
  <c r="D53" i="9" s="1"/>
  <c r="E64" i="9"/>
  <c r="D64" i="9" s="1"/>
  <c r="E52" i="9"/>
  <c r="D52" i="9" s="1"/>
  <c r="E59" i="9"/>
  <c r="D59" i="9" s="1"/>
  <c r="E51" i="9"/>
  <c r="E71" i="9"/>
  <c r="D71" i="9" s="1"/>
  <c r="E68" i="9"/>
  <c r="E56" i="9"/>
  <c r="D56" i="9" s="1"/>
  <c r="E73" i="9"/>
  <c r="D73" i="9" s="1"/>
  <c r="E61" i="9"/>
  <c r="D61" i="9" s="1"/>
  <c r="E72" i="9"/>
  <c r="D72" i="9" s="1"/>
  <c r="E57" i="9"/>
  <c r="D57" i="9" s="1"/>
  <c r="E66" i="9"/>
  <c r="D66" i="9" s="1"/>
  <c r="E69" i="9"/>
  <c r="E76" i="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pørring - Data" description="Tilkobling til spørringen Data i arbeidsboken." type="5" refreshedVersion="7"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<sst xmlns="http://schemas.openxmlformats.org/spreadsheetml/2006/main" count="5387" uniqueCount="432">
  <si>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</si>
  <si>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</si>
  <si>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</si>
  <si>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</si>
  <si>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</si>
  <si>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</si>
  <si>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</si>
  <si>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</si>
  <si>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</si>
  <si>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</si>
  <si>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</si>
  <si>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</si>
  <si>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</si>
  <si>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</si>
  <si>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</si>
  <si>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</si>
  <si>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</si>
  <si>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</si>
  <si>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</si>
  <si>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</si>
  <si>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</si>
  <si>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</si>
  <si>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</si>
  <si>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</si>
  <si>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</si>
  <si>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</si>
  <si>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</si>
  <si>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</si>
  <si>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</si>
  <si>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</si>
  <si>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</si>
  <si>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</si>
  <si>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</si>
  <si>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</si>
  <si>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</si>
  <si>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</si>
  <si>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</si>
  <si>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</si>
  <si>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</si>
  <si>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</si>
  <si>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</si>
  <si>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</si>
  <si>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</si>
  <si>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</si>
  <si>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</si>
  <si>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</si>
  <si>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</si>
  <si>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</si>
  <si>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</si>
  <si>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</si>
  <si>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</si>
  <si>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</si>
  <si>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</si>
  <si>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</si>
  <si>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Danica Pensjon</t>
  </si>
  <si>
    <t>DNB Liv</t>
  </si>
  <si>
    <t>Eika Forsikring</t>
  </si>
  <si>
    <t>Frende Livsfors</t>
  </si>
  <si>
    <t>Frende Skade</t>
  </si>
  <si>
    <t>Gjensidige Fors</t>
  </si>
  <si>
    <t>Gjensidige Pensj</t>
  </si>
  <si>
    <t>Handelsb Liv</t>
  </si>
  <si>
    <t>If Skadefors</t>
  </si>
  <si>
    <t>KLP</t>
  </si>
  <si>
    <t>KLP Skadef</t>
  </si>
  <si>
    <t>Nordea Liv</t>
  </si>
  <si>
    <t>OPF</t>
  </si>
  <si>
    <t>SpareBank 1</t>
  </si>
  <si>
    <t xml:space="preserve">Storebrand </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</si>
  <si>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</si>
  <si>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</si>
  <si>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</si>
  <si>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</si>
  <si>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</si>
  <si>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</si>
  <si>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</si>
  <si>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</si>
  <si>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</si>
  <si>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</si>
  <si>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</si>
  <si>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</si>
  <si>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</si>
  <si>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</si>
  <si>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Danica Pensjonsforsikring</t>
  </si>
  <si>
    <t>DNB Livsforsikring</t>
  </si>
  <si>
    <t>Eika Forsikring AS</t>
  </si>
  <si>
    <t>Frende Livsforsikring</t>
  </si>
  <si>
    <t>Frende Skadeforsikring</t>
  </si>
  <si>
    <t>Gjensidige Forsikring</t>
  </si>
  <si>
    <t>Gjensidige Pensjon</t>
  </si>
  <si>
    <t>Handelsbanken Liv</t>
  </si>
  <si>
    <t>If Skadeforsikring NUF</t>
  </si>
  <si>
    <t>KLP Skadeforsikring AS</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</si>
  <si>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</si>
  <si>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</si>
  <si>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</si>
  <si>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</si>
  <si>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</si>
  <si>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</si>
  <si>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</si>
  <si>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</si>
  <si>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</si>
  <si>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</si>
  <si>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</si>
  <si>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</si>
  <si>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</si>
  <si>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</si>
  <si>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</si>
  <si>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</si>
  <si>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</si>
  <si>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</si>
  <si>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</si>
  <si>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</si>
  <si>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</si>
  <si>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</si>
  <si>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</si>
  <si>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</si>
  <si>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</si>
  <si>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</si>
  <si>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</si>
  <si>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</si>
  <si>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</si>
  <si>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</si>
  <si>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DNB Livsforsikring ASA</t>
  </si>
  <si>
    <t>Frende Livsforsikring AS</t>
  </si>
  <si>
    <t>Frende Skadeforsikring AS</t>
  </si>
  <si>
    <t>If Skadeforsikring nuf</t>
  </si>
  <si>
    <t>Livsforsikringsselskapet Nordea Liv Norge AS</t>
  </si>
  <si>
    <t>Telenor Forsikring AS</t>
  </si>
  <si>
    <t>SpareBank 1 Forsikring AS</t>
  </si>
  <si>
    <t>KLP Skadeforsikring</t>
  </si>
  <si>
    <t>Selskap</t>
  </si>
  <si>
    <t>Flytting fra andre</t>
  </si>
  <si>
    <t>Flytting til andre</t>
  </si>
  <si>
    <t>Q8</t>
  </si>
  <si>
    <t>Q9</t>
  </si>
  <si>
    <t>Q10</t>
  </si>
  <si>
    <t>Q14</t>
  </si>
  <si>
    <t>Q15</t>
  </si>
  <si>
    <t>Q16</t>
  </si>
  <si>
    <t>Q7</t>
  </si>
  <si>
    <t>R7</t>
  </si>
  <si>
    <t>R8</t>
  </si>
  <si>
    <t>R9</t>
  </si>
  <si>
    <t>R10</t>
  </si>
  <si>
    <t>R14</t>
  </si>
  <si>
    <t>R15</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</si>
  <si>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</si>
  <si>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</si>
  <si>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</si>
  <si>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</si>
  <si>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</si>
  <si>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</si>
  <si>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</si>
  <si>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</si>
  <si>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</si>
  <si>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</si>
  <si>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</si>
  <si>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</si>
  <si>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</si>
  <si>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</si>
  <si>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</si>
  <si>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</si>
  <si>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</si>
  <si>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</si>
  <si>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</si>
  <si>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</si>
  <si>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</si>
  <si>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</si>
  <si>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</si>
  <si>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</si>
  <si>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</si>
  <si>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</si>
  <si>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</si>
  <si>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</si>
  <si>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</si>
  <si>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</si>
  <si>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</si>
  <si>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</si>
  <si>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</si>
  <si>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</si>
  <si>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</si>
  <si>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</si>
  <si>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</si>
  <si>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</si>
  <si>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</si>
  <si>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</si>
  <si>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</si>
  <si>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</si>
  <si>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</si>
  <si>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</si>
  <si>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</si>
  <si>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</si>
  <si>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</si>
  <si>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</si>
  <si>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</si>
  <si>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</si>
  <si>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</si>
  <si>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</si>
  <si>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</si>
  <si>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</si>
  <si>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</si>
  <si>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</si>
  <si>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</si>
  <si>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</si>
  <si>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</si>
  <si>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</si>
  <si>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</si>
  <si>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</si>
  <si>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</si>
  <si>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</si>
  <si>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</si>
  <si>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</si>
  <si>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</si>
  <si>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</si>
  <si>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</si>
  <si>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</si>
  <si>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</si>
  <si>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</si>
  <si>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</si>
  <si>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</si>
  <si>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</si>
  <si>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</si>
  <si>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</si>
  <si>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</si>
  <si>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</si>
  <si>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</si>
  <si>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</si>
  <si>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</si>
  <si>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</si>
  <si>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</si>
  <si>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</si>
  <si>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</si>
  <si>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</si>
  <si>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</si>
  <si>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</si>
  <si>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</si>
  <si>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</si>
  <si>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</si>
  <si>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</si>
  <si>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</si>
  <si>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</si>
  <si>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</si>
  <si>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</si>
  <si>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</si>
  <si>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</si>
  <si>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</si>
  <si>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</si>
  <si>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</si>
  <si>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</si>
  <si>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</si>
  <si>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</si>
  <si>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</si>
  <si>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</si>
  <si>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</si>
  <si>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</si>
  <si>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</si>
  <si>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</si>
  <si>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</si>
  <si>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</si>
  <si>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</si>
  <si>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</si>
  <si>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</si>
  <si>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</si>
  <si>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</si>
  <si>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</si>
  <si>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</si>
  <si>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</si>
  <si>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</si>
  <si>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</si>
  <si>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</si>
  <si>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</si>
  <si>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</si>
  <si>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</si>
  <si>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</si>
  <si>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</si>
  <si>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</si>
  <si>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</si>
  <si>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</si>
  <si>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</si>
  <si>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</si>
  <si>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</si>
  <si>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</si>
  <si>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</si>
  <si>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</si>
  <si>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</si>
  <si>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</si>
  <si>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</si>
  <si>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</si>
  <si>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</si>
  <si>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</si>
  <si>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</si>
  <si>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</si>
  <si>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</si>
  <si>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</si>
  <si>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</si>
  <si>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</si>
  <si>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</si>
  <si>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</si>
  <si>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</si>
  <si>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</si>
  <si>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</si>
  <si>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</si>
  <si>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</si>
  <si>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</si>
  <si>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</si>
  <si>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</si>
  <si>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</si>
  <si>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</si>
  <si>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</si>
  <si>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</si>
  <si>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</si>
  <si>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</si>
  <si>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</si>
  <si>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</si>
  <si>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</si>
  <si>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</si>
  <si>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</si>
  <si>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</si>
  <si>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</si>
  <si>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</si>
  <si>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</si>
  <si>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</si>
  <si>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</si>
  <si>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</si>
  <si>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</si>
  <si>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</si>
  <si>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</si>
  <si>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</si>
  <si>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</si>
  <si>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</si>
  <si>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</si>
  <si>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</si>
  <si>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</si>
  <si>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</si>
  <si>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</si>
  <si>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</si>
  <si>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</si>
  <si>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</si>
  <si>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</si>
  <si>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</si>
  <si>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</si>
  <si>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</si>
  <si>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</si>
  <si>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</si>
  <si>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</si>
  <si>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</si>
  <si>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</si>
  <si>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</si>
  <si>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</si>
  <si>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</si>
  <si>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</si>
  <si>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</si>
  <si>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</si>
  <si>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</si>
  <si>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</si>
  <si>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 xml:space="preserve">    13.5 Andre tekniske avsetninger for skadeforsikringsvirksomheten</t>
  </si>
  <si>
    <t xml:space="preserve">    5.2 Overføring av premieres., tilleggsavsetn. til andre selskap/kasser</t>
  </si>
  <si>
    <t>Protector 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</si>
  <si>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</si>
  <si>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</si>
  <si>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</si>
  <si>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</si>
  <si>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</si>
  <si>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</si>
  <si>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</si>
  <si>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</si>
  <si>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</si>
  <si>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</si>
  <si>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</si>
  <si>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</si>
  <si>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</si>
  <si>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</si>
  <si>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</si>
  <si>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</si>
  <si>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</si>
  <si>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</si>
  <si>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</si>
  <si>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</si>
  <si>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</si>
  <si>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</si>
  <si>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Brutto forfalt premie </t>
    </r>
    <r>
      <rPr>
        <b/>
        <vertAlign val="superscript"/>
        <sz val="10"/>
        <rFont val="Times New Roman"/>
        <family val="1"/>
      </rPr>
      <t>1, 15</t>
    </r>
  </si>
  <si>
    <r>
      <t xml:space="preserve">Forsikringsforpliktelser </t>
    </r>
    <r>
      <rPr>
        <b/>
        <vertAlign val="superscript"/>
        <sz val="10"/>
        <rFont val="Times New Roman"/>
        <family val="1"/>
      </rPr>
      <t>4, 15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</si>
  <si>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</si>
  <si>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</si>
  <si>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  Herav fripoliser </t>
    </r>
    <r>
      <rPr>
        <vertAlign val="superscript"/>
        <sz val="10"/>
        <rFont val="Times New Roman"/>
        <family val="1"/>
      </rPr>
      <t>14</t>
    </r>
  </si>
  <si>
    <r>
      <t xml:space="preserve">Forsikringsforpliktelser </t>
    </r>
    <r>
      <rPr>
        <b/>
        <vertAlign val="superscript"/>
        <sz val="10"/>
        <rFont val="Times New Roman"/>
        <family val="1"/>
      </rPr>
      <t>5, 15</t>
    </r>
  </si>
  <si>
    <r>
      <t>Forsikringsforpliktelser</t>
    </r>
    <r>
      <rPr>
        <sz val="14"/>
        <rFont val="Times New Roman"/>
        <family val="1"/>
      </rPr>
      <t xml:space="preserve"> </t>
    </r>
    <r>
      <rPr>
        <vertAlign val="superscript"/>
        <sz val="14"/>
        <rFont val="Times New Roman"/>
        <family val="1"/>
      </rPr>
      <t>4)</t>
    </r>
  </si>
  <si>
    <t>Protector Fors</t>
  </si>
  <si>
    <t xml:space="preserve">    13.1 Premiereserve mv.</t>
  </si>
  <si>
    <t xml:space="preserve">    13.4 Premiefond, innskuddsfond og fond for regulering av pensjoner mv.</t>
  </si>
  <si>
    <t xml:space="preserve">    14.1 Premiekapital mv.</t>
  </si>
  <si>
    <t xml:space="preserve">    14.2 Tilleggsavsetninger</t>
  </si>
  <si>
    <t xml:space="preserve">    14.3 Premiefond, innskuddsfond og fond for regulering av pensjoner mv.</t>
  </si>
  <si>
    <t>Fremtind Livsforsikring</t>
  </si>
  <si>
    <t>WaterCircle Forsikring</t>
  </si>
  <si>
    <t>Fremtind</t>
  </si>
  <si>
    <t>Fremtind Livsfors</t>
  </si>
  <si>
    <t>Landkreditt Fors.</t>
  </si>
  <si>
    <t>Insr</t>
  </si>
  <si>
    <t>Fremtind Liv</t>
  </si>
  <si>
    <t>Avkastningstall (%)</t>
  </si>
  <si>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</si>
  <si>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</si>
  <si>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</si>
  <si>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Mer/mindre-verdier</t>
  </si>
  <si>
    <t>Landkreditt Forsikring</t>
  </si>
  <si>
    <t>WaterCircles Fors.</t>
  </si>
  <si>
    <t>WaterCicles Fors.</t>
  </si>
  <si>
    <t>WaterCircles Forsikring</t>
  </si>
  <si>
    <t>Landkreditt Fors</t>
  </si>
  <si>
    <t>Codan Forsikring</t>
  </si>
  <si>
    <t>Euro Accident</t>
  </si>
  <si>
    <t xml:space="preserve">   Innskuddsbasert (inkl. EPK)</t>
  </si>
  <si>
    <t>Figur 1  Brutto forfalt premie livprodukter  -  produkter uten investeringsvalg pr. 31.03.</t>
  </si>
  <si>
    <t>Figur 2  Brutto forfalt premie livprodukter  -  produkter med investeringsvalg pr. 31.03.</t>
  </si>
  <si>
    <t>Figur 3  Forsikringsforpliktelser i livsforsikring  -  produkter uten investeringsvalg pr. 31.03.</t>
  </si>
  <si>
    <t>Figur 4  Forsikringsforpliktelser i livsforsikring -  produkter med investeringsvalg pr. 31.03.</t>
  </si>
  <si>
    <t>Figur 5  Netto tilflytting livprodukter  -  produkter uten investeringsvalg pr. 31.03.</t>
  </si>
  <si>
    <t>Figur 6  Netto tilflytting livprodukter  -  produkter med investeringsvalg pr. 31.03.</t>
  </si>
  <si>
    <t>Forsikring</t>
  </si>
  <si>
    <t>SpareBank 1 Forsikring</t>
  </si>
  <si>
    <t>Youplus Livsforsikring</t>
  </si>
  <si>
    <t>Youplus</t>
  </si>
  <si>
    <t>Youplus Livsf</t>
  </si>
  <si>
    <t>31.03.</t>
  </si>
  <si>
    <t>Livsforsikring NUF</t>
  </si>
  <si>
    <t>Youplus Livsforsikring nuf</t>
  </si>
  <si>
    <t>Se "Noter og kommentarer"</t>
  </si>
  <si>
    <t>Postene Herav pensjonskapitalbevis omfatter pensjonskapitalbevis innenfor og utenfor Egen pensjonskonto. Med pensjonskapitalbevis innenfor Egen pensjonskonto menes passiv kapital. Se for øvrig note 14.</t>
  </si>
  <si>
    <r>
      <t xml:space="preserve">  Herav pensjonskapitalbevis innenfor og utenfor EPK</t>
    </r>
    <r>
      <rPr>
        <vertAlign val="superscript"/>
        <sz val="10"/>
        <rFont val="Times New Roman"/>
        <family val="1"/>
      </rPr>
      <t>14, 18</t>
    </r>
  </si>
  <si>
    <t>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</si>
</sst>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 numFmtId="172" formatCode="_ * #,##0.0_ ;_ * \-#,##0.0_ ;_ * &quot;&quot;??_ ;_ @_ "/>
    <numFmt numFmtId="173" formatCode="#,##0.000"/>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u/>
      <sz val="12"/>
      <name val="Times New Roman"/>
      <family val="1"/>
    </font>
    <font>
      <sz val="10"/>
      <color theme="0"/>
      <name val="Times New Roman"/>
      <family val="1"/>
    </font>
    <font>
      <b/>
      <sz val="10"/>
      <color rgb="FFFF000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rgb="FFFFFF00"/>
        <bgColor indexed="64"/>
      </patternFill>
    </fill>
    <fill>
      <patternFill patternType="solid">
        <fgColor indexed="9"/>
        <bgColor indexed="9"/>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51">
    <xf numFmtId="0" fontId="0" fillId="0" borderId="0"/>
    <xf numFmtId="0" fontId="20" fillId="0" borderId="0"/>
    <xf numFmtId="164" fontId="26" fillId="0" borderId="0" applyFont="0" applyFill="0" applyBorder="0" applyAlignment="0" applyProtection="0"/>
    <xf numFmtId="0" fontId="44" fillId="0" borderId="0" applyNumberFormat="0" applyFill="0" applyBorder="0" applyAlignment="0" applyProtection="0">
      <alignment vertical="top"/>
      <protection locked="0"/>
    </xf>
    <xf numFmtId="0" fontId="13" fillId="0" borderId="0"/>
    <xf numFmtId="0" fontId="20" fillId="0" borderId="0"/>
    <xf numFmtId="0" fontId="12" fillId="0" borderId="0"/>
    <xf numFmtId="0" fontId="20" fillId="0" borderId="0"/>
    <xf numFmtId="0" fontId="11" fillId="0" borderId="0"/>
    <xf numFmtId="0" fontId="20" fillId="0" borderId="0"/>
    <xf numFmtId="0" fontId="26" fillId="0" borderId="0"/>
    <xf numFmtId="0" fontId="11"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 fillId="0" borderId="0" applyFont="0" applyFill="0" applyBorder="0" applyAlignment="0" applyProtection="0"/>
    <xf numFmtId="164" fontId="20" fillId="0" borderId="0" applyFont="0" applyFill="0" applyBorder="0" applyAlignment="0" applyProtection="0"/>
    <xf numFmtId="0" fontId="11" fillId="0" borderId="0"/>
    <xf numFmtId="0" fontId="20" fillId="0" borderId="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5" borderId="16" applyNumberFormat="0" applyFont="0" applyAlignment="0" applyProtection="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164" fontId="26" fillId="0" borderId="0" applyFont="0" applyFill="0" applyBorder="0" applyAlignment="0" applyProtection="0"/>
    <xf numFmtId="0" fontId="11"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3" fillId="0" borderId="0" applyFont="0" applyFill="0" applyBorder="0" applyAlignment="0" applyProtection="0"/>
    <xf numFmtId="164" fontId="20" fillId="0" borderId="0" applyFont="0" applyFill="0" applyBorder="0" applyAlignment="0" applyProtection="0"/>
    <xf numFmtId="0" fontId="3" fillId="0" borderId="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2" fillId="7" borderId="0" applyNumberFormat="0" applyBorder="0" applyAlignment="0" applyProtection="0"/>
    <xf numFmtId="0" fontId="15" fillId="0" borderId="0"/>
    <xf numFmtId="171" fontId="16" fillId="0" borderId="7" applyFont="0" applyFill="0" applyBorder="0" applyAlignment="0" applyProtection="0">
      <alignment horizontal="right"/>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cellStyleXfs>
  <cellXfs count="764">
    <xf numFmtId="0" fontId="0" fillId="0" borderId="0" xfId="0"/>
    <xf numFmtId="0" fontId="18" fillId="0" borderId="0" xfId="1" applyFont="1"/>
    <xf numFmtId="0" fontId="24" fillId="0" borderId="0" xfId="1" applyFont="1"/>
    <xf numFmtId="0" fontId="18" fillId="0" borderId="0" xfId="1" applyFont="1" applyFill="1"/>
    <xf numFmtId="0" fontId="18" fillId="0" borderId="0" xfId="1" applyFont="1" applyBorder="1"/>
    <xf numFmtId="49" fontId="18" fillId="0" borderId="0" xfId="1" applyNumberFormat="1" applyFont="1" applyFill="1" applyBorder="1" applyAlignment="1">
      <alignment horizontal="center"/>
    </xf>
    <xf numFmtId="165" fontId="18" fillId="0" borderId="0" xfId="1" applyNumberFormat="1" applyFont="1" applyFill="1" applyBorder="1"/>
    <xf numFmtId="0" fontId="18" fillId="0" borderId="0" xfId="1" applyFont="1" applyFill="1" applyBorder="1"/>
    <xf numFmtId="0" fontId="18" fillId="0" borderId="0" xfId="1" applyFont="1" applyFill="1" applyAlignment="1">
      <alignment horizontal="left"/>
    </xf>
    <xf numFmtId="165" fontId="16" fillId="3" borderId="5" xfId="1" applyNumberFormat="1" applyFont="1" applyFill="1" applyBorder="1" applyAlignment="1">
      <alignment horizontal="right"/>
    </xf>
    <xf numFmtId="0" fontId="18" fillId="0" borderId="6" xfId="1" applyFont="1" applyBorder="1"/>
    <xf numFmtId="165" fontId="16" fillId="3" borderId="2" xfId="1" applyNumberFormat="1" applyFont="1" applyFill="1" applyBorder="1" applyAlignment="1">
      <alignment horizontal="right"/>
    </xf>
    <xf numFmtId="0" fontId="16" fillId="0" borderId="4" xfId="1" applyFont="1" applyBorder="1"/>
    <xf numFmtId="0" fontId="16" fillId="0" borderId="3" xfId="1" applyFont="1" applyBorder="1"/>
    <xf numFmtId="0" fontId="16" fillId="0" borderId="7" xfId="1" applyFont="1" applyBorder="1"/>
    <xf numFmtId="0" fontId="16" fillId="0" borderId="6" xfId="1" applyFont="1" applyBorder="1" applyAlignment="1">
      <alignment horizontal="center"/>
    </xf>
    <xf numFmtId="0" fontId="16" fillId="0" borderId="11" xfId="1" applyFont="1" applyBorder="1" applyAlignment="1">
      <alignment horizontal="center"/>
    </xf>
    <xf numFmtId="0" fontId="16" fillId="0" borderId="5" xfId="1" applyFont="1" applyBorder="1" applyAlignment="1">
      <alignment horizontal="center"/>
    </xf>
    <xf numFmtId="0" fontId="16" fillId="0" borderId="11" xfId="1" applyFont="1" applyBorder="1"/>
    <xf numFmtId="0" fontId="16" fillId="0" borderId="7" xfId="1" applyFont="1" applyBorder="1" applyAlignment="1">
      <alignment horizontal="center"/>
    </xf>
    <xf numFmtId="14" fontId="17" fillId="0" borderId="4" xfId="1" applyNumberFormat="1" applyFont="1" applyBorder="1" applyAlignment="1">
      <alignment horizontal="center"/>
    </xf>
    <xf numFmtId="0" fontId="18" fillId="0" borderId="3" xfId="1" applyFont="1" applyBorder="1"/>
    <xf numFmtId="165" fontId="18" fillId="3" borderId="6" xfId="1" applyNumberFormat="1" applyFont="1" applyFill="1" applyBorder="1" applyAlignment="1">
      <alignment horizontal="right"/>
    </xf>
    <xf numFmtId="165" fontId="18" fillId="3" borderId="3" xfId="1" applyNumberFormat="1" applyFont="1" applyFill="1" applyBorder="1" applyAlignment="1">
      <alignment horizontal="right"/>
    </xf>
    <xf numFmtId="165" fontId="16" fillId="3" borderId="3" xfId="1" applyNumberFormat="1" applyFont="1" applyFill="1" applyBorder="1" applyAlignment="1">
      <alignment horizontal="right"/>
    </xf>
    <xf numFmtId="165" fontId="18" fillId="0" borderId="0" xfId="1" applyNumberFormat="1" applyFont="1" applyBorder="1"/>
    <xf numFmtId="3" fontId="18" fillId="0" borderId="0" xfId="1" applyNumberFormat="1" applyFont="1" applyBorder="1"/>
    <xf numFmtId="165" fontId="18" fillId="3" borderId="2" xfId="1" applyNumberFormat="1" applyFont="1" applyFill="1" applyBorder="1" applyAlignment="1">
      <alignment horizontal="right"/>
    </xf>
    <xf numFmtId="0" fontId="15" fillId="0" borderId="0" xfId="1" applyFont="1"/>
    <xf numFmtId="0" fontId="22" fillId="0" borderId="0" xfId="1" applyFont="1"/>
    <xf numFmtId="0" fontId="15" fillId="0" borderId="0" xfId="1" applyFont="1" applyFill="1"/>
    <xf numFmtId="0" fontId="15" fillId="0" borderId="0" xfId="1" applyFont="1" applyFill="1" applyBorder="1"/>
    <xf numFmtId="165" fontId="16" fillId="0" borderId="0" xfId="1" applyNumberFormat="1" applyFont="1" applyFill="1" applyBorder="1" applyAlignment="1">
      <alignment horizontal="right"/>
    </xf>
    <xf numFmtId="3" fontId="18" fillId="0" borderId="0" xfId="1" applyNumberFormat="1" applyFont="1" applyFill="1" applyBorder="1" applyAlignment="1">
      <alignment horizontal="center"/>
    </xf>
    <xf numFmtId="165" fontId="18" fillId="0" borderId="0" xfId="1" applyNumberFormat="1" applyFont="1" applyFill="1" applyBorder="1" applyAlignment="1">
      <alignment horizontal="right"/>
    </xf>
    <xf numFmtId="49" fontId="18" fillId="0" borderId="0" xfId="1" applyNumberFormat="1" applyFont="1" applyFill="1" applyBorder="1" applyAlignment="1">
      <alignment horizontal="right"/>
    </xf>
    <xf numFmtId="165" fontId="16" fillId="3" borderId="6" xfId="1" applyNumberFormat="1" applyFont="1" applyFill="1" applyBorder="1" applyAlignment="1">
      <alignment horizontal="right"/>
    </xf>
    <xf numFmtId="3" fontId="18" fillId="0" borderId="0" xfId="1" quotePrefix="1" applyNumberFormat="1" applyFont="1" applyFill="1" applyBorder="1" applyAlignment="1">
      <alignment horizontal="center"/>
    </xf>
    <xf numFmtId="0" fontId="18" fillId="0" borderId="3" xfId="1" applyFont="1" applyFill="1" applyBorder="1"/>
    <xf numFmtId="0" fontId="16" fillId="0" borderId="3" xfId="1" applyFont="1" applyFill="1" applyBorder="1"/>
    <xf numFmtId="0" fontId="16" fillId="0" borderId="0" xfId="1" applyFont="1" applyFill="1" applyBorder="1" applyAlignment="1">
      <alignment horizontal="center"/>
    </xf>
    <xf numFmtId="0" fontId="16" fillId="0" borderId="6" xfId="1" applyFont="1" applyBorder="1"/>
    <xf numFmtId="14" fontId="17" fillId="0" borderId="0" xfId="1" applyNumberFormat="1" applyFont="1" applyFill="1" applyBorder="1" applyAlignment="1">
      <alignment horizontal="center"/>
    </xf>
    <xf numFmtId="0" fontId="16" fillId="0" borderId="0" xfId="1" applyFont="1"/>
    <xf numFmtId="3" fontId="18" fillId="0" borderId="3" xfId="1" applyNumberFormat="1" applyFont="1" applyFill="1" applyBorder="1" applyAlignment="1">
      <alignment horizontal="right"/>
    </xf>
    <xf numFmtId="3" fontId="18" fillId="0" borderId="6" xfId="1" applyNumberFormat="1" applyFont="1" applyFill="1" applyBorder="1" applyAlignment="1">
      <alignment horizontal="right"/>
    </xf>
    <xf numFmtId="0" fontId="18" fillId="0" borderId="6" xfId="1" applyFont="1" applyFill="1" applyBorder="1"/>
    <xf numFmtId="0" fontId="16" fillId="0" borderId="0" xfId="1" applyFont="1" applyBorder="1"/>
    <xf numFmtId="3" fontId="19" fillId="0" borderId="0" xfId="1" applyNumberFormat="1" applyFont="1" applyFill="1" applyBorder="1" applyAlignment="1">
      <alignment horizontal="right"/>
    </xf>
    <xf numFmtId="0" fontId="18" fillId="0" borderId="4" xfId="1" applyFont="1" applyFill="1" applyBorder="1"/>
    <xf numFmtId="0" fontId="18" fillId="0" borderId="0" xfId="1" applyFont="1" applyFill="1" applyAlignment="1">
      <alignment horizontal="right"/>
    </xf>
    <xf numFmtId="0" fontId="20" fillId="0" borderId="0" xfId="1"/>
    <xf numFmtId="0" fontId="27" fillId="0" borderId="0" xfId="1" applyFont="1"/>
    <xf numFmtId="0" fontId="0" fillId="0" borderId="0" xfId="1" applyFont="1"/>
    <xf numFmtId="0" fontId="28" fillId="0" borderId="0" xfId="1" applyFont="1" applyAlignment="1">
      <alignment horizontal="righ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left"/>
    </xf>
    <xf numFmtId="0" fontId="32" fillId="0" borderId="0" xfId="1" applyFont="1" applyAlignment="1">
      <alignment horizontal="right"/>
    </xf>
    <xf numFmtId="0" fontId="20" fillId="0" borderId="0" xfId="1" applyAlignment="1">
      <alignment horizontal="right"/>
    </xf>
    <xf numFmtId="0" fontId="33" fillId="0" borderId="0" xfId="1" applyFont="1" applyAlignment="1">
      <alignment horizontal="left"/>
    </xf>
    <xf numFmtId="14" fontId="34" fillId="0" borderId="0" xfId="1" applyNumberFormat="1" applyFont="1" applyAlignment="1">
      <alignment horizontal="left"/>
    </xf>
    <xf numFmtId="0" fontId="34" fillId="0" borderId="0" xfId="1" applyFont="1" applyAlignment="1">
      <alignment horizontal="left"/>
    </xf>
    <xf numFmtId="0" fontId="35" fillId="0" borderId="0" xfId="1" applyFont="1" applyAlignment="1">
      <alignment vertical="center"/>
    </xf>
    <xf numFmtId="0" fontId="36" fillId="0" borderId="0" xfId="1" applyFont="1" applyAlignment="1">
      <alignment vertical="center"/>
    </xf>
    <xf numFmtId="0" fontId="37" fillId="0" borderId="0" xfId="1" applyFont="1"/>
    <xf numFmtId="14" fontId="38" fillId="0" borderId="0" xfId="1" applyNumberFormat="1" applyFont="1"/>
    <xf numFmtId="0" fontId="39" fillId="0" borderId="0" xfId="0" applyFont="1"/>
    <xf numFmtId="0" fontId="40" fillId="0" borderId="0" xfId="0" applyFont="1"/>
    <xf numFmtId="0" fontId="41" fillId="0" borderId="0" xfId="0" applyFont="1"/>
    <xf numFmtId="0" fontId="43" fillId="0" borderId="0" xfId="0" applyFont="1"/>
    <xf numFmtId="0" fontId="43" fillId="0" borderId="0" xfId="3" applyFont="1" applyAlignment="1" applyProtection="1"/>
    <xf numFmtId="0" fontId="45" fillId="0" borderId="0" xfId="0" applyFont="1"/>
    <xf numFmtId="0" fontId="18" fillId="0" borderId="0" xfId="3" applyFont="1" applyFill="1" applyAlignment="1" applyProtection="1"/>
    <xf numFmtId="0" fontId="31" fillId="0" borderId="0" xfId="0" applyFont="1"/>
    <xf numFmtId="0" fontId="46" fillId="0" borderId="0" xfId="0" applyFont="1"/>
    <xf numFmtId="0" fontId="47" fillId="0" borderId="0" xfId="0" applyFont="1"/>
    <xf numFmtId="3" fontId="31" fillId="0" borderId="0" xfId="0" applyNumberFormat="1" applyFont="1"/>
    <xf numFmtId="3" fontId="31" fillId="0" borderId="0" xfId="0" applyNumberFormat="1" applyFont="1" applyFill="1"/>
    <xf numFmtId="0" fontId="31" fillId="0" borderId="0" xfId="0" applyFont="1" applyFill="1"/>
    <xf numFmtId="0" fontId="42" fillId="0" borderId="0" xfId="0" applyFont="1"/>
    <xf numFmtId="0" fontId="37" fillId="0" borderId="0" xfId="0" applyFont="1"/>
    <xf numFmtId="14" fontId="14" fillId="0" borderId="13" xfId="0" applyNumberFormat="1" applyFont="1" applyFill="1" applyBorder="1" applyAlignment="1">
      <alignment horizontal="left"/>
    </xf>
    <xf numFmtId="0" fontId="31" fillId="0" borderId="10" xfId="0" applyFont="1" applyBorder="1"/>
    <xf numFmtId="0" fontId="31" fillId="0" borderId="8" xfId="0" applyFont="1" applyBorder="1"/>
    <xf numFmtId="0" fontId="31" fillId="0" borderId="9" xfId="0" applyFont="1" applyBorder="1"/>
    <xf numFmtId="0" fontId="31" fillId="0" borderId="3" xfId="0" applyFont="1" applyBorder="1"/>
    <xf numFmtId="0" fontId="18" fillId="0" borderId="0" xfId="0" applyFont="1"/>
    <xf numFmtId="3" fontId="46" fillId="0" borderId="7" xfId="0" applyNumberFormat="1" applyFont="1" applyFill="1" applyBorder="1"/>
    <xf numFmtId="0" fontId="46" fillId="0" borderId="0" xfId="0" applyFont="1" applyBorder="1" applyAlignment="1">
      <alignment horizontal="center"/>
    </xf>
    <xf numFmtId="0" fontId="46" fillId="0" borderId="3" xfId="0" applyFont="1" applyBorder="1" applyAlignment="1">
      <alignment horizontal="center"/>
    </xf>
    <xf numFmtId="3" fontId="46" fillId="0" borderId="3" xfId="0" applyNumberFormat="1" applyFont="1" applyFill="1" applyBorder="1"/>
    <xf numFmtId="0" fontId="16" fillId="0" borderId="4" xfId="0" applyFont="1" applyBorder="1" applyAlignment="1">
      <alignment horizontal="center"/>
    </xf>
    <xf numFmtId="0" fontId="16" fillId="0" borderId="1" xfId="0" applyFont="1" applyBorder="1" applyAlignment="1">
      <alignment horizontal="center"/>
    </xf>
    <xf numFmtId="0" fontId="16" fillId="0" borderId="7" xfId="0" applyFont="1" applyBorder="1" applyAlignment="1">
      <alignment horizontal="center"/>
    </xf>
    <xf numFmtId="0" fontId="16" fillId="0" borderId="3" xfId="0" applyFont="1" applyBorder="1" applyAlignment="1">
      <alignment horizontal="center"/>
    </xf>
    <xf numFmtId="3" fontId="49" fillId="4" borderId="6" xfId="0" applyNumberFormat="1" applyFont="1" applyFill="1" applyBorder="1"/>
    <xf numFmtId="0" fontId="14" fillId="0" borderId="11" xfId="0" applyFont="1" applyBorder="1" applyAlignment="1">
      <alignment horizontal="center"/>
    </xf>
    <xf numFmtId="0" fontId="16" fillId="0" borderId="11" xfId="0" applyFont="1" applyBorder="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46" fillId="0" borderId="3" xfId="0" applyFont="1" applyBorder="1"/>
    <xf numFmtId="0" fontId="31" fillId="0" borderId="1" xfId="0" applyFont="1" applyBorder="1"/>
    <xf numFmtId="3" fontId="31" fillId="0" borderId="4" xfId="0" applyNumberFormat="1" applyFont="1" applyBorder="1"/>
    <xf numFmtId="3" fontId="31" fillId="0" borderId="4" xfId="0" applyNumberFormat="1" applyFont="1" applyBorder="1" applyAlignment="1">
      <alignment horizontal="right"/>
    </xf>
    <xf numFmtId="3" fontId="31" fillId="0" borderId="4" xfId="0" applyNumberFormat="1" applyFont="1" applyFill="1" applyBorder="1"/>
    <xf numFmtId="3" fontId="31" fillId="0" borderId="4" xfId="0" applyNumberFormat="1" applyFont="1" applyFill="1" applyBorder="1" applyAlignment="1">
      <alignment horizontal="right"/>
    </xf>
    <xf numFmtId="0" fontId="31" fillId="0" borderId="3" xfId="0" applyFont="1" applyFill="1" applyBorder="1"/>
    <xf numFmtId="0" fontId="31" fillId="0" borderId="4" xfId="0" applyFont="1" applyFill="1" applyBorder="1"/>
    <xf numFmtId="3" fontId="46" fillId="0" borderId="4" xfId="0" applyNumberFormat="1" applyFont="1" applyBorder="1"/>
    <xf numFmtId="3" fontId="46" fillId="0" borderId="4" xfId="0" applyNumberFormat="1" applyFont="1" applyBorder="1" applyAlignment="1">
      <alignment horizontal="right"/>
    </xf>
    <xf numFmtId="0" fontId="16" fillId="0" borderId="0" xfId="0" applyFont="1"/>
    <xf numFmtId="0" fontId="31" fillId="0" borderId="0" xfId="0" applyFont="1" applyBorder="1"/>
    <xf numFmtId="0" fontId="46" fillId="0" borderId="6" xfId="0" applyFont="1" applyBorder="1"/>
    <xf numFmtId="3" fontId="46" fillId="0" borderId="11" xfId="0" applyNumberFormat="1" applyFont="1" applyBorder="1"/>
    <xf numFmtId="3" fontId="46" fillId="0" borderId="11" xfId="0" applyNumberFormat="1" applyFont="1" applyBorder="1" applyAlignment="1">
      <alignment horizontal="right"/>
    </xf>
    <xf numFmtId="0" fontId="31" fillId="0" borderId="0" xfId="0" applyFont="1" applyAlignment="1">
      <alignment horizontal="left"/>
    </xf>
    <xf numFmtId="0" fontId="46" fillId="0" borderId="0" xfId="0" applyFont="1" applyAlignment="1">
      <alignment horizontal="left"/>
    </xf>
    <xf numFmtId="0" fontId="31" fillId="0" borderId="14" xfId="0" applyFont="1" applyBorder="1"/>
    <xf numFmtId="0" fontId="31" fillId="0" borderId="15" xfId="0" applyFont="1" applyBorder="1"/>
    <xf numFmtId="167" fontId="46" fillId="0" borderId="7" xfId="0" applyNumberFormat="1" applyFont="1" applyBorder="1" applyAlignment="1">
      <alignment horizontal="left"/>
    </xf>
    <xf numFmtId="0" fontId="46" fillId="0" borderId="2" xfId="0" applyFont="1" applyBorder="1" applyAlignment="1">
      <alignment horizontal="center"/>
    </xf>
    <xf numFmtId="167" fontId="46" fillId="0" borderId="3" xfId="0" applyNumberFormat="1" applyFont="1" applyBorder="1" applyAlignment="1">
      <alignment horizontal="left"/>
    </xf>
    <xf numFmtId="0" fontId="46" fillId="0" borderId="4" xfId="0" applyFont="1" applyBorder="1" applyAlignment="1">
      <alignment horizontal="center"/>
    </xf>
    <xf numFmtId="0" fontId="46" fillId="0" borderId="1" xfId="0" applyFont="1" applyBorder="1" applyAlignment="1">
      <alignment horizontal="center"/>
    </xf>
    <xf numFmtId="0" fontId="16" fillId="0" borderId="2" xfId="0" applyFont="1" applyBorder="1" applyAlignment="1">
      <alignment horizontal="center"/>
    </xf>
    <xf numFmtId="167" fontId="51" fillId="0" borderId="6" xfId="0" applyNumberFormat="1" applyFont="1" applyBorder="1" applyAlignment="1">
      <alignment horizontal="left"/>
    </xf>
    <xf numFmtId="0" fontId="14" fillId="0" borderId="6" xfId="0" applyFont="1" applyBorder="1" applyAlignment="1">
      <alignment horizontal="center"/>
    </xf>
    <xf numFmtId="0" fontId="16" fillId="0" borderId="12" xfId="0" applyFont="1" applyBorder="1" applyAlignment="1">
      <alignment horizontal="center"/>
    </xf>
    <xf numFmtId="3" fontId="31" fillId="0" borderId="1" xfId="0" applyNumberFormat="1" applyFont="1" applyBorder="1"/>
    <xf numFmtId="3" fontId="31" fillId="0" borderId="2" xfId="0" applyNumberFormat="1" applyFont="1" applyBorder="1"/>
    <xf numFmtId="3" fontId="52" fillId="0" borderId="4" xfId="0" applyNumberFormat="1" applyFont="1" applyFill="1" applyBorder="1" applyAlignment="1">
      <alignment horizontal="right"/>
    </xf>
    <xf numFmtId="0" fontId="47" fillId="0" borderId="0" xfId="0" applyFont="1" applyFill="1"/>
    <xf numFmtId="0" fontId="53" fillId="0" borderId="0" xfId="0" applyFont="1" applyFill="1"/>
    <xf numFmtId="3" fontId="54" fillId="0" borderId="0" xfId="0" applyNumberFormat="1" applyFont="1"/>
    <xf numFmtId="0" fontId="54" fillId="0" borderId="0" xfId="0" applyFont="1"/>
    <xf numFmtId="0" fontId="54" fillId="0" borderId="0" xfId="0" applyFont="1" applyFill="1"/>
    <xf numFmtId="0" fontId="46" fillId="0" borderId="4" xfId="0" applyFont="1" applyBorder="1"/>
    <xf numFmtId="3" fontId="46" fillId="0" borderId="0" xfId="0" applyNumberFormat="1" applyFont="1" applyBorder="1" applyAlignment="1">
      <alignment horizontal="right"/>
    </xf>
    <xf numFmtId="3" fontId="31" fillId="0" borderId="0" xfId="0" applyNumberFormat="1" applyFont="1" applyBorder="1"/>
    <xf numFmtId="3" fontId="16" fillId="0" borderId="4" xfId="1" applyNumberFormat="1" applyFont="1" applyBorder="1"/>
    <xf numFmtId="0" fontId="0" fillId="0" borderId="0" xfId="0"/>
    <xf numFmtId="3" fontId="15" fillId="0" borderId="0" xfId="1" applyNumberFormat="1" applyFont="1" applyFill="1" applyBorder="1"/>
    <xf numFmtId="3" fontId="16" fillId="0" borderId="0" xfId="1" applyNumberFormat="1" applyFont="1"/>
    <xf numFmtId="3" fontId="16" fillId="0" borderId="1" xfId="1" applyNumberFormat="1" applyFont="1" applyBorder="1"/>
    <xf numFmtId="3" fontId="18" fillId="0" borderId="0" xfId="1" applyNumberFormat="1" applyFont="1" applyFill="1" applyBorder="1" applyAlignment="1">
      <alignment horizontal="right"/>
    </xf>
    <xf numFmtId="3" fontId="18" fillId="0" borderId="0" xfId="1" applyNumberFormat="1" applyFont="1" applyFill="1" applyBorder="1"/>
    <xf numFmtId="3" fontId="14" fillId="0" borderId="0" xfId="1" applyNumberFormat="1" applyFont="1"/>
    <xf numFmtId="3" fontId="18" fillId="0" borderId="0" xfId="1" applyNumberFormat="1" applyFont="1" applyFill="1"/>
    <xf numFmtId="3" fontId="18" fillId="0" borderId="0" xfId="1" applyNumberFormat="1" applyFont="1"/>
    <xf numFmtId="3" fontId="16" fillId="0" borderId="5" xfId="1" applyNumberFormat="1" applyFont="1" applyBorder="1" applyAlignment="1">
      <alignment horizontal="center"/>
    </xf>
    <xf numFmtId="3" fontId="22" fillId="0" borderId="0" xfId="1" applyNumberFormat="1" applyFont="1"/>
    <xf numFmtId="3" fontId="18" fillId="0" borderId="4" xfId="1" applyNumberFormat="1" applyFont="1" applyFill="1" applyBorder="1"/>
    <xf numFmtId="3" fontId="15" fillId="0" borderId="0" xfId="1" applyNumberFormat="1" applyFont="1" applyFill="1"/>
    <xf numFmtId="3" fontId="18" fillId="0" borderId="0" xfId="1" applyNumberFormat="1" applyFont="1" applyAlignment="1">
      <alignment horizontal="left"/>
    </xf>
    <xf numFmtId="3" fontId="16" fillId="0" borderId="6" xfId="1" applyNumberFormat="1" applyFont="1" applyBorder="1" applyAlignment="1">
      <alignment horizontal="center"/>
    </xf>
    <xf numFmtId="3" fontId="15" fillId="0" borderId="0" xfId="1" applyNumberFormat="1" applyFont="1"/>
    <xf numFmtId="3" fontId="16" fillId="0" borderId="3" xfId="1" applyNumberFormat="1" applyFont="1" applyBorder="1"/>
    <xf numFmtId="3" fontId="16" fillId="0" borderId="0" xfId="1" applyNumberFormat="1" applyFont="1" applyFill="1" applyBorder="1" applyAlignment="1">
      <alignment horizontal="right"/>
    </xf>
    <xf numFmtId="3" fontId="16" fillId="3" borderId="2" xfId="1" applyNumberFormat="1" applyFont="1" applyFill="1" applyBorder="1" applyAlignment="1">
      <alignment horizontal="right"/>
    </xf>
    <xf numFmtId="3" fontId="16" fillId="0" borderId="11" xfId="1" applyNumberFormat="1" applyFont="1" applyBorder="1" applyAlignment="1">
      <alignment horizontal="center"/>
    </xf>
    <xf numFmtId="3" fontId="16" fillId="0" borderId="7" xfId="1" applyNumberFormat="1" applyFont="1" applyBorder="1" applyAlignment="1">
      <alignment horizontal="center"/>
    </xf>
    <xf numFmtId="3" fontId="14" fillId="0" borderId="12" xfId="1" applyNumberFormat="1" applyFont="1" applyBorder="1"/>
    <xf numFmtId="3" fontId="18" fillId="0" borderId="0" xfId="1" applyNumberFormat="1" applyFont="1" applyFill="1" applyAlignment="1">
      <alignment horizontal="left"/>
    </xf>
    <xf numFmtId="3" fontId="14" fillId="0" borderId="0" xfId="1" applyNumberFormat="1" applyFont="1" applyBorder="1"/>
    <xf numFmtId="3" fontId="18" fillId="3" borderId="3" xfId="1" applyNumberFormat="1" applyFont="1" applyFill="1" applyBorder="1" applyAlignment="1">
      <alignment horizontal="right"/>
    </xf>
    <xf numFmtId="3" fontId="18" fillId="3" borderId="6" xfId="1" applyNumberFormat="1" applyFont="1" applyFill="1" applyBorder="1" applyAlignment="1">
      <alignment horizontal="right"/>
    </xf>
    <xf numFmtId="3" fontId="16" fillId="0" borderId="0" xfId="1" applyNumberFormat="1" applyFont="1" applyBorder="1"/>
    <xf numFmtId="3" fontId="16" fillId="3" borderId="6" xfId="1" applyNumberFormat="1" applyFont="1" applyFill="1" applyBorder="1" applyAlignment="1">
      <alignment horizontal="right"/>
    </xf>
    <xf numFmtId="3" fontId="16" fillId="3" borderId="5" xfId="1" applyNumberFormat="1" applyFont="1" applyFill="1" applyBorder="1" applyAlignment="1">
      <alignment horizontal="right"/>
    </xf>
    <xf numFmtId="3" fontId="16" fillId="3" borderId="3" xfId="1" applyNumberFormat="1" applyFont="1" applyFill="1" applyBorder="1" applyAlignment="1">
      <alignment horizontal="right"/>
    </xf>
    <xf numFmtId="3" fontId="18" fillId="0" borderId="10" xfId="1" applyNumberFormat="1" applyFont="1" applyBorder="1" applyAlignment="1">
      <alignment horizontal="left"/>
    </xf>
    <xf numFmtId="3" fontId="16" fillId="0" borderId="0" xfId="1" applyNumberFormat="1" applyFont="1" applyFill="1" applyBorder="1" applyAlignment="1">
      <alignment horizontal="center"/>
    </xf>
    <xf numFmtId="3" fontId="17" fillId="0" borderId="0" xfId="1" applyNumberFormat="1" applyFont="1" applyFill="1" applyBorder="1" applyAlignment="1">
      <alignment horizontal="center"/>
    </xf>
    <xf numFmtId="3" fontId="18" fillId="3" borderId="2" xfId="1" applyNumberFormat="1" applyFont="1" applyFill="1" applyBorder="1" applyAlignment="1">
      <alignment horizontal="right"/>
    </xf>
    <xf numFmtId="3" fontId="31" fillId="0" borderId="3" xfId="0" applyNumberFormat="1" applyFont="1" applyBorder="1"/>
    <xf numFmtId="3" fontId="31" fillId="0" borderId="3" xfId="0" applyNumberFormat="1" applyFont="1" applyFill="1" applyBorder="1"/>
    <xf numFmtId="3" fontId="46" fillId="0" borderId="3" xfId="0" applyNumberFormat="1" applyFont="1" applyBorder="1"/>
    <xf numFmtId="3" fontId="46" fillId="0" borderId="0" xfId="0" applyNumberFormat="1" applyFont="1" applyBorder="1"/>
    <xf numFmtId="3" fontId="46" fillId="0" borderId="6" xfId="0" applyNumberFormat="1" applyFont="1" applyBorder="1"/>
    <xf numFmtId="3" fontId="31" fillId="0" borderId="0" xfId="0" applyNumberFormat="1" applyFont="1" applyBorder="1" applyAlignment="1">
      <alignment horizontal="right"/>
    </xf>
    <xf numFmtId="3" fontId="52" fillId="0" borderId="0" xfId="0" applyNumberFormat="1" applyFont="1" applyFill="1" applyBorder="1" applyAlignment="1">
      <alignment horizontal="right"/>
    </xf>
    <xf numFmtId="0" fontId="14" fillId="0" borderId="4" xfId="0" applyFont="1" applyBorder="1" applyAlignment="1">
      <alignment horizontal="center"/>
    </xf>
    <xf numFmtId="0" fontId="14" fillId="0" borderId="3" xfId="0" applyFont="1" applyBorder="1" applyAlignment="1">
      <alignment horizontal="center"/>
    </xf>
    <xf numFmtId="0" fontId="31" fillId="0" borderId="0" xfId="0" applyFont="1" applyFill="1" applyBorder="1"/>
    <xf numFmtId="0" fontId="18" fillId="0" borderId="0" xfId="0" applyFont="1" applyFill="1" applyBorder="1"/>
    <xf numFmtId="3" fontId="23" fillId="0" borderId="4" xfId="1" applyNumberFormat="1" applyFont="1" applyFill="1" applyBorder="1" applyAlignment="1">
      <alignment horizontal="right"/>
    </xf>
    <xf numFmtId="3" fontId="23" fillId="0" borderId="3" xfId="1" applyNumberFormat="1" applyFont="1" applyFill="1" applyBorder="1" applyAlignment="1">
      <alignment horizontal="right"/>
    </xf>
    <xf numFmtId="167" fontId="46" fillId="0" borderId="4" xfId="0" applyNumberFormat="1" applyFont="1" applyBorder="1" applyAlignment="1">
      <alignment horizontal="left"/>
    </xf>
    <xf numFmtId="0" fontId="31" fillId="0" borderId="4" xfId="0" applyFont="1" applyBorder="1"/>
    <xf numFmtId="0" fontId="52" fillId="0" borderId="4" xfId="0" applyFont="1" applyFill="1" applyBorder="1"/>
    <xf numFmtId="0" fontId="46" fillId="0" borderId="11" xfId="0" applyFont="1" applyBorder="1"/>
    <xf numFmtId="3" fontId="31" fillId="0" borderId="3" xfId="0" applyNumberFormat="1" applyFont="1" applyBorder="1" applyAlignment="1">
      <alignment horizontal="right"/>
    </xf>
    <xf numFmtId="3" fontId="52" fillId="0" borderId="3" xfId="0" applyNumberFormat="1" applyFont="1" applyFill="1" applyBorder="1" applyAlignment="1">
      <alignment horizontal="right"/>
    </xf>
    <xf numFmtId="3" fontId="46" fillId="0" borderId="3" xfId="0" applyNumberFormat="1" applyFont="1" applyBorder="1" applyAlignment="1">
      <alignment horizontal="right"/>
    </xf>
    <xf numFmtId="3" fontId="46" fillId="0" borderId="6" xfId="0" applyNumberFormat="1" applyFont="1" applyBorder="1" applyAlignment="1">
      <alignment horizontal="right"/>
    </xf>
    <xf numFmtId="0" fontId="37" fillId="0" borderId="4" xfId="0" applyFont="1" applyBorder="1" applyAlignment="1">
      <alignment horizontal="right"/>
    </xf>
    <xf numFmtId="3" fontId="31" fillId="0" borderId="7" xfId="0" applyNumberFormat="1" applyFont="1" applyBorder="1" applyAlignment="1">
      <alignment horizontal="right"/>
    </xf>
    <xf numFmtId="3" fontId="31" fillId="0" borderId="14" xfId="0" applyNumberFormat="1" applyFont="1" applyBorder="1" applyAlignment="1">
      <alignment horizontal="right"/>
    </xf>
    <xf numFmtId="0" fontId="37" fillId="0" borderId="3" xfId="0" applyFont="1" applyBorder="1" applyAlignment="1">
      <alignment horizontal="right"/>
    </xf>
    <xf numFmtId="3" fontId="31" fillId="0" borderId="6" xfId="0" applyNumberFormat="1" applyFont="1" applyBorder="1" applyAlignment="1">
      <alignment horizontal="right"/>
    </xf>
    <xf numFmtId="3" fontId="16" fillId="0" borderId="0" xfId="0" applyNumberFormat="1" applyFont="1"/>
    <xf numFmtId="3" fontId="16" fillId="0" borderId="4" xfId="1" applyNumberFormat="1" applyFont="1" applyBorder="1" applyAlignment="1">
      <alignment horizontal="center"/>
    </xf>
    <xf numFmtId="3" fontId="18" fillId="0" borderId="0" xfId="0" applyNumberFormat="1" applyFont="1" applyBorder="1"/>
    <xf numFmtId="3" fontId="18" fillId="0" borderId="0" xfId="0" applyNumberFormat="1" applyFont="1"/>
    <xf numFmtId="3" fontId="16" fillId="0" borderId="0" xfId="0" applyNumberFormat="1" applyFont="1" applyBorder="1"/>
    <xf numFmtId="3" fontId="18" fillId="0" borderId="0" xfId="0" applyNumberFormat="1" applyFont="1" applyFill="1" applyBorder="1"/>
    <xf numFmtId="0" fontId="18" fillId="8" borderId="1" xfId="0" applyFont="1" applyFill="1" applyBorder="1"/>
    <xf numFmtId="0" fontId="18" fillId="8" borderId="15" xfId="0" applyFont="1" applyFill="1" applyBorder="1"/>
    <xf numFmtId="0" fontId="18" fillId="8" borderId="14" xfId="0" applyFont="1" applyFill="1" applyBorder="1"/>
    <xf numFmtId="0" fontId="16" fillId="8" borderId="1" xfId="0" applyFont="1" applyFill="1" applyBorder="1" applyAlignment="1">
      <alignment horizontal="center"/>
    </xf>
    <xf numFmtId="0" fontId="16" fillId="8" borderId="15" xfId="0" applyFont="1" applyFill="1" applyBorder="1" applyAlignment="1">
      <alignment horizontal="center"/>
    </xf>
    <xf numFmtId="0" fontId="16" fillId="8" borderId="14" xfId="0" applyFont="1" applyFill="1" applyBorder="1" applyAlignment="1">
      <alignment horizontal="center"/>
    </xf>
    <xf numFmtId="0" fontId="16" fillId="8" borderId="11" xfId="0" applyFont="1" applyFill="1" applyBorder="1" applyAlignment="1">
      <alignment horizontal="center"/>
    </xf>
    <xf numFmtId="0" fontId="16" fillId="8" borderId="5" xfId="0" applyFont="1" applyFill="1" applyBorder="1" applyAlignment="1">
      <alignment horizontal="center"/>
    </xf>
    <xf numFmtId="0" fontId="16" fillId="8" borderId="12" xfId="0" applyFont="1" applyFill="1" applyBorder="1" applyAlignment="1">
      <alignment horizontal="center"/>
    </xf>
    <xf numFmtId="0" fontId="16" fillId="8" borderId="3" xfId="0" applyFont="1" applyFill="1" applyBorder="1"/>
    <xf numFmtId="3" fontId="18" fillId="8" borderId="2" xfId="0" applyNumberFormat="1" applyFont="1" applyFill="1" applyBorder="1"/>
    <xf numFmtId="3" fontId="18" fillId="8" borderId="7" xfId="0" applyNumberFormat="1" applyFont="1" applyFill="1" applyBorder="1"/>
    <xf numFmtId="3" fontId="18" fillId="8" borderId="3" xfId="0" applyNumberFormat="1" applyFont="1" applyFill="1" applyBorder="1"/>
    <xf numFmtId="0" fontId="16" fillId="8" borderId="3" xfId="0" applyFont="1" applyFill="1" applyBorder="1" applyAlignment="1">
      <alignment horizontal="center"/>
    </xf>
    <xf numFmtId="0" fontId="16" fillId="8" borderId="2" xfId="0" applyFont="1" applyFill="1" applyBorder="1" applyAlignment="1">
      <alignment horizontal="center"/>
    </xf>
    <xf numFmtId="0" fontId="18" fillId="8" borderId="2" xfId="0" applyFont="1" applyFill="1" applyBorder="1"/>
    <xf numFmtId="0" fontId="18" fillId="8" borderId="3" xfId="0" applyFont="1" applyFill="1" applyBorder="1"/>
    <xf numFmtId="3" fontId="18" fillId="8" borderId="2" xfId="2" applyNumberFormat="1" applyFont="1" applyFill="1" applyBorder="1"/>
    <xf numFmtId="3" fontId="16" fillId="8" borderId="6" xfId="0" applyNumberFormat="1" applyFont="1" applyFill="1" applyBorder="1"/>
    <xf numFmtId="3" fontId="16" fillId="8" borderId="5" xfId="0" applyNumberFormat="1" applyFont="1" applyFill="1" applyBorder="1"/>
    <xf numFmtId="3" fontId="31" fillId="0" borderId="2" xfId="0" quotePrefix="1" applyNumberFormat="1" applyFont="1" applyBorder="1" applyAlignment="1">
      <alignment horizontal="right"/>
    </xf>
    <xf numFmtId="0" fontId="37" fillId="0" borderId="1" xfId="0" applyFont="1" applyBorder="1" applyAlignment="1">
      <alignment horizontal="right"/>
    </xf>
    <xf numFmtId="3" fontId="31" fillId="0" borderId="3" xfId="0" quotePrefix="1" applyNumberFormat="1" applyFont="1" applyBorder="1" applyAlignment="1">
      <alignment horizontal="right"/>
    </xf>
    <xf numFmtId="3" fontId="18" fillId="0" borderId="2" xfId="1" applyNumberFormat="1" applyFont="1" applyFill="1" applyBorder="1" applyAlignment="1">
      <alignment horizontal="right"/>
    </xf>
    <xf numFmtId="3" fontId="18" fillId="2" borderId="2" xfId="1" applyNumberFormat="1" applyFont="1" applyFill="1" applyBorder="1" applyAlignment="1">
      <alignment horizontal="right"/>
    </xf>
    <xf numFmtId="3" fontId="16" fillId="0" borderId="3" xfId="1" applyNumberFormat="1" applyFont="1" applyFill="1" applyBorder="1" applyAlignment="1">
      <alignment horizontal="right"/>
    </xf>
    <xf numFmtId="3" fontId="18" fillId="0" borderId="2" xfId="1" quotePrefix="1" applyNumberFormat="1" applyFont="1" applyFill="1" applyBorder="1" applyAlignment="1">
      <alignment horizontal="right"/>
    </xf>
    <xf numFmtId="3" fontId="18" fillId="0" borderId="6" xfId="1" quotePrefix="1" applyNumberFormat="1" applyFont="1" applyFill="1" applyBorder="1" applyAlignment="1">
      <alignment horizontal="right"/>
    </xf>
    <xf numFmtId="3" fontId="18" fillId="0" borderId="5" xfId="1" quotePrefix="1" applyNumberFormat="1" applyFont="1" applyFill="1" applyBorder="1" applyAlignment="1">
      <alignment horizontal="right"/>
    </xf>
    <xf numFmtId="3" fontId="18" fillId="3" borderId="0" xfId="1" applyNumberFormat="1" applyFont="1" applyFill="1" applyBorder="1" applyAlignment="1">
      <alignment horizontal="right"/>
    </xf>
    <xf numFmtId="165" fontId="56" fillId="7" borderId="3" xfId="844" applyNumberFormat="1" applyFont="1" applyBorder="1" applyAlignment="1">
      <alignment horizontal="right"/>
    </xf>
    <xf numFmtId="3" fontId="46" fillId="0" borderId="2" xfId="0" applyNumberFormat="1" applyFont="1" applyBorder="1"/>
    <xf numFmtId="3" fontId="14" fillId="0" borderId="9" xfId="1" applyNumberFormat="1" applyFont="1" applyBorder="1" applyAlignment="1">
      <alignment horizontal="center"/>
    </xf>
    <xf numFmtId="3" fontId="17" fillId="0" borderId="6" xfId="1" applyNumberFormat="1" applyFont="1" applyBorder="1" applyAlignment="1">
      <alignment horizontal="center"/>
    </xf>
    <xf numFmtId="3" fontId="16" fillId="0" borderId="3" xfId="1" applyNumberFormat="1" applyFont="1" applyBorder="1" applyAlignment="1">
      <alignment horizontal="center"/>
    </xf>
    <xf numFmtId="3" fontId="16" fillId="0" borderId="2" xfId="1" applyNumberFormat="1" applyFont="1" applyBorder="1" applyAlignment="1">
      <alignment horizontal="center"/>
    </xf>
    <xf numFmtId="3" fontId="14" fillId="0" borderId="1" xfId="1" applyNumberFormat="1" applyFont="1" applyBorder="1"/>
    <xf numFmtId="0" fontId="18" fillId="0" borderId="6" xfId="0" applyFont="1" applyBorder="1"/>
    <xf numFmtId="0" fontId="16" fillId="0" borderId="3" xfId="1" applyFont="1" applyBorder="1" applyAlignment="1">
      <alignment horizontal="center"/>
    </xf>
    <xf numFmtId="0" fontId="16" fillId="0" borderId="15" xfId="1" applyFont="1" applyBorder="1" applyAlignment="1">
      <alignment horizontal="center"/>
    </xf>
    <xf numFmtId="0" fontId="18" fillId="0" borderId="5" xfId="1" applyFont="1" applyFill="1" applyBorder="1"/>
    <xf numFmtId="0" fontId="18" fillId="0" borderId="9" xfId="1" applyFont="1" applyFill="1" applyBorder="1"/>
    <xf numFmtId="168" fontId="18" fillId="0" borderId="0" xfId="1" applyNumberFormat="1" applyFont="1" applyFill="1" applyBorder="1" applyAlignment="1">
      <alignment horizontal="center"/>
    </xf>
    <xf numFmtId="168" fontId="18" fillId="3" borderId="3" xfId="1" applyNumberFormat="1" applyFont="1" applyFill="1" applyBorder="1" applyAlignment="1">
      <alignment horizontal="right"/>
    </xf>
    <xf numFmtId="168" fontId="18" fillId="3" borderId="6" xfId="1" applyNumberFormat="1" applyFont="1" applyFill="1" applyBorder="1" applyAlignment="1">
      <alignment horizontal="right"/>
    </xf>
    <xf numFmtId="0" fontId="46" fillId="0" borderId="0" xfId="0" applyFont="1" applyBorder="1"/>
    <xf numFmtId="0" fontId="46" fillId="0" borderId="7" xfId="0" applyFont="1" applyBorder="1"/>
    <xf numFmtId="14" fontId="14" fillId="0" borderId="6" xfId="0" applyNumberFormat="1" applyFont="1" applyFill="1" applyBorder="1" applyAlignment="1">
      <alignment horizontal="left"/>
    </xf>
    <xf numFmtId="14" fontId="14" fillId="0" borderId="3" xfId="0" applyNumberFormat="1" applyFont="1" applyFill="1" applyBorder="1" applyAlignment="1">
      <alignment horizontal="center"/>
    </xf>
    <xf numFmtId="167" fontId="16" fillId="0" borderId="4" xfId="0" applyNumberFormat="1" applyFont="1" applyBorder="1" applyAlignment="1">
      <alignment horizontal="center"/>
    </xf>
    <xf numFmtId="167" fontId="16" fillId="0" borderId="11" xfId="0" applyNumberFormat="1" applyFont="1" applyBorder="1" applyAlignment="1">
      <alignment horizontal="center"/>
    </xf>
    <xf numFmtId="0" fontId="16" fillId="0" borderId="5" xfId="0" applyFont="1" applyBorder="1" applyAlignment="1">
      <alignment horizontal="center"/>
    </xf>
    <xf numFmtId="165" fontId="46" fillId="0" borderId="4" xfId="0" applyNumberFormat="1" applyFont="1" applyBorder="1" applyAlignment="1">
      <alignment horizontal="right"/>
    </xf>
    <xf numFmtId="165" fontId="46" fillId="0" borderId="3" xfId="0" applyNumberFormat="1" applyFont="1" applyBorder="1" applyAlignment="1">
      <alignment horizontal="right"/>
    </xf>
    <xf numFmtId="165" fontId="31" fillId="0" borderId="4" xfId="0" applyNumberFormat="1" applyFont="1" applyBorder="1" applyAlignment="1">
      <alignment horizontal="right"/>
    </xf>
    <xf numFmtId="165" fontId="31" fillId="0" borderId="3" xfId="0" applyNumberFormat="1" applyFont="1" applyBorder="1" applyAlignment="1">
      <alignment horizontal="right"/>
    </xf>
    <xf numFmtId="165" fontId="31" fillId="0" borderId="4" xfId="0" applyNumberFormat="1" applyFont="1" applyFill="1" applyBorder="1" applyAlignment="1">
      <alignment horizontal="right"/>
    </xf>
    <xf numFmtId="0" fontId="31" fillId="0" borderId="11" xfId="0" applyFont="1" applyBorder="1"/>
    <xf numFmtId="3" fontId="31" fillId="0" borderId="11" xfId="0" applyNumberFormat="1" applyFont="1" applyBorder="1"/>
    <xf numFmtId="165" fontId="31" fillId="0" borderId="11" xfId="0" applyNumberFormat="1" applyFont="1" applyBorder="1" applyAlignment="1">
      <alignment horizontal="right"/>
    </xf>
    <xf numFmtId="165" fontId="31" fillId="0" borderId="6" xfId="0" applyNumberFormat="1" applyFont="1" applyBorder="1" applyAlignment="1">
      <alignment horizontal="right"/>
    </xf>
    <xf numFmtId="3" fontId="46" fillId="0" borderId="3" xfId="0" applyNumberFormat="1" applyFont="1" applyFill="1" applyBorder="1" applyAlignment="1">
      <alignment horizontal="right"/>
    </xf>
    <xf numFmtId="0" fontId="43" fillId="9" borderId="0" xfId="0" applyFont="1" applyFill="1"/>
    <xf numFmtId="0" fontId="67" fillId="0" borderId="0" xfId="3" applyFont="1" applyAlignment="1" applyProtection="1"/>
    <xf numFmtId="0" fontId="42" fillId="0" borderId="0" xfId="0" applyFont="1" applyFill="1" applyAlignment="1">
      <alignment horizontal="center"/>
    </xf>
    <xf numFmtId="3" fontId="16" fillId="0" borderId="6" xfId="1" applyNumberFormat="1" applyFont="1" applyFill="1" applyBorder="1" applyAlignment="1">
      <alignment horizontal="right"/>
    </xf>
    <xf numFmtId="3" fontId="68" fillId="0" borderId="4" xfId="1" applyNumberFormat="1" applyFont="1" applyFill="1" applyBorder="1" applyAlignment="1">
      <alignment horizontal="right"/>
    </xf>
    <xf numFmtId="3" fontId="68" fillId="0" borderId="3" xfId="1" applyNumberFormat="1" applyFont="1" applyFill="1" applyBorder="1" applyAlignment="1">
      <alignment horizontal="right"/>
    </xf>
    <xf numFmtId="3" fontId="68" fillId="0" borderId="11" xfId="1" applyNumberFormat="1" applyFont="1" applyFill="1" applyBorder="1" applyAlignment="1">
      <alignment horizontal="right"/>
    </xf>
    <xf numFmtId="3" fontId="68" fillId="0" borderId="6" xfId="1" applyNumberFormat="1" applyFont="1" applyFill="1" applyBorder="1" applyAlignment="1">
      <alignment horizontal="right"/>
    </xf>
    <xf numFmtId="3" fontId="18" fillId="0" borderId="3" xfId="2" applyNumberFormat="1" applyFont="1" applyFill="1" applyBorder="1" applyAlignment="1">
      <alignment horizontal="right"/>
    </xf>
    <xf numFmtId="3" fontId="18" fillId="0" borderId="4" xfId="2" applyNumberFormat="1" applyFont="1" applyFill="1" applyBorder="1" applyAlignment="1">
      <alignment horizontal="right"/>
    </xf>
    <xf numFmtId="3" fontId="18" fillId="0" borderId="6" xfId="2" applyNumberFormat="1" applyFont="1" applyFill="1" applyBorder="1" applyAlignment="1">
      <alignment horizontal="right"/>
    </xf>
    <xf numFmtId="3" fontId="18" fillId="0" borderId="11" xfId="2" applyNumberFormat="1" applyFont="1" applyFill="1" applyBorder="1" applyAlignment="1">
      <alignment horizontal="right"/>
    </xf>
    <xf numFmtId="3" fontId="18" fillId="2" borderId="3" xfId="2" applyNumberFormat="1" applyFont="1" applyFill="1" applyBorder="1" applyAlignment="1">
      <alignment horizontal="right"/>
    </xf>
    <xf numFmtId="3" fontId="18" fillId="2" borderId="4" xfId="2" applyNumberFormat="1" applyFont="1" applyFill="1" applyBorder="1" applyAlignment="1">
      <alignment horizontal="right"/>
    </xf>
    <xf numFmtId="3" fontId="18" fillId="0" borderId="4" xfId="1" applyNumberFormat="1" applyFont="1" applyFill="1" applyBorder="1" applyAlignment="1">
      <alignment horizontal="right"/>
    </xf>
    <xf numFmtId="3" fontId="18" fillId="0" borderId="11" xfId="1" applyNumberFormat="1" applyFont="1" applyFill="1" applyBorder="1" applyAlignment="1">
      <alignment horizontal="right"/>
    </xf>
    <xf numFmtId="3" fontId="18" fillId="2" borderId="0" xfId="1" applyNumberFormat="1" applyFont="1" applyFill="1" applyBorder="1" applyAlignment="1">
      <alignment horizontal="right"/>
    </xf>
    <xf numFmtId="3" fontId="18" fillId="0" borderId="3" xfId="2" applyNumberFormat="1" applyFont="1" applyBorder="1" applyAlignment="1">
      <alignment horizontal="right"/>
    </xf>
    <xf numFmtId="3" fontId="23" fillId="0" borderId="2" xfId="1" applyNumberFormat="1" applyFont="1" applyFill="1" applyBorder="1" applyAlignment="1">
      <alignment horizontal="right"/>
    </xf>
    <xf numFmtId="3" fontId="23" fillId="0" borderId="0" xfId="1" applyNumberFormat="1" applyFont="1" applyFill="1" applyBorder="1" applyAlignment="1">
      <alignment horizontal="right"/>
    </xf>
    <xf numFmtId="3" fontId="18" fillId="0" borderId="3" xfId="2" applyNumberFormat="1" applyFont="1" applyBorder="1" applyAlignment="1">
      <alignment horizontal="left"/>
    </xf>
    <xf numFmtId="0" fontId="14" fillId="0" borderId="0" xfId="1" applyFont="1" applyBorder="1" applyAlignment="1">
      <alignment horizontal="center"/>
    </xf>
    <xf numFmtId="0" fontId="14" fillId="0" borderId="0" xfId="1" applyFont="1" applyFill="1" applyBorder="1" applyAlignment="1">
      <alignment horizontal="center"/>
    </xf>
    <xf numFmtId="3" fontId="14" fillId="0" borderId="0"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Border="1" applyAlignment="1">
      <alignment horizontal="center"/>
    </xf>
    <xf numFmtId="3" fontId="16" fillId="0" borderId="9" xfId="1" applyNumberFormat="1" applyFont="1" applyBorder="1" applyAlignment="1">
      <alignment horizontal="center"/>
    </xf>
    <xf numFmtId="3" fontId="16" fillId="0" borderId="1" xfId="1" applyNumberFormat="1" applyFont="1" applyBorder="1" applyAlignment="1">
      <alignment horizontal="center"/>
    </xf>
    <xf numFmtId="3" fontId="16" fillId="0" borderId="7" xfId="2" applyNumberFormat="1" applyFont="1" applyFill="1" applyBorder="1" applyAlignment="1">
      <alignment horizontal="right"/>
    </xf>
    <xf numFmtId="3" fontId="16" fillId="0" borderId="1" xfId="2" applyNumberFormat="1" applyFont="1" applyFill="1" applyBorder="1" applyAlignment="1">
      <alignment horizontal="right"/>
    </xf>
    <xf numFmtId="3" fontId="16" fillId="0" borderId="2" xfId="1" applyNumberFormat="1" applyFont="1" applyFill="1" applyBorder="1" applyAlignment="1">
      <alignment horizontal="right"/>
    </xf>
    <xf numFmtId="3" fontId="16" fillId="0" borderId="4" xfId="1" applyNumberFormat="1" applyFont="1" applyFill="1" applyBorder="1" applyAlignment="1">
      <alignment horizontal="right"/>
    </xf>
    <xf numFmtId="3" fontId="16" fillId="0" borderId="3" xfId="2" applyNumberFormat="1" applyFont="1" applyFill="1" applyBorder="1" applyAlignment="1">
      <alignment horizontal="right"/>
    </xf>
    <xf numFmtId="3" fontId="16" fillId="0" borderId="4" xfId="2" applyNumberFormat="1" applyFont="1" applyFill="1" applyBorder="1" applyAlignment="1">
      <alignment horizontal="right"/>
    </xf>
    <xf numFmtId="3" fontId="16" fillId="0" borderId="6" xfId="2" applyNumberFormat="1" applyFont="1" applyFill="1" applyBorder="1" applyAlignment="1">
      <alignment horizontal="right"/>
    </xf>
    <xf numFmtId="3" fontId="16" fillId="0" borderId="11" xfId="2" applyNumberFormat="1" applyFont="1" applyFill="1" applyBorder="1" applyAlignment="1">
      <alignment horizontal="right"/>
    </xf>
    <xf numFmtId="3" fontId="16" fillId="0" borderId="5" xfId="1" applyNumberFormat="1" applyFont="1" applyFill="1" applyBorder="1" applyAlignment="1">
      <alignment horizontal="right"/>
    </xf>
    <xf numFmtId="3" fontId="16" fillId="0" borderId="11" xfId="1" applyNumberFormat="1" applyFont="1" applyFill="1" applyBorder="1" applyAlignment="1">
      <alignment horizontal="right"/>
    </xf>
    <xf numFmtId="3" fontId="16" fillId="0" borderId="7" xfId="1" applyNumberFormat="1" applyFont="1" applyFill="1" applyBorder="1" applyAlignment="1">
      <alignment horizontal="right"/>
    </xf>
    <xf numFmtId="3" fontId="16" fillId="0" borderId="1" xfId="1" applyNumberFormat="1" applyFont="1" applyFill="1" applyBorder="1" applyAlignment="1">
      <alignment horizontal="right"/>
    </xf>
    <xf numFmtId="3" fontId="16" fillId="0" borderId="15" xfId="1" applyNumberFormat="1" applyFont="1" applyFill="1" applyBorder="1" applyAlignment="1">
      <alignment horizontal="right"/>
    </xf>
    <xf numFmtId="3" fontId="16" fillId="2" borderId="2" xfId="1" applyNumberFormat="1" applyFont="1" applyFill="1" applyBorder="1" applyAlignment="1">
      <alignment horizontal="right"/>
    </xf>
    <xf numFmtId="3" fontId="16" fillId="2" borderId="0" xfId="1" applyNumberFormat="1" applyFont="1" applyFill="1" applyBorder="1" applyAlignment="1">
      <alignment horizontal="right"/>
    </xf>
    <xf numFmtId="3" fontId="16" fillId="2" borderId="4" xfId="1" applyNumberFormat="1" applyFont="1" applyFill="1" applyBorder="1" applyAlignment="1">
      <alignment horizontal="right"/>
    </xf>
    <xf numFmtId="3" fontId="16" fillId="2" borderId="5" xfId="1" applyNumberFormat="1" applyFont="1" applyFill="1" applyBorder="1" applyAlignment="1">
      <alignment horizontal="right"/>
    </xf>
    <xf numFmtId="3" fontId="16" fillId="2" borderId="11" xfId="1" applyNumberFormat="1" applyFont="1" applyFill="1" applyBorder="1" applyAlignment="1">
      <alignment horizontal="right"/>
    </xf>
    <xf numFmtId="14" fontId="17" fillId="0" borderId="10" xfId="1" applyNumberFormat="1" applyFont="1" applyBorder="1" applyAlignment="1"/>
    <xf numFmtId="0" fontId="0" fillId="0" borderId="8" xfId="0" applyBorder="1" applyAlignment="1"/>
    <xf numFmtId="3" fontId="16" fillId="0" borderId="2" xfId="1" quotePrefix="1" applyNumberFormat="1" applyFont="1" applyFill="1" applyBorder="1" applyAlignment="1">
      <alignment horizontal="right"/>
    </xf>
    <xf numFmtId="0" fontId="57" fillId="0" borderId="0" xfId="1" applyFont="1" applyFill="1"/>
    <xf numFmtId="0" fontId="15" fillId="0" borderId="0" xfId="1" applyFont="1" applyFill="1" applyAlignment="1">
      <alignment horizontal="right" vertical="top"/>
    </xf>
    <xf numFmtId="0" fontId="15" fillId="0" borderId="0" xfId="1" applyFont="1" applyAlignment="1">
      <alignment vertical="top" wrapText="1"/>
    </xf>
    <xf numFmtId="0" fontId="15" fillId="0" borderId="0" xfId="1" applyFont="1" applyFill="1" applyAlignment="1">
      <alignment horizontal="right"/>
    </xf>
    <xf numFmtId="0" fontId="15" fillId="0" borderId="0" xfId="1" applyFont="1" applyFill="1" applyAlignment="1">
      <alignment vertical="top" wrapText="1"/>
    </xf>
    <xf numFmtId="0" fontId="24" fillId="0" borderId="0" xfId="1" applyFont="1" applyFill="1"/>
    <xf numFmtId="0" fontId="15" fillId="0" borderId="0" xfId="1" applyFont="1" applyFill="1" applyAlignment="1">
      <alignment wrapText="1"/>
    </xf>
    <xf numFmtId="0" fontId="14" fillId="0" borderId="0" xfId="1" applyFont="1" applyFill="1" applyAlignment="1">
      <alignment horizontal="left"/>
    </xf>
    <xf numFmtId="3" fontId="31" fillId="4" borderId="3" xfId="0" applyNumberFormat="1" applyFont="1" applyFill="1" applyBorder="1" applyAlignment="1" applyProtection="1">
      <alignment horizontal="right"/>
      <protection locked="0"/>
    </xf>
    <xf numFmtId="0" fontId="69" fillId="0" borderId="0" xfId="0" applyFont="1" applyAlignment="1">
      <alignment horizontal="left" vertical="center" readingOrder="1"/>
    </xf>
    <xf numFmtId="0" fontId="18" fillId="0" borderId="0" xfId="1" applyFont="1" applyFill="1" applyBorder="1" applyAlignment="1">
      <alignment horizontal="left"/>
    </xf>
    <xf numFmtId="0" fontId="71" fillId="0" borderId="0" xfId="1" applyFont="1" applyFill="1" applyAlignment="1">
      <alignment horizontal="left"/>
    </xf>
    <xf numFmtId="0" fontId="19" fillId="0" borderId="0" xfId="1" applyFont="1" applyFill="1"/>
    <xf numFmtId="0" fontId="43" fillId="9" borderId="0" xfId="3" applyFont="1" applyFill="1" applyAlignment="1" applyProtection="1"/>
    <xf numFmtId="0" fontId="65" fillId="0" borderId="0" xfId="0" applyFont="1" applyFill="1"/>
    <xf numFmtId="0" fontId="66" fillId="0" borderId="0" xfId="0" applyFont="1" applyFill="1"/>
    <xf numFmtId="0" fontId="43" fillId="0" borderId="0" xfId="0" applyFont="1" applyFill="1"/>
    <xf numFmtId="0" fontId="41" fillId="0" borderId="0" xfId="0" applyFont="1" applyFill="1"/>
    <xf numFmtId="0" fontId="39" fillId="0" borderId="0" xfId="0" applyFont="1" applyFill="1"/>
    <xf numFmtId="0" fontId="43" fillId="0" borderId="0" xfId="3" applyFont="1" applyFill="1" applyAlignment="1" applyProtection="1"/>
    <xf numFmtId="3" fontId="16" fillId="3" borderId="7" xfId="1" applyNumberFormat="1" applyFont="1" applyFill="1" applyBorder="1" applyAlignment="1">
      <alignment horizontal="right"/>
    </xf>
    <xf numFmtId="0" fontId="72" fillId="0" borderId="0" xfId="1" applyFont="1" applyBorder="1" applyAlignment="1">
      <alignment horizontal="left"/>
    </xf>
    <xf numFmtId="3" fontId="68" fillId="0" borderId="2" xfId="1" applyNumberFormat="1" applyFont="1" applyFill="1" applyBorder="1" applyAlignment="1">
      <alignment horizontal="right"/>
    </xf>
    <xf numFmtId="3" fontId="60" fillId="0" borderId="2" xfId="1" applyNumberFormat="1" applyFont="1" applyFill="1" applyBorder="1" applyAlignment="1">
      <alignment horizontal="right"/>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4" xfId="1" applyNumberFormat="1" applyFont="1" applyFill="1" applyBorder="1" applyAlignment="1">
      <alignment horizontal="center"/>
    </xf>
    <xf numFmtId="171" fontId="16" fillId="0" borderId="7" xfId="846" applyFont="1" applyFill="1" applyBorder="1" applyAlignment="1">
      <alignment horizontal="right"/>
    </xf>
    <xf numFmtId="171" fontId="16" fillId="0" borderId="1" xfId="846" applyFont="1" applyFill="1" applyBorder="1" applyAlignment="1">
      <alignment horizontal="right"/>
    </xf>
    <xf numFmtId="171" fontId="18" fillId="0" borderId="3" xfId="846" applyFont="1" applyBorder="1" applyAlignment="1">
      <alignment horizontal="right"/>
    </xf>
    <xf numFmtId="171" fontId="18" fillId="0" borderId="3" xfId="846" applyFont="1" applyFill="1" applyBorder="1" applyAlignment="1">
      <alignment horizontal="right"/>
    </xf>
    <xf numFmtId="171" fontId="18" fillId="0" borderId="4" xfId="846" applyFont="1" applyFill="1" applyBorder="1" applyAlignment="1">
      <alignment horizontal="right"/>
    </xf>
    <xf numFmtId="171" fontId="16" fillId="0" borderId="3" xfId="846" applyFont="1" applyFill="1" applyBorder="1" applyAlignment="1">
      <alignment horizontal="right"/>
    </xf>
    <xf numFmtId="171" fontId="16" fillId="0" borderId="4" xfId="846" applyFont="1" applyFill="1" applyBorder="1" applyAlignment="1">
      <alignment horizontal="right"/>
    </xf>
    <xf numFmtId="171" fontId="16" fillId="0" borderId="6" xfId="846" applyFont="1" applyFill="1" applyBorder="1" applyAlignment="1">
      <alignment horizontal="right"/>
    </xf>
    <xf numFmtId="171" fontId="16" fillId="0" borderId="11" xfId="846" applyFont="1" applyFill="1" applyBorder="1" applyAlignment="1">
      <alignment horizontal="right"/>
    </xf>
    <xf numFmtId="171" fontId="18" fillId="3" borderId="7" xfId="846" applyFont="1" applyFill="1" applyBorder="1" applyAlignment="1">
      <alignment horizontal="right"/>
    </xf>
    <xf numFmtId="171" fontId="18" fillId="3" borderId="2" xfId="846" applyFont="1" applyFill="1" applyBorder="1" applyAlignment="1">
      <alignment horizontal="right"/>
    </xf>
    <xf numFmtId="171" fontId="16" fillId="0" borderId="2" xfId="846" applyFont="1" applyFill="1" applyBorder="1" applyAlignment="1">
      <alignment horizontal="right"/>
    </xf>
    <xf numFmtId="171" fontId="18" fillId="3" borderId="3" xfId="846" applyFont="1" applyFill="1" applyBorder="1" applyAlignment="1">
      <alignment horizontal="right"/>
    </xf>
    <xf numFmtId="171" fontId="18" fillId="2" borderId="3" xfId="846" applyFont="1" applyFill="1" applyBorder="1" applyAlignment="1">
      <alignment horizontal="right"/>
    </xf>
    <xf numFmtId="171" fontId="18" fillId="2" borderId="4" xfId="846" applyFont="1" applyFill="1" applyBorder="1" applyAlignment="1">
      <alignment horizontal="right"/>
    </xf>
    <xf numFmtId="171" fontId="18" fillId="0" borderId="2" xfId="846" applyFont="1" applyFill="1" applyBorder="1" applyAlignment="1">
      <alignment horizontal="right"/>
    </xf>
    <xf numFmtId="171" fontId="18" fillId="3" borderId="6" xfId="846" applyFont="1" applyFill="1" applyBorder="1" applyAlignment="1">
      <alignment horizontal="right"/>
    </xf>
    <xf numFmtId="171" fontId="16" fillId="0" borderId="5" xfId="846" applyFont="1" applyFill="1" applyBorder="1" applyAlignment="1">
      <alignment horizontal="right"/>
    </xf>
    <xf numFmtId="171" fontId="16" fillId="0" borderId="15" xfId="846" applyFont="1" applyFill="1" applyBorder="1" applyAlignment="1">
      <alignment horizontal="right"/>
    </xf>
    <xf numFmtId="171" fontId="16" fillId="2" borderId="2" xfId="846" applyFont="1" applyFill="1" applyBorder="1" applyAlignment="1">
      <alignment horizontal="right"/>
    </xf>
    <xf numFmtId="171" fontId="16" fillId="2" borderId="0" xfId="846" applyFont="1" applyFill="1" applyBorder="1" applyAlignment="1">
      <alignment horizontal="right"/>
    </xf>
    <xf numFmtId="171" fontId="16" fillId="2" borderId="4" xfId="846" applyFont="1" applyFill="1" applyBorder="1" applyAlignment="1">
      <alignment horizontal="right"/>
    </xf>
    <xf numFmtId="171" fontId="16" fillId="2" borderId="5" xfId="846" applyFont="1" applyFill="1" applyBorder="1" applyAlignment="1">
      <alignment horizontal="right"/>
    </xf>
    <xf numFmtId="171" fontId="16" fillId="2" borderId="11" xfId="846" applyFont="1" applyFill="1" applyBorder="1" applyAlignment="1">
      <alignment horizontal="right"/>
    </xf>
    <xf numFmtId="171" fontId="18" fillId="0" borderId="6" xfId="846" applyFont="1" applyFill="1" applyBorder="1" applyAlignment="1">
      <alignment horizontal="right"/>
    </xf>
    <xf numFmtId="171" fontId="18" fillId="0" borderId="11" xfId="846" applyFont="1" applyFill="1" applyBorder="1" applyAlignment="1">
      <alignment horizontal="right"/>
    </xf>
    <xf numFmtId="171" fontId="68" fillId="0" borderId="2" xfId="846" applyFont="1" applyFill="1" applyBorder="1" applyAlignment="1">
      <alignment horizontal="right"/>
    </xf>
    <xf numFmtId="171" fontId="18" fillId="0" borderId="0" xfId="846" applyFont="1" applyFill="1" applyBorder="1" applyAlignment="1">
      <alignment horizontal="right"/>
    </xf>
    <xf numFmtId="171" fontId="23" fillId="0" borderId="2" xfId="846" applyFont="1" applyFill="1" applyBorder="1" applyAlignment="1">
      <alignment horizontal="right"/>
    </xf>
    <xf numFmtId="171" fontId="23" fillId="0" borderId="0" xfId="846" applyFont="1" applyFill="1" applyBorder="1" applyAlignment="1">
      <alignment horizontal="right"/>
    </xf>
    <xf numFmtId="171" fontId="18" fillId="2" borderId="2" xfId="846" applyFont="1" applyFill="1" applyBorder="1" applyAlignment="1">
      <alignment horizontal="right"/>
    </xf>
    <xf numFmtId="171" fontId="18" fillId="2" borderId="0" xfId="846" applyFont="1" applyFill="1" applyBorder="1" applyAlignment="1">
      <alignment horizontal="right"/>
    </xf>
    <xf numFmtId="171" fontId="16" fillId="0" borderId="0" xfId="846" applyFont="1" applyFill="1" applyBorder="1" applyAlignment="1">
      <alignment horizontal="right"/>
    </xf>
    <xf numFmtId="171" fontId="18" fillId="3" borderId="5" xfId="846" applyFont="1" applyFill="1" applyBorder="1" applyAlignment="1">
      <alignment horizontal="right"/>
    </xf>
    <xf numFmtId="171" fontId="18" fillId="3" borderId="0" xfId="846" applyFont="1" applyFill="1" applyBorder="1" applyAlignment="1">
      <alignment horizontal="right"/>
    </xf>
    <xf numFmtId="171" fontId="18" fillId="3" borderId="1" xfId="846" applyFont="1" applyFill="1" applyBorder="1" applyAlignment="1">
      <alignment horizontal="right"/>
    </xf>
    <xf numFmtId="171" fontId="18" fillId="3" borderId="4" xfId="846" applyFont="1" applyFill="1" applyBorder="1" applyAlignment="1">
      <alignment horizontal="right"/>
    </xf>
    <xf numFmtId="171" fontId="18" fillId="3" borderId="11" xfId="846" applyFont="1" applyFill="1" applyBorder="1" applyAlignment="1">
      <alignment horizontal="right"/>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6" fillId="0" borderId="9" xfId="1" applyNumberFormat="1" applyFont="1" applyBorder="1" applyAlignment="1">
      <alignment horizontal="center"/>
    </xf>
    <xf numFmtId="165" fontId="31" fillId="0" borderId="3" xfId="0" applyNumberFormat="1" applyFont="1" applyBorder="1"/>
    <xf numFmtId="165" fontId="46" fillId="0" borderId="3" xfId="0" applyNumberFormat="1" applyFont="1" applyBorder="1"/>
    <xf numFmtId="165" fontId="31" fillId="0" borderId="3" xfId="0" applyNumberFormat="1" applyFont="1" applyFill="1" applyBorder="1"/>
    <xf numFmtId="165" fontId="46" fillId="0" borderId="6" xfId="0" applyNumberFormat="1" applyFont="1" applyBorder="1"/>
    <xf numFmtId="172" fontId="18" fillId="3" borderId="2" xfId="846" applyNumberFormat="1" applyFont="1" applyFill="1" applyBorder="1" applyAlignment="1">
      <alignment horizontal="right"/>
    </xf>
    <xf numFmtId="172" fontId="18" fillId="3" borderId="3" xfId="846" applyNumberFormat="1" applyFont="1" applyFill="1" applyBorder="1" applyAlignment="1">
      <alignment horizontal="right"/>
    </xf>
    <xf numFmtId="172" fontId="18" fillId="3" borderId="6" xfId="846" applyNumberFormat="1" applyFont="1" applyFill="1" applyBorder="1" applyAlignment="1">
      <alignment horizontal="right"/>
    </xf>
    <xf numFmtId="165" fontId="16" fillId="0" borderId="6" xfId="1" applyNumberFormat="1" applyFont="1" applyBorder="1" applyAlignment="1">
      <alignment horizontal="center"/>
    </xf>
    <xf numFmtId="165" fontId="18" fillId="3" borderId="0" xfId="1" applyNumberFormat="1" applyFont="1" applyFill="1" applyBorder="1" applyAlignment="1">
      <alignment horizontal="right"/>
    </xf>
    <xf numFmtId="165" fontId="18" fillId="3" borderId="5" xfId="1" applyNumberFormat="1" applyFont="1" applyFill="1" applyBorder="1" applyAlignment="1">
      <alignment horizontal="right"/>
    </xf>
    <xf numFmtId="0" fontId="18" fillId="0" borderId="4" xfId="1" applyFont="1" applyBorder="1"/>
    <xf numFmtId="0" fontId="16" fillId="0" borderId="0" xfId="1" applyFont="1" applyFill="1"/>
    <xf numFmtId="49" fontId="16" fillId="0" borderId="0" xfId="1" applyNumberFormat="1" applyFont="1" applyFill="1" applyBorder="1" applyAlignment="1">
      <alignment horizontal="right"/>
    </xf>
    <xf numFmtId="49" fontId="16" fillId="0" borderId="0" xfId="1" applyNumberFormat="1" applyFont="1" applyFill="1" applyBorder="1" applyAlignment="1">
      <alignment horizontal="center"/>
    </xf>
    <xf numFmtId="3" fontId="16" fillId="0" borderId="0" xfId="1" quotePrefix="1" applyNumberFormat="1" applyFont="1" applyFill="1" applyBorder="1" applyAlignment="1">
      <alignment horizontal="center"/>
    </xf>
    <xf numFmtId="171" fontId="16" fillId="3" borderId="7" xfId="846" applyFont="1" applyFill="1" applyBorder="1" applyAlignment="1">
      <alignment horizontal="right"/>
    </xf>
    <xf numFmtId="172" fontId="16" fillId="3" borderId="2" xfId="846" applyNumberFormat="1" applyFont="1" applyFill="1" applyBorder="1" applyAlignment="1">
      <alignment horizontal="right"/>
    </xf>
    <xf numFmtId="3" fontId="16" fillId="0" borderId="0" xfId="1" applyNumberFormat="1" applyFont="1" applyFill="1"/>
    <xf numFmtId="168" fontId="16" fillId="3" borderId="7" xfId="1" applyNumberFormat="1" applyFont="1" applyFill="1" applyBorder="1" applyAlignment="1">
      <alignment horizontal="right"/>
    </xf>
    <xf numFmtId="168" fontId="16" fillId="3" borderId="3" xfId="1" applyNumberFormat="1" applyFont="1" applyFill="1" applyBorder="1" applyAlignment="1">
      <alignment horizontal="right"/>
    </xf>
    <xf numFmtId="168" fontId="16" fillId="3" borderId="6" xfId="1" applyNumberFormat="1" applyFont="1" applyFill="1" applyBorder="1" applyAlignment="1">
      <alignment horizontal="right"/>
    </xf>
    <xf numFmtId="3" fontId="16" fillId="3" borderId="0" xfId="1" applyNumberFormat="1" applyFont="1" applyFill="1" applyBorder="1" applyAlignment="1">
      <alignment horizontal="right"/>
    </xf>
    <xf numFmtId="3" fontId="16" fillId="3" borderId="1" xfId="1" applyNumberFormat="1" applyFont="1" applyFill="1" applyBorder="1" applyAlignment="1">
      <alignment horizontal="right"/>
    </xf>
    <xf numFmtId="3" fontId="16" fillId="3" borderId="4" xfId="1" applyNumberFormat="1" applyFont="1" applyFill="1" applyBorder="1" applyAlignment="1">
      <alignment horizontal="right"/>
    </xf>
    <xf numFmtId="3" fontId="16" fillId="3" borderId="11" xfId="1" applyNumberFormat="1" applyFont="1" applyFill="1" applyBorder="1" applyAlignment="1">
      <alignment horizontal="right"/>
    </xf>
    <xf numFmtId="165" fontId="16" fillId="3" borderId="0" xfId="1" applyNumberFormat="1" applyFont="1" applyFill="1" applyBorder="1" applyAlignment="1">
      <alignment horizontal="right"/>
    </xf>
    <xf numFmtId="0" fontId="14" fillId="0" borderId="0" xfId="1" applyFont="1" applyBorder="1" applyAlignment="1">
      <alignment horizontal="center"/>
    </xf>
    <xf numFmtId="3" fontId="61" fillId="4" borderId="3" xfId="0" applyNumberFormat="1" applyFont="1" applyFill="1" applyBorder="1" applyAlignment="1" applyProtection="1">
      <alignment horizontal="right"/>
      <protection locked="0"/>
    </xf>
    <xf numFmtId="3" fontId="31" fillId="4" borderId="4" xfId="0" applyNumberFormat="1" applyFont="1" applyFill="1" applyBorder="1" applyAlignment="1" applyProtection="1">
      <alignment horizontal="right"/>
      <protection locked="0"/>
    </xf>
    <xf numFmtId="3" fontId="31" fillId="4" borderId="4" xfId="0" applyNumberFormat="1" applyFont="1" applyFill="1" applyBorder="1" applyAlignment="1" applyProtection="1">
      <alignment horizontal="right"/>
    </xf>
    <xf numFmtId="3" fontId="46" fillId="4" borderId="3" xfId="0" applyNumberFormat="1" applyFont="1" applyFill="1" applyBorder="1" applyAlignment="1" applyProtection="1">
      <alignment horizontal="right"/>
      <protection locked="0"/>
    </xf>
    <xf numFmtId="3" fontId="46" fillId="0" borderId="3" xfId="0" applyNumberFormat="1" applyFont="1" applyBorder="1" applyAlignment="1" applyProtection="1">
      <alignment horizontal="right"/>
      <protection locked="0"/>
    </xf>
    <xf numFmtId="3" fontId="46" fillId="0" borderId="3" xfId="0" applyNumberFormat="1" applyFont="1" applyFill="1" applyBorder="1" applyAlignment="1" applyProtection="1">
      <alignment horizontal="right"/>
      <protection locked="0"/>
    </xf>
    <xf numFmtId="3" fontId="31" fillId="0" borderId="4" xfId="0" applyNumberFormat="1" applyFont="1" applyFill="1" applyBorder="1" applyAlignment="1" applyProtection="1">
      <alignment horizontal="right"/>
      <protection locked="0"/>
    </xf>
    <xf numFmtId="3" fontId="31" fillId="0" borderId="3" xfId="0" applyNumberFormat="1" applyFont="1" applyFill="1" applyBorder="1" applyAlignment="1" applyProtection="1">
      <alignment horizontal="right"/>
      <protection locked="0"/>
    </xf>
    <xf numFmtId="3" fontId="31" fillId="0" borderId="4" xfId="0" applyNumberFormat="1" applyFont="1" applyFill="1" applyBorder="1" applyAlignment="1" applyProtection="1">
      <alignment horizontal="right"/>
    </xf>
    <xf numFmtId="3" fontId="31" fillId="0" borderId="3" xfId="845" applyNumberFormat="1" applyFont="1" applyFill="1" applyBorder="1" applyAlignment="1" applyProtection="1">
      <alignment horizontal="right"/>
      <protection locked="0"/>
    </xf>
    <xf numFmtId="3" fontId="31" fillId="0" borderId="3" xfId="0" applyNumberFormat="1" applyFont="1" applyBorder="1" applyAlignment="1" applyProtection="1">
      <alignment horizontal="right"/>
      <protection locked="0"/>
    </xf>
    <xf numFmtId="3" fontId="31" fillId="4" borderId="3" xfId="845" applyNumberFormat="1" applyFont="1" applyFill="1" applyBorder="1" applyAlignment="1" applyProtection="1">
      <alignment horizontal="right"/>
      <protection locked="0"/>
    </xf>
    <xf numFmtId="3" fontId="46" fillId="4" borderId="4" xfId="0" applyNumberFormat="1" applyFont="1" applyFill="1" applyBorder="1" applyAlignment="1" applyProtection="1">
      <alignment horizontal="right"/>
      <protection locked="0"/>
    </xf>
    <xf numFmtId="3" fontId="46" fillId="4" borderId="4" xfId="0" applyNumberFormat="1" applyFont="1" applyFill="1" applyBorder="1" applyAlignment="1" applyProtection="1">
      <alignment horizontal="right"/>
    </xf>
    <xf numFmtId="3" fontId="46" fillId="4" borderId="3" xfId="845" applyNumberFormat="1" applyFont="1" applyFill="1" applyBorder="1" applyAlignment="1" applyProtection="1">
      <alignment horizontal="right"/>
      <protection locked="0"/>
    </xf>
    <xf numFmtId="3" fontId="46" fillId="0" borderId="4" xfId="0" applyNumberFormat="1" applyFont="1" applyFill="1" applyBorder="1" applyAlignment="1" applyProtection="1">
      <alignment horizontal="right"/>
    </xf>
    <xf numFmtId="3" fontId="46" fillId="0" borderId="6" xfId="0" applyNumberFormat="1" applyFont="1" applyBorder="1" applyAlignment="1" applyProtection="1">
      <alignment horizontal="right"/>
      <protection locked="0"/>
    </xf>
    <xf numFmtId="3" fontId="46" fillId="4" borderId="6" xfId="0" applyNumberFormat="1" applyFont="1" applyFill="1" applyBorder="1" applyAlignment="1" applyProtection="1">
      <alignment horizontal="right"/>
      <protection locked="0"/>
    </xf>
    <xf numFmtId="3" fontId="46" fillId="4" borderId="6" xfId="845" applyNumberFormat="1" applyFont="1" applyFill="1" applyBorder="1" applyAlignment="1" applyProtection="1">
      <alignment horizontal="right"/>
      <protection locked="0"/>
    </xf>
    <xf numFmtId="3" fontId="51" fillId="4" borderId="11" xfId="0" applyNumberFormat="1" applyFont="1" applyFill="1" applyBorder="1" applyProtection="1">
      <protection locked="0"/>
    </xf>
    <xf numFmtId="169" fontId="16" fillId="0" borderId="6" xfId="0" applyNumberFormat="1" applyFont="1" applyFill="1" applyBorder="1" applyAlignment="1" applyProtection="1">
      <alignment horizontal="center"/>
      <protection locked="0"/>
    </xf>
    <xf numFmtId="3" fontId="61" fillId="4" borderId="4" xfId="0" applyNumberFormat="1" applyFont="1" applyFill="1" applyBorder="1" applyProtection="1">
      <protection locked="0"/>
    </xf>
    <xf numFmtId="0" fontId="46" fillId="0" borderId="4" xfId="0" applyFont="1" applyFill="1" applyBorder="1" applyProtection="1">
      <protection locked="0"/>
    </xf>
    <xf numFmtId="3" fontId="46" fillId="4" borderId="4" xfId="0" applyNumberFormat="1" applyFont="1" applyFill="1" applyBorder="1" applyProtection="1">
      <protection locked="0"/>
    </xf>
    <xf numFmtId="0" fontId="31" fillId="0" borderId="4" xfId="0" applyFont="1" applyFill="1" applyBorder="1" applyProtection="1">
      <protection locked="0"/>
    </xf>
    <xf numFmtId="0" fontId="31" fillId="0" borderId="3" xfId="0" applyFont="1" applyFill="1" applyBorder="1" applyProtection="1">
      <protection locked="0"/>
    </xf>
    <xf numFmtId="0" fontId="20" fillId="0" borderId="3" xfId="0" applyFont="1" applyFill="1" applyBorder="1" applyProtection="1">
      <protection locked="0"/>
    </xf>
    <xf numFmtId="0" fontId="46" fillId="0" borderId="11" xfId="0" applyFont="1" applyFill="1" applyBorder="1" applyProtection="1">
      <protection locked="0"/>
    </xf>
    <xf numFmtId="0" fontId="31" fillId="0" borderId="0" xfId="0" applyFont="1" applyProtection="1">
      <protection locked="0"/>
    </xf>
    <xf numFmtId="0" fontId="0" fillId="0" borderId="0" xfId="0" applyProtection="1">
      <protection locked="0"/>
    </xf>
    <xf numFmtId="0" fontId="20" fillId="0" borderId="0" xfId="0" applyFont="1" applyProtection="1">
      <protection locked="0"/>
    </xf>
    <xf numFmtId="3" fontId="31" fillId="0" borderId="0" xfId="0" applyNumberFormat="1" applyFont="1" applyBorder="1" applyProtection="1">
      <protection locked="0"/>
    </xf>
    <xf numFmtId="0" fontId="62" fillId="0" borderId="0" xfId="0" applyFont="1" applyProtection="1">
      <protection locked="0"/>
    </xf>
    <xf numFmtId="3" fontId="63" fillId="0" borderId="0" xfId="0" applyNumberFormat="1" applyFont="1" applyBorder="1" applyProtection="1">
      <protection locked="0"/>
    </xf>
    <xf numFmtId="0" fontId="42" fillId="0" borderId="0" xfId="0" applyFont="1" applyProtection="1">
      <protection locked="0"/>
    </xf>
    <xf numFmtId="0" fontId="18" fillId="0" borderId="0" xfId="3" applyFont="1" applyFill="1" applyAlignment="1" applyProtection="1">
      <protection locked="0"/>
    </xf>
    <xf numFmtId="0" fontId="58" fillId="0" borderId="0" xfId="0" applyFont="1" applyProtection="1">
      <protection locked="0"/>
    </xf>
    <xf numFmtId="3" fontId="59" fillId="4" borderId="12" xfId="0" applyNumberFormat="1" applyFont="1" applyFill="1" applyBorder="1" applyProtection="1">
      <protection locked="0"/>
    </xf>
    <xf numFmtId="3" fontId="60" fillId="4" borderId="0" xfId="0" applyNumberFormat="1" applyFont="1" applyFill="1" applyBorder="1" applyProtection="1">
      <protection locked="0"/>
    </xf>
    <xf numFmtId="14" fontId="14" fillId="0" borderId="7" xfId="0" applyNumberFormat="1" applyFont="1" applyFill="1" applyBorder="1" applyAlignment="1" applyProtection="1">
      <alignment horizontal="left"/>
      <protection locked="0"/>
    </xf>
    <xf numFmtId="3" fontId="14" fillId="0" borderId="8" xfId="0" quotePrefix="1" applyNumberFormat="1" applyFont="1" applyFill="1" applyBorder="1" applyProtection="1">
      <protection locked="0"/>
    </xf>
    <xf numFmtId="3" fontId="14" fillId="0" borderId="9" xfId="0" quotePrefix="1" applyNumberFormat="1" applyFont="1" applyFill="1" applyBorder="1" applyProtection="1">
      <protection locked="0"/>
    </xf>
    <xf numFmtId="3" fontId="14" fillId="0" borderId="10" xfId="0" quotePrefix="1" applyNumberFormat="1" applyFont="1" applyFill="1" applyBorder="1" applyProtection="1">
      <protection locked="0"/>
    </xf>
    <xf numFmtId="0" fontId="18" fillId="0" borderId="8" xfId="0" applyFont="1" applyBorder="1" applyProtection="1">
      <protection locked="0"/>
    </xf>
    <xf numFmtId="0" fontId="18" fillId="0" borderId="10" xfId="0" applyFont="1" applyBorder="1" applyProtection="1">
      <protection locked="0"/>
    </xf>
    <xf numFmtId="0" fontId="18" fillId="0" borderId="9" xfId="0" applyFont="1" applyBorder="1" applyProtection="1">
      <protection locked="0"/>
    </xf>
    <xf numFmtId="0" fontId="18" fillId="4" borderId="0" xfId="0" applyFont="1" applyFill="1" applyBorder="1" applyProtection="1">
      <protection locked="0"/>
    </xf>
    <xf numFmtId="3" fontId="46" fillId="0" borderId="1" xfId="0" applyNumberFormat="1" applyFont="1" applyFill="1" applyBorder="1" applyProtection="1">
      <protection locked="0"/>
    </xf>
    <xf numFmtId="0" fontId="46" fillId="4" borderId="0" xfId="0" applyNumberFormat="1" applyFont="1" applyFill="1" applyBorder="1" applyAlignment="1" applyProtection="1">
      <alignment horizontal="center"/>
      <protection locked="0"/>
    </xf>
    <xf numFmtId="3" fontId="46" fillId="0" borderId="4" xfId="0" applyNumberFormat="1" applyFont="1" applyFill="1" applyBorder="1" applyProtection="1">
      <protection locked="0"/>
    </xf>
    <xf numFmtId="0" fontId="16" fillId="0" borderId="7" xfId="0" applyNumberFormat="1" applyFont="1" applyFill="1" applyBorder="1" applyAlignment="1" applyProtection="1">
      <alignment horizontal="center"/>
      <protection locked="0"/>
    </xf>
    <xf numFmtId="169" fontId="14" fillId="4" borderId="0" xfId="0" applyNumberFormat="1" applyFont="1" applyFill="1" applyBorder="1" applyAlignment="1" applyProtection="1">
      <alignment horizontal="center"/>
      <protection locked="0"/>
    </xf>
    <xf numFmtId="0" fontId="14" fillId="4" borderId="0" xfId="0" applyNumberFormat="1" applyFont="1" applyFill="1" applyBorder="1" applyAlignment="1" applyProtection="1">
      <alignment horizontal="center"/>
      <protection locked="0"/>
    </xf>
    <xf numFmtId="0" fontId="20" fillId="0" borderId="0" xfId="0" applyFont="1" applyFill="1" applyProtection="1">
      <protection locked="0"/>
    </xf>
    <xf numFmtId="0" fontId="50" fillId="0" borderId="0" xfId="0" applyFont="1" applyProtection="1">
      <protection locked="0"/>
    </xf>
    <xf numFmtId="0" fontId="15" fillId="0" borderId="0" xfId="0" applyFont="1" applyProtection="1">
      <protection locked="0"/>
    </xf>
    <xf numFmtId="0" fontId="64" fillId="0" borderId="0" xfId="0" applyFont="1" applyProtection="1">
      <protection locked="0"/>
    </xf>
    <xf numFmtId="0" fontId="42" fillId="0" borderId="0" xfId="1" applyFont="1" applyProtection="1">
      <protection locked="0"/>
    </xf>
    <xf numFmtId="0" fontId="58" fillId="0" borderId="0" xfId="1" applyFont="1" applyProtection="1">
      <protection locked="0"/>
    </xf>
    <xf numFmtId="0" fontId="20" fillId="0" borderId="0" xfId="1" applyProtection="1">
      <protection locked="0"/>
    </xf>
    <xf numFmtId="0" fontId="20" fillId="0" borderId="0" xfId="1" applyFont="1" applyProtection="1">
      <protection locked="0"/>
    </xf>
    <xf numFmtId="3" fontId="46" fillId="4" borderId="0" xfId="1" applyNumberFormat="1" applyFont="1" applyFill="1" applyProtection="1">
      <protection locked="0"/>
    </xf>
    <xf numFmtId="3" fontId="16" fillId="4" borderId="0" xfId="1" applyNumberFormat="1" applyFont="1" applyFill="1" applyProtection="1">
      <protection locked="0"/>
    </xf>
    <xf numFmtId="3" fontId="14" fillId="0" borderId="8" xfId="1" quotePrefix="1" applyNumberFormat="1" applyFont="1" applyFill="1" applyBorder="1" applyAlignment="1" applyProtection="1">
      <alignment horizontal="center"/>
      <protection locked="0"/>
    </xf>
    <xf numFmtId="3" fontId="14" fillId="0" borderId="9" xfId="1" quotePrefix="1" applyNumberFormat="1" applyFont="1" applyFill="1" applyBorder="1" applyAlignment="1" applyProtection="1">
      <alignment horizontal="center"/>
      <protection locked="0"/>
    </xf>
    <xf numFmtId="3" fontId="14" fillId="0" borderId="10" xfId="1" quotePrefix="1" applyNumberFormat="1" applyFont="1" applyFill="1" applyBorder="1" applyAlignment="1" applyProtection="1">
      <alignment horizontal="center"/>
      <protection locked="0"/>
    </xf>
    <xf numFmtId="0" fontId="18" fillId="0" borderId="8" xfId="1" applyFont="1" applyBorder="1" applyProtection="1">
      <protection locked="0"/>
    </xf>
    <xf numFmtId="0" fontId="18" fillId="0" borderId="10" xfId="1" applyFont="1" applyBorder="1" applyProtection="1">
      <protection locked="0"/>
    </xf>
    <xf numFmtId="0" fontId="18" fillId="0" borderId="9" xfId="1" applyFont="1" applyBorder="1" applyProtection="1">
      <protection locked="0"/>
    </xf>
    <xf numFmtId="0" fontId="18" fillId="4" borderId="10" xfId="1" applyFont="1" applyFill="1" applyBorder="1" applyProtection="1">
      <protection locked="0"/>
    </xf>
    <xf numFmtId="0" fontId="18" fillId="4" borderId="8" xfId="1" applyFont="1" applyFill="1" applyBorder="1" applyProtection="1">
      <protection locked="0"/>
    </xf>
    <xf numFmtId="0" fontId="18" fillId="4" borderId="9" xfId="1" applyFont="1" applyFill="1" applyBorder="1" applyProtection="1">
      <protection locked="0"/>
    </xf>
    <xf numFmtId="0" fontId="20" fillId="0" borderId="9" xfId="1" applyFont="1" applyBorder="1" applyProtection="1">
      <protection locked="0"/>
    </xf>
    <xf numFmtId="3" fontId="46" fillId="0" borderId="1" xfId="1" applyNumberFormat="1" applyFont="1" applyFill="1" applyBorder="1" applyProtection="1">
      <protection locked="0"/>
    </xf>
    <xf numFmtId="3" fontId="46" fillId="0" borderId="4" xfId="1" applyNumberFormat="1" applyFont="1" applyFill="1" applyBorder="1" applyProtection="1">
      <protection locked="0"/>
    </xf>
    <xf numFmtId="0" fontId="16" fillId="0" borderId="7" xfId="1" applyNumberFormat="1" applyFont="1" applyFill="1" applyBorder="1" applyAlignment="1" applyProtection="1">
      <alignment horizontal="center"/>
      <protection locked="0"/>
    </xf>
    <xf numFmtId="3" fontId="51" fillId="4" borderId="6" xfId="1" applyNumberFormat="1" applyFont="1" applyFill="1" applyBorder="1" applyProtection="1">
      <protection locked="0"/>
    </xf>
    <xf numFmtId="169" fontId="16" fillId="0" borderId="6" xfId="1" applyNumberFormat="1" applyFont="1" applyFill="1" applyBorder="1" applyAlignment="1" applyProtection="1">
      <alignment horizontal="center"/>
      <protection locked="0"/>
    </xf>
    <xf numFmtId="3" fontId="31" fillId="4" borderId="1" xfId="1" applyNumberFormat="1" applyFont="1" applyFill="1" applyBorder="1" applyAlignment="1" applyProtection="1">
      <alignment horizontal="right"/>
      <protection locked="0"/>
    </xf>
    <xf numFmtId="3" fontId="31" fillId="4" borderId="7" xfId="1" applyNumberFormat="1" applyFont="1" applyFill="1" applyBorder="1" applyAlignment="1" applyProtection="1">
      <alignment horizontal="right"/>
      <protection locked="0"/>
    </xf>
    <xf numFmtId="0" fontId="31" fillId="4" borderId="7" xfId="1" applyFont="1" applyFill="1" applyBorder="1" applyAlignment="1" applyProtection="1">
      <alignment horizontal="right"/>
      <protection locked="0"/>
    </xf>
    <xf numFmtId="0" fontId="31" fillId="0" borderId="4" xfId="1" applyFont="1" applyFill="1" applyBorder="1" applyProtection="1">
      <protection locked="0"/>
    </xf>
    <xf numFmtId="3" fontId="31" fillId="4" borderId="4" xfId="1" applyNumberFormat="1" applyFont="1" applyFill="1" applyBorder="1" applyAlignment="1" applyProtection="1">
      <alignment horizontal="right"/>
      <protection locked="0"/>
    </xf>
    <xf numFmtId="3" fontId="31" fillId="4" borderId="3" xfId="1" applyNumberFormat="1" applyFont="1" applyFill="1" applyBorder="1" applyAlignment="1" applyProtection="1">
      <alignment horizontal="right"/>
      <protection locked="0"/>
    </xf>
    <xf numFmtId="3" fontId="31" fillId="4" borderId="4" xfId="15" applyNumberFormat="1" applyFont="1" applyFill="1" applyBorder="1" applyAlignment="1" applyProtection="1">
      <alignment horizontal="right"/>
      <protection locked="0"/>
    </xf>
    <xf numFmtId="0" fontId="31" fillId="4" borderId="3" xfId="1" applyFont="1" applyFill="1" applyBorder="1" applyAlignment="1" applyProtection="1">
      <alignment horizontal="right"/>
      <protection locked="0"/>
    </xf>
    <xf numFmtId="3" fontId="31" fillId="0" borderId="3" xfId="1" applyNumberFormat="1" applyFont="1" applyFill="1" applyBorder="1" applyAlignment="1" applyProtection="1">
      <alignment horizontal="right"/>
      <protection locked="0"/>
    </xf>
    <xf numFmtId="0" fontId="31" fillId="0" borderId="3" xfId="1" applyFont="1" applyBorder="1" applyAlignment="1" applyProtection="1">
      <alignment horizontal="right"/>
      <protection locked="0"/>
    </xf>
    <xf numFmtId="166" fontId="31" fillId="0" borderId="3" xfId="847" applyNumberFormat="1" applyFont="1" applyBorder="1" applyAlignment="1" applyProtection="1">
      <alignment horizontal="right"/>
      <protection locked="0"/>
    </xf>
    <xf numFmtId="3" fontId="31" fillId="10" borderId="3" xfId="1" applyNumberFormat="1" applyFont="1" applyFill="1" applyBorder="1" applyAlignment="1" applyProtection="1">
      <alignment horizontal="right"/>
      <protection locked="0"/>
    </xf>
    <xf numFmtId="170" fontId="31" fillId="0" borderId="3" xfId="847" applyNumberFormat="1" applyFont="1" applyBorder="1" applyAlignment="1" applyProtection="1">
      <alignment horizontal="right"/>
      <protection locked="0"/>
    </xf>
    <xf numFmtId="0" fontId="31" fillId="0" borderId="3" xfId="1" applyFont="1" applyFill="1" applyBorder="1" applyAlignment="1" applyProtection="1">
      <alignment horizontal="right"/>
      <protection locked="0"/>
    </xf>
    <xf numFmtId="166" fontId="31" fillId="4" borderId="4" xfId="847" applyNumberFormat="1" applyFont="1" applyFill="1" applyBorder="1" applyAlignment="1" applyProtection="1">
      <alignment horizontal="right"/>
      <protection locked="0"/>
    </xf>
    <xf numFmtId="166" fontId="31" fillId="4" borderId="3" xfId="847" applyNumberFormat="1" applyFont="1" applyFill="1" applyBorder="1" applyAlignment="1" applyProtection="1">
      <alignment horizontal="right"/>
      <protection locked="0"/>
    </xf>
    <xf numFmtId="0" fontId="20" fillId="0" borderId="0" xfId="1" applyFont="1" applyFill="1" applyProtection="1">
      <protection locked="0"/>
    </xf>
    <xf numFmtId="0" fontId="46" fillId="0" borderId="11" xfId="1" applyFont="1" applyFill="1" applyBorder="1" applyProtection="1">
      <protection locked="0"/>
    </xf>
    <xf numFmtId="3" fontId="46" fillId="4" borderId="6" xfId="1" applyNumberFormat="1" applyFont="1" applyFill="1" applyBorder="1" applyAlignment="1" applyProtection="1">
      <alignment horizontal="right"/>
      <protection locked="0"/>
    </xf>
    <xf numFmtId="0" fontId="50" fillId="0" borderId="0" xfId="1" applyFont="1" applyProtection="1">
      <protection locked="0"/>
    </xf>
    <xf numFmtId="0" fontId="46" fillId="0" borderId="4" xfId="1" applyFont="1" applyFill="1" applyBorder="1" applyProtection="1">
      <protection locked="0"/>
    </xf>
    <xf numFmtId="3" fontId="46" fillId="4" borderId="4" xfId="15" applyNumberFormat="1" applyFont="1" applyFill="1" applyBorder="1" applyAlignment="1" applyProtection="1">
      <alignment horizontal="right"/>
      <protection locked="0"/>
    </xf>
    <xf numFmtId="3" fontId="46" fillId="4" borderId="3" xfId="1" applyNumberFormat="1" applyFont="1" applyFill="1" applyBorder="1" applyAlignment="1" applyProtection="1">
      <alignment horizontal="right"/>
      <protection locked="0"/>
    </xf>
    <xf numFmtId="3" fontId="46" fillId="4" borderId="7" xfId="1" applyNumberFormat="1" applyFont="1" applyFill="1" applyBorder="1" applyAlignment="1" applyProtection="1">
      <alignment horizontal="right"/>
      <protection locked="0"/>
    </xf>
    <xf numFmtId="0" fontId="46" fillId="4" borderId="7" xfId="1" applyFont="1" applyFill="1" applyBorder="1" applyAlignment="1" applyProtection="1">
      <alignment horizontal="right"/>
      <protection locked="0"/>
    </xf>
    <xf numFmtId="0" fontId="46" fillId="4" borderId="15" xfId="1" applyFont="1" applyFill="1" applyBorder="1" applyAlignment="1" applyProtection="1">
      <alignment horizontal="right"/>
      <protection locked="0"/>
    </xf>
    <xf numFmtId="0" fontId="50" fillId="0" borderId="7" xfId="1" applyFont="1" applyBorder="1" applyAlignment="1" applyProtection="1">
      <alignment horizontal="right"/>
      <protection locked="0"/>
    </xf>
    <xf numFmtId="0" fontId="46" fillId="4" borderId="3" xfId="1" applyFont="1" applyFill="1" applyBorder="1" applyAlignment="1" applyProtection="1">
      <alignment horizontal="right"/>
      <protection locked="0"/>
    </xf>
    <xf numFmtId="0" fontId="46" fillId="4" borderId="2" xfId="1" applyFont="1" applyFill="1" applyBorder="1" applyAlignment="1" applyProtection="1">
      <alignment horizontal="right"/>
      <protection locked="0"/>
    </xf>
    <xf numFmtId="0" fontId="50" fillId="0" borderId="3" xfId="1" applyFont="1" applyBorder="1" applyAlignment="1" applyProtection="1">
      <alignment horizontal="right"/>
      <protection locked="0"/>
    </xf>
    <xf numFmtId="0" fontId="31" fillId="4" borderId="2" xfId="1" applyFont="1" applyFill="1" applyBorder="1" applyAlignment="1" applyProtection="1">
      <alignment horizontal="right"/>
      <protection locked="0"/>
    </xf>
    <xf numFmtId="0" fontId="31" fillId="0" borderId="0" xfId="1" applyFont="1" applyProtection="1">
      <protection locked="0"/>
    </xf>
    <xf numFmtId="3" fontId="31" fillId="4" borderId="2" xfId="1" applyNumberFormat="1" applyFont="1" applyFill="1" applyBorder="1" applyAlignment="1" applyProtection="1">
      <alignment horizontal="right"/>
      <protection locked="0"/>
    </xf>
    <xf numFmtId="3" fontId="46" fillId="4" borderId="2" xfId="1" applyNumberFormat="1" applyFont="1" applyFill="1" applyBorder="1" applyAlignment="1" applyProtection="1">
      <alignment horizontal="right"/>
      <protection locked="0"/>
    </xf>
    <xf numFmtId="0" fontId="46" fillId="0" borderId="0" xfId="1" applyFont="1" applyProtection="1">
      <protection locked="0"/>
    </xf>
    <xf numFmtId="3" fontId="46" fillId="4" borderId="11" xfId="15" applyNumberFormat="1" applyFont="1" applyFill="1" applyBorder="1" applyAlignment="1" applyProtection="1">
      <alignment horizontal="right"/>
      <protection locked="0"/>
    </xf>
    <xf numFmtId="0" fontId="46" fillId="4" borderId="6" xfId="1" applyFont="1" applyFill="1" applyBorder="1" applyAlignment="1" applyProtection="1">
      <alignment horizontal="right"/>
      <protection locked="0"/>
    </xf>
    <xf numFmtId="0" fontId="46" fillId="4" borderId="5" xfId="1" applyFont="1" applyFill="1" applyBorder="1" applyAlignment="1" applyProtection="1">
      <alignment horizontal="right"/>
      <protection locked="0"/>
    </xf>
    <xf numFmtId="0" fontId="46" fillId="0" borderId="6" xfId="1" applyFont="1" applyBorder="1" applyAlignment="1" applyProtection="1">
      <alignment horizontal="right"/>
      <protection locked="0"/>
    </xf>
    <xf numFmtId="0" fontId="46" fillId="0" borderId="7" xfId="1" applyFont="1" applyFill="1" applyBorder="1" applyProtection="1">
      <protection locked="0"/>
    </xf>
    <xf numFmtId="3" fontId="46" fillId="4" borderId="1" xfId="1" applyNumberFormat="1" applyFont="1" applyFill="1" applyBorder="1" applyAlignment="1" applyProtection="1">
      <alignment horizontal="right"/>
      <protection locked="0"/>
    </xf>
    <xf numFmtId="0" fontId="46" fillId="4" borderId="1" xfId="1" applyFont="1" applyFill="1" applyBorder="1" applyAlignment="1" applyProtection="1">
      <alignment horizontal="right"/>
      <protection locked="0"/>
    </xf>
    <xf numFmtId="0" fontId="46" fillId="0" borderId="7" xfId="1" applyFont="1" applyBorder="1" applyAlignment="1" applyProtection="1">
      <alignment horizontal="right"/>
      <protection locked="0"/>
    </xf>
    <xf numFmtId="0" fontId="46" fillId="0" borderId="0" xfId="1" applyFont="1" applyFill="1" applyProtection="1">
      <protection locked="0"/>
    </xf>
    <xf numFmtId="0" fontId="31" fillId="0" borderId="0" xfId="1" applyFont="1" applyFill="1" applyProtection="1">
      <protection locked="0"/>
    </xf>
    <xf numFmtId="0" fontId="62" fillId="0" borderId="0" xfId="1" applyFont="1" applyBorder="1" applyProtection="1">
      <protection locked="0"/>
    </xf>
    <xf numFmtId="0" fontId="62" fillId="0" borderId="0" xfId="1" applyFont="1" applyProtection="1">
      <protection locked="0"/>
    </xf>
    <xf numFmtId="3" fontId="31" fillId="0" borderId="4" xfId="7" applyNumberFormat="1" applyFont="1" applyFill="1" applyBorder="1" applyAlignment="1" applyProtection="1">
      <alignment horizontal="right"/>
      <protection locked="0"/>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Fill="1" applyBorder="1" applyAlignment="1">
      <alignment horizontal="center"/>
    </xf>
    <xf numFmtId="0" fontId="18" fillId="0" borderId="6" xfId="0" applyFont="1" applyFill="1" applyBorder="1"/>
    <xf numFmtId="3" fontId="18" fillId="0" borderId="3" xfId="847" applyNumberFormat="1" applyFont="1" applyBorder="1" applyAlignment="1">
      <alignment horizontal="left"/>
    </xf>
    <xf numFmtId="0" fontId="16" fillId="0" borderId="6" xfId="1" applyFont="1" applyFill="1" applyBorder="1"/>
    <xf numFmtId="3" fontId="18" fillId="0" borderId="3" xfId="847" applyNumberFormat="1" applyFont="1" applyFill="1" applyBorder="1" applyAlignment="1">
      <alignment horizontal="left"/>
    </xf>
    <xf numFmtId="0" fontId="16" fillId="0" borderId="4" xfId="1" applyFont="1" applyFill="1" applyBorder="1"/>
    <xf numFmtId="0" fontId="16" fillId="0" borderId="11" xfId="1" applyFont="1" applyFill="1" applyBorder="1"/>
    <xf numFmtId="0" fontId="46" fillId="2" borderId="3" xfId="0" applyFont="1" applyFill="1" applyBorder="1" applyProtection="1">
      <protection locked="0"/>
    </xf>
    <xf numFmtId="0" fontId="46" fillId="2" borderId="6" xfId="0" applyFont="1" applyFill="1" applyBorder="1" applyProtection="1">
      <protection locked="0"/>
    </xf>
    <xf numFmtId="3" fontId="31" fillId="4" borderId="1" xfId="0" applyNumberFormat="1" applyFont="1" applyFill="1" applyBorder="1" applyAlignment="1" applyProtection="1">
      <alignment horizontal="right"/>
      <protection locked="0"/>
    </xf>
    <xf numFmtId="0" fontId="31" fillId="0" borderId="3" xfId="0" applyFont="1" applyBorder="1" applyAlignment="1" applyProtection="1">
      <alignment horizontal="right"/>
      <protection locked="0"/>
    </xf>
    <xf numFmtId="3" fontId="31" fillId="4" borderId="7" xfId="0" applyNumberFormat="1" applyFont="1" applyFill="1" applyBorder="1" applyAlignment="1" applyProtection="1">
      <alignment horizontal="right"/>
      <protection locked="0"/>
    </xf>
    <xf numFmtId="1" fontId="31" fillId="0" borderId="3" xfId="0" applyNumberFormat="1" applyFont="1" applyBorder="1" applyAlignment="1" applyProtection="1">
      <alignment horizontal="right"/>
      <protection locked="0"/>
    </xf>
    <xf numFmtId="0" fontId="31" fillId="0" borderId="0" xfId="7" applyFont="1" applyProtection="1">
      <protection locked="0"/>
    </xf>
    <xf numFmtId="4" fontId="31" fillId="4" borderId="4" xfId="7" applyNumberFormat="1" applyFont="1" applyFill="1" applyBorder="1" applyAlignment="1" applyProtection="1">
      <alignment horizontal="right"/>
      <protection locked="0"/>
    </xf>
    <xf numFmtId="3" fontId="31" fillId="4" borderId="4" xfId="7" applyNumberFormat="1" applyFont="1" applyFill="1" applyBorder="1" applyAlignment="1" applyProtection="1">
      <alignment horizontal="right"/>
      <protection locked="0"/>
    </xf>
    <xf numFmtId="3" fontId="31" fillId="4" borderId="11" xfId="7" applyNumberFormat="1" applyFont="1" applyFill="1" applyBorder="1" applyAlignment="1" applyProtection="1">
      <alignment horizontal="right"/>
      <protection locked="0"/>
    </xf>
    <xf numFmtId="4" fontId="31" fillId="4" borderId="3" xfId="7" applyNumberFormat="1" applyFont="1" applyFill="1" applyBorder="1" applyAlignment="1" applyProtection="1">
      <alignment horizontal="right"/>
      <protection locked="0"/>
    </xf>
    <xf numFmtId="3" fontId="31" fillId="4" borderId="3" xfId="7" applyNumberFormat="1" applyFont="1" applyFill="1" applyBorder="1" applyAlignment="1" applyProtection="1">
      <alignment horizontal="right"/>
      <protection locked="0"/>
    </xf>
    <xf numFmtId="3" fontId="31" fillId="4" borderId="6" xfId="7" applyNumberFormat="1" applyFont="1" applyFill="1" applyBorder="1" applyAlignment="1" applyProtection="1">
      <alignment horizontal="right"/>
      <protection locked="0"/>
    </xf>
    <xf numFmtId="171" fontId="16" fillId="0" borderId="3" xfId="846" applyFont="1" applyBorder="1" applyAlignment="1">
      <alignment horizontal="right"/>
    </xf>
    <xf numFmtId="3" fontId="46" fillId="0" borderId="6" xfId="0" applyNumberFormat="1" applyFont="1" applyFill="1" applyBorder="1" applyAlignment="1" applyProtection="1">
      <alignment horizontal="right"/>
    </xf>
    <xf numFmtId="3" fontId="14" fillId="0" borderId="0" xfId="1" applyNumberFormat="1" applyFont="1" applyFill="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Fill="1" applyBorder="1"/>
    <xf numFmtId="3" fontId="15" fillId="0" borderId="0" xfId="1" applyNumberFormat="1" applyFont="1" applyFill="1" applyBorder="1" applyAlignment="1">
      <alignment horizontal="center"/>
    </xf>
    <xf numFmtId="3" fontId="31" fillId="0" borderId="4" xfId="0" applyNumberFormat="1" applyFont="1" applyBorder="1" applyAlignment="1" applyProtection="1">
      <alignment horizontal="right"/>
      <protection locked="0"/>
    </xf>
    <xf numFmtId="0" fontId="42" fillId="0" borderId="0" xfId="7" applyFont="1" applyProtection="1">
      <protection locked="0"/>
    </xf>
    <xf numFmtId="0" fontId="18" fillId="0" borderId="0" xfId="3" applyFont="1" applyAlignment="1">
      <protection locked="0"/>
    </xf>
    <xf numFmtId="0" fontId="20" fillId="0" borderId="0" xfId="7" applyProtection="1">
      <protection locked="0"/>
    </xf>
    <xf numFmtId="3" fontId="59" fillId="4" borderId="0" xfId="7" applyNumberFormat="1" applyFont="1" applyFill="1" applyProtection="1">
      <protection locked="0"/>
    </xf>
    <xf numFmtId="14" fontId="14" fillId="0" borderId="7" xfId="7" applyNumberFormat="1" applyFont="1" applyBorder="1" applyAlignment="1" applyProtection="1">
      <alignment horizontal="left"/>
      <protection locked="0"/>
    </xf>
    <xf numFmtId="0" fontId="18" fillId="0" borderId="10" xfId="7" applyFont="1" applyBorder="1" applyProtection="1">
      <protection locked="0"/>
    </xf>
    <xf numFmtId="0" fontId="18" fillId="0" borderId="8" xfId="7" applyFont="1" applyBorder="1" applyProtection="1">
      <protection locked="0"/>
    </xf>
    <xf numFmtId="0" fontId="18" fillId="0" borderId="9" xfId="7" applyFont="1" applyBorder="1" applyProtection="1">
      <protection locked="0"/>
    </xf>
    <xf numFmtId="0" fontId="70" fillId="0" borderId="8" xfId="7" applyFont="1" applyBorder="1" applyAlignment="1" applyProtection="1">
      <alignment horizontal="center"/>
      <protection locked="0"/>
    </xf>
    <xf numFmtId="0" fontId="18" fillId="4" borderId="0" xfId="7" applyFont="1" applyFill="1" applyProtection="1">
      <protection locked="0"/>
    </xf>
    <xf numFmtId="3" fontId="46" fillId="0" borderId="1" xfId="7" applyNumberFormat="1" applyFont="1" applyBorder="1" applyProtection="1">
      <protection locked="0"/>
    </xf>
    <xf numFmtId="0" fontId="46" fillId="4" borderId="0" xfId="7" applyFont="1" applyFill="1" applyAlignment="1" applyProtection="1">
      <alignment horizontal="center"/>
      <protection locked="0"/>
    </xf>
    <xf numFmtId="3" fontId="46" fillId="0" borderId="4" xfId="7" applyNumberFormat="1" applyFont="1" applyBorder="1" applyProtection="1">
      <protection locked="0"/>
    </xf>
    <xf numFmtId="0" fontId="16" fillId="0" borderId="1" xfId="7" applyFont="1" applyBorder="1" applyAlignment="1" applyProtection="1">
      <alignment horizontal="center"/>
      <protection locked="0"/>
    </xf>
    <xf numFmtId="0" fontId="16" fillId="0" borderId="7" xfId="7" applyFont="1" applyBorder="1" applyAlignment="1" applyProtection="1">
      <alignment horizontal="center"/>
      <protection locked="0"/>
    </xf>
    <xf numFmtId="3" fontId="51" fillId="4" borderId="11" xfId="7" applyNumberFormat="1" applyFont="1" applyFill="1" applyBorder="1" applyProtection="1">
      <protection locked="0"/>
    </xf>
    <xf numFmtId="0" fontId="14" fillId="0" borderId="6" xfId="7" applyFont="1" applyBorder="1" applyAlignment="1" applyProtection="1">
      <alignment horizontal="center"/>
      <protection locked="0"/>
    </xf>
    <xf numFmtId="169" fontId="16" fillId="0" borderId="6" xfId="7" applyNumberFormat="1" applyFont="1" applyBorder="1" applyAlignment="1" applyProtection="1">
      <alignment horizontal="center"/>
      <protection locked="0"/>
    </xf>
    <xf numFmtId="169" fontId="14" fillId="4" borderId="0" xfId="7" applyNumberFormat="1" applyFont="1" applyFill="1" applyAlignment="1" applyProtection="1">
      <alignment horizontal="center"/>
      <protection locked="0"/>
    </xf>
    <xf numFmtId="0" fontId="14" fillId="4" borderId="0" xfId="7" applyFont="1" applyFill="1" applyAlignment="1" applyProtection="1">
      <alignment horizontal="center"/>
      <protection locked="0"/>
    </xf>
    <xf numFmtId="0" fontId="46" fillId="0" borderId="7" xfId="7" applyFont="1" applyBorder="1" applyProtection="1">
      <protection locked="0"/>
    </xf>
    <xf numFmtId="4" fontId="31" fillId="4" borderId="7" xfId="7" applyNumberFormat="1" applyFont="1" applyFill="1" applyBorder="1" applyAlignment="1">
      <alignment horizontal="right"/>
    </xf>
    <xf numFmtId="4" fontId="31" fillId="4" borderId="7" xfId="7" applyNumberFormat="1" applyFont="1" applyFill="1" applyBorder="1" applyAlignment="1" applyProtection="1">
      <alignment horizontal="right"/>
      <protection locked="0"/>
    </xf>
    <xf numFmtId="4" fontId="31" fillId="4" borderId="3" xfId="7" applyNumberFormat="1" applyFont="1" applyFill="1" applyBorder="1" applyAlignment="1">
      <alignment horizontal="right"/>
    </xf>
    <xf numFmtId="4" fontId="31" fillId="4" borderId="4" xfId="7" applyNumberFormat="1" applyFont="1" applyFill="1" applyBorder="1" applyAlignment="1">
      <alignment horizontal="right"/>
    </xf>
    <xf numFmtId="0" fontId="31" fillId="0" borderId="3" xfId="7" applyFont="1" applyBorder="1" applyProtection="1">
      <protection locked="0"/>
    </xf>
    <xf numFmtId="3" fontId="31" fillId="4" borderId="3" xfId="7" applyNumberFormat="1" applyFont="1" applyFill="1" applyBorder="1" applyAlignment="1">
      <alignment horizontal="right"/>
    </xf>
    <xf numFmtId="3" fontId="31" fillId="4" borderId="4" xfId="7" applyNumberFormat="1" applyFont="1" applyFill="1" applyBorder="1" applyAlignment="1">
      <alignment horizontal="right"/>
    </xf>
    <xf numFmtId="0" fontId="31" fillId="0" borderId="6" xfId="7" applyFont="1" applyBorder="1" applyProtection="1">
      <protection locked="0"/>
    </xf>
    <xf numFmtId="3" fontId="31" fillId="4" borderId="6" xfId="7" applyNumberFormat="1" applyFont="1" applyFill="1" applyBorder="1" applyAlignment="1">
      <alignment horizontal="right"/>
    </xf>
    <xf numFmtId="3" fontId="31" fillId="4" borderId="11" xfId="7" applyNumberFormat="1" applyFont="1" applyFill="1" applyBorder="1" applyAlignment="1">
      <alignment horizontal="right"/>
    </xf>
    <xf numFmtId="0" fontId="14" fillId="0" borderId="6" xfId="0" applyFont="1" applyBorder="1" applyAlignment="1" applyProtection="1">
      <alignment horizontal="center"/>
      <protection locked="0"/>
    </xf>
    <xf numFmtId="0" fontId="14" fillId="0" borderId="11" xfId="0" applyFont="1" applyBorder="1" applyAlignment="1" applyProtection="1">
      <alignment horizontal="center"/>
      <protection locked="0"/>
    </xf>
    <xf numFmtId="3" fontId="31" fillId="4" borderId="0" xfId="0" applyNumberFormat="1" applyFont="1" applyFill="1" applyAlignment="1" applyProtection="1">
      <alignment horizontal="right"/>
      <protection locked="0"/>
    </xf>
    <xf numFmtId="4" fontId="31" fillId="4" borderId="3" xfId="7" applyNumberFormat="1" applyFont="1" applyFill="1" applyBorder="1" applyAlignment="1" applyProtection="1">
      <alignment horizontal="right"/>
      <protection locked="0"/>
    </xf>
    <xf numFmtId="3" fontId="31" fillId="4" borderId="3" xfId="7" applyNumberFormat="1" applyFont="1" applyFill="1" applyBorder="1" applyAlignment="1" applyProtection="1">
      <alignment horizontal="right"/>
      <protection locked="0"/>
    </xf>
    <xf numFmtId="3" fontId="31" fillId="4" borderId="6" xfId="7" applyNumberFormat="1" applyFont="1" applyFill="1" applyBorder="1" applyAlignment="1" applyProtection="1">
      <alignment horizontal="right"/>
      <protection locked="0"/>
    </xf>
    <xf numFmtId="3" fontId="31" fillId="0" borderId="4" xfId="847" applyNumberFormat="1" applyFont="1" applyFill="1" applyBorder="1" applyAlignment="1" applyProtection="1">
      <alignment horizontal="right"/>
      <protection locked="0"/>
    </xf>
    <xf numFmtId="165" fontId="31" fillId="4" borderId="6" xfId="7" applyNumberFormat="1" applyFont="1" applyFill="1" applyBorder="1" applyAlignment="1" applyProtection="1">
      <alignment horizontal="right"/>
      <protection locked="0"/>
    </xf>
    <xf numFmtId="0" fontId="57" fillId="0" borderId="0" xfId="0" applyFont="1" applyFill="1"/>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46" fillId="4" borderId="0" xfId="7" applyFont="1" applyFill="1" applyAlignment="1" applyProtection="1">
      <alignment horizontal="center"/>
      <protection locked="0"/>
    </xf>
    <xf numFmtId="3" fontId="46" fillId="0" borderId="1" xfId="14" applyNumberFormat="1" applyFont="1" applyFill="1" applyBorder="1" applyAlignment="1" applyProtection="1">
      <alignment horizontal="right"/>
      <protection locked="0"/>
    </xf>
    <xf numFmtId="173" fontId="31" fillId="0" borderId="3" xfId="0" applyNumberFormat="1" applyFont="1" applyBorder="1" applyAlignment="1" applyProtection="1">
      <alignment horizontal="right"/>
      <protection locked="0"/>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46" fillId="4" borderId="0" xfId="0" applyNumberFormat="1" applyFont="1" applyFill="1" applyBorder="1" applyAlignment="1" applyProtection="1">
      <alignment horizontal="center"/>
      <protection locked="0"/>
    </xf>
    <xf numFmtId="165" fontId="31" fillId="4" borderId="6" xfId="7" applyNumberFormat="1" applyFont="1" applyFill="1" applyBorder="1" applyAlignment="1">
      <alignment horizontal="right"/>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3" fontId="31" fillId="4" borderId="1" xfId="0" applyNumberFormat="1" applyFont="1" applyFill="1" applyBorder="1" applyAlignment="1">
      <alignment horizontal="right"/>
    </xf>
    <xf numFmtId="3" fontId="31" fillId="4" borderId="4" xfId="0" applyNumberFormat="1" applyFont="1" applyFill="1" applyBorder="1" applyAlignment="1">
      <alignment horizontal="right"/>
    </xf>
    <xf numFmtId="3" fontId="31" fillId="4" borderId="3" xfId="0" applyNumberFormat="1" applyFont="1" applyFill="1" applyBorder="1" applyAlignment="1">
      <alignment horizontal="right"/>
    </xf>
    <xf numFmtId="1" fontId="31" fillId="0" borderId="3" xfId="0" applyNumberFormat="1" applyFont="1" applyBorder="1" applyAlignment="1">
      <alignment horizontal="right"/>
    </xf>
    <xf numFmtId="0" fontId="31" fillId="0" borderId="3" xfId="0" applyFont="1" applyBorder="1" applyAlignment="1">
      <alignment horizontal="right"/>
    </xf>
    <xf numFmtId="3" fontId="46" fillId="4" borderId="4" xfId="15" applyNumberFormat="1" applyFont="1" applyFill="1" applyBorder="1" applyAlignment="1" applyProtection="1">
      <alignment horizontal="right"/>
    </xf>
    <xf numFmtId="3" fontId="31" fillId="4" borderId="4" xfId="15" applyNumberFormat="1" applyFont="1" applyFill="1" applyBorder="1" applyAlignment="1" applyProtection="1">
      <alignment horizontal="right"/>
    </xf>
    <xf numFmtId="3" fontId="46" fillId="4" borderId="11" xfId="15" applyNumberFormat="1" applyFont="1" applyFill="1" applyBorder="1" applyAlignment="1" applyProtection="1">
      <alignment horizontal="right"/>
    </xf>
    <xf numFmtId="3" fontId="46" fillId="4" borderId="1" xfId="15" applyNumberFormat="1" applyFont="1" applyFill="1" applyBorder="1" applyAlignment="1" applyProtection="1">
      <alignment horizontal="right"/>
      <protection locked="0"/>
    </xf>
    <xf numFmtId="0" fontId="31" fillId="2" borderId="3" xfId="0" applyFont="1" applyFill="1" applyBorder="1" applyProtection="1">
      <protection locked="0"/>
    </xf>
    <xf numFmtId="0" fontId="31" fillId="2" borderId="6" xfId="0" applyFont="1" applyFill="1" applyBorder="1" applyProtection="1">
      <protection locked="0"/>
    </xf>
    <xf numFmtId="3" fontId="61" fillId="4" borderId="3" xfId="0" applyNumberFormat="1" applyFont="1" applyFill="1" applyBorder="1" applyAlignment="1">
      <alignment horizontal="right"/>
    </xf>
    <xf numFmtId="3" fontId="46" fillId="4" borderId="3" xfId="0" applyNumberFormat="1" applyFont="1" applyFill="1" applyBorder="1" applyAlignment="1">
      <alignment horizontal="right"/>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170" fontId="31" fillId="0" borderId="3" xfId="847" applyNumberFormat="1" applyFont="1" applyBorder="1" applyAlignment="1" applyProtection="1">
      <alignment horizontal="right"/>
    </xf>
    <xf numFmtId="166" fontId="31" fillId="4" borderId="3" xfId="847" applyNumberFormat="1" applyFont="1" applyFill="1" applyBorder="1" applyAlignment="1" applyProtection="1">
      <alignment horizontal="right"/>
    </xf>
    <xf numFmtId="0" fontId="46" fillId="0" borderId="1" xfId="7" applyFont="1" applyFill="1" applyBorder="1" applyAlignment="1" applyProtection="1">
      <alignment horizontal="center"/>
      <protection locked="0"/>
    </xf>
    <xf numFmtId="166" fontId="31" fillId="0" borderId="3" xfId="847" applyNumberFormat="1" applyFont="1" applyBorder="1" applyAlignment="1" applyProtection="1">
      <alignment horizontal="right"/>
    </xf>
    <xf numFmtId="166" fontId="31" fillId="4" borderId="4" xfId="847" applyNumberFormat="1" applyFont="1" applyFill="1" applyBorder="1" applyAlignment="1" applyProtection="1">
      <alignment horizontal="right"/>
    </xf>
    <xf numFmtId="3" fontId="31" fillId="4" borderId="0" xfId="0" applyNumberFormat="1" applyFont="1" applyFill="1" applyAlignment="1">
      <alignment horizontal="right"/>
    </xf>
    <xf numFmtId="3" fontId="31" fillId="4" borderId="7" xfId="0" applyNumberFormat="1" applyFont="1" applyFill="1" applyBorder="1" applyAlignment="1">
      <alignment horizontal="right"/>
    </xf>
    <xf numFmtId="3" fontId="31" fillId="0" borderId="3" xfId="0" applyNumberFormat="1" applyFont="1" applyFill="1" applyBorder="1" applyAlignment="1">
      <alignment horizontal="right"/>
    </xf>
    <xf numFmtId="3" fontId="46" fillId="0" borderId="6" xfId="0" applyNumberFormat="1" applyFont="1" applyFill="1" applyBorder="1" applyAlignment="1">
      <alignment horizontal="right"/>
    </xf>
    <xf numFmtId="3" fontId="46" fillId="0" borderId="6" xfId="0" applyNumberFormat="1" applyFont="1" applyFill="1" applyBorder="1" applyAlignment="1" applyProtection="1">
      <alignment horizontal="right"/>
      <protection locked="0"/>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 xfId="7"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3" fontId="31" fillId="4" borderId="1" xfId="15" applyNumberFormat="1" applyFont="1" applyFill="1" applyBorder="1" applyAlignment="1" applyProtection="1">
      <alignment horizontal="right"/>
    </xf>
    <xf numFmtId="3" fontId="31" fillId="0" borderId="1" xfId="15" applyNumberFormat="1" applyFont="1" applyFill="1" applyBorder="1" applyAlignment="1" applyProtection="1">
      <alignment horizontal="right"/>
      <protection locked="0"/>
    </xf>
    <xf numFmtId="3" fontId="31" fillId="0" borderId="4" xfId="15" applyNumberFormat="1" applyFont="1" applyFill="1" applyBorder="1" applyAlignment="1" applyProtection="1">
      <alignment horizontal="right"/>
      <protection locked="0"/>
    </xf>
    <xf numFmtId="0" fontId="31" fillId="0" borderId="3" xfId="0" applyFont="1" applyFill="1" applyBorder="1" applyAlignment="1" applyProtection="1">
      <alignment horizontal="right"/>
      <protection locked="0"/>
    </xf>
    <xf numFmtId="3" fontId="31" fillId="0" borderId="4" xfId="847" applyNumberFormat="1" applyFont="1" applyFill="1" applyBorder="1" applyAlignment="1" applyProtection="1">
      <alignment horizontal="right"/>
    </xf>
    <xf numFmtId="0" fontId="73" fillId="0" borderId="0" xfId="7" applyFont="1" applyFill="1" applyProtection="1">
      <protection locked="0"/>
    </xf>
    <xf numFmtId="0" fontId="20" fillId="0" borderId="0" xfId="7" applyFill="1" applyProtection="1">
      <protection locked="0"/>
    </xf>
    <xf numFmtId="0" fontId="16" fillId="0" borderId="1" xfId="7" applyFont="1" applyFill="1" applyBorder="1" applyAlignment="1" applyProtection="1">
      <alignment horizontal="center"/>
      <protection locked="0"/>
    </xf>
    <xf numFmtId="0" fontId="16" fillId="0" borderId="7" xfId="7" applyFont="1" applyFill="1" applyBorder="1" applyAlignment="1" applyProtection="1">
      <alignment horizontal="center"/>
      <protection locked="0"/>
    </xf>
    <xf numFmtId="1" fontId="31" fillId="0" borderId="3" xfId="0" applyNumberFormat="1" applyFont="1" applyFill="1" applyBorder="1" applyAlignment="1" applyProtection="1">
      <alignment horizontal="right"/>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15" fillId="0" borderId="0" xfId="7" applyFont="1" applyAlignment="1">
      <alignment horizontal="right" vertical="top"/>
    </xf>
    <xf numFmtId="3" fontId="18" fillId="0" borderId="8" xfId="1" applyNumberFormat="1" applyFont="1" applyFill="1" applyBorder="1"/>
    <xf numFmtId="3" fontId="16" fillId="0" borderId="6" xfId="1" applyNumberFormat="1" applyFont="1" applyFill="1" applyBorder="1"/>
    <xf numFmtId="3" fontId="16" fillId="0" borderId="11" xfId="1" applyNumberFormat="1" applyFont="1" applyFill="1" applyBorder="1"/>
    <xf numFmtId="14" fontId="31" fillId="0" borderId="0" xfId="1" applyNumberFormat="1" applyFont="1" applyAlignment="1">
      <alignment horizontal="center"/>
    </xf>
    <xf numFmtId="0" fontId="16" fillId="8" borderId="0" xfId="0" applyFont="1" applyFill="1" applyBorder="1" applyAlignment="1">
      <alignment horizontal="center"/>
    </xf>
    <xf numFmtId="0" fontId="16" fillId="8" borderId="2" xfId="0" applyFont="1" applyFill="1" applyBorder="1" applyAlignment="1">
      <alignment horizontal="center"/>
    </xf>
    <xf numFmtId="0" fontId="46" fillId="0" borderId="12" xfId="0" applyFont="1" applyBorder="1" applyAlignment="1">
      <alignment horizontal="left"/>
    </xf>
    <xf numFmtId="0" fontId="46" fillId="0" borderId="10" xfId="0" applyFont="1" applyBorder="1" applyAlignment="1">
      <alignment horizontal="center"/>
    </xf>
    <xf numFmtId="0" fontId="46" fillId="0" borderId="8" xfId="0" applyFont="1" applyBorder="1" applyAlignment="1">
      <alignment horizontal="center"/>
    </xf>
    <xf numFmtId="0" fontId="46" fillId="0" borderId="9" xfId="0" applyFont="1" applyBorder="1" applyAlignment="1">
      <alignment horizontal="center"/>
    </xf>
    <xf numFmtId="0" fontId="16" fillId="8" borderId="4" xfId="0" applyFont="1" applyFill="1" applyBorder="1" applyAlignment="1">
      <alignment horizontal="center"/>
    </xf>
    <xf numFmtId="0" fontId="46" fillId="0" borderId="14" xfId="0" applyFont="1" applyBorder="1" applyAlignment="1">
      <alignment horizontal="center"/>
    </xf>
    <xf numFmtId="0" fontId="46" fillId="0" borderId="15" xfId="0" applyFont="1" applyBorder="1" applyAlignment="1">
      <alignment horizontal="center"/>
    </xf>
    <xf numFmtId="0" fontId="46" fillId="0" borderId="1" xfId="0" applyFont="1" applyBorder="1" applyAlignment="1">
      <alignment horizontal="center"/>
    </xf>
    <xf numFmtId="14" fontId="14" fillId="0" borderId="11" xfId="0" applyNumberFormat="1" applyFont="1" applyFill="1" applyBorder="1" applyAlignment="1">
      <alignment horizontal="center"/>
    </xf>
    <xf numFmtId="14" fontId="14" fillId="0" borderId="12" xfId="0" applyNumberFormat="1" applyFont="1" applyFill="1" applyBorder="1" applyAlignment="1">
      <alignment horizontal="center"/>
    </xf>
    <xf numFmtId="14" fontId="14" fillId="0" borderId="5" xfId="0" applyNumberFormat="1" applyFont="1" applyFill="1" applyBorder="1" applyAlignment="1">
      <alignment horizontal="center"/>
    </xf>
    <xf numFmtId="3" fontId="46" fillId="0" borderId="11" xfId="0" applyNumberFormat="1" applyFont="1" applyBorder="1" applyAlignment="1">
      <alignment horizontal="center"/>
    </xf>
    <xf numFmtId="3" fontId="46" fillId="0" borderId="12" xfId="0" applyNumberFormat="1" applyFont="1" applyBorder="1" applyAlignment="1">
      <alignment horizontal="center"/>
    </xf>
    <xf numFmtId="3" fontId="46" fillId="0" borderId="5" xfId="0" applyNumberFormat="1" applyFont="1" applyBorder="1" applyAlignment="1">
      <alignment horizontal="center"/>
    </xf>
    <xf numFmtId="0" fontId="14" fillId="0" borderId="0" xfId="1" applyFont="1" applyBorder="1" applyAlignment="1">
      <alignment horizontal="center"/>
    </xf>
    <xf numFmtId="0" fontId="16" fillId="0" borderId="10" xfId="1" applyFont="1" applyBorder="1" applyAlignment="1">
      <alignment horizontal="center"/>
    </xf>
    <xf numFmtId="0" fontId="16" fillId="0" borderId="8" xfId="1" applyFont="1" applyBorder="1" applyAlignment="1">
      <alignment horizontal="center"/>
    </xf>
    <xf numFmtId="0" fontId="16" fillId="0" borderId="9" xfId="1" applyFont="1" applyBorder="1" applyAlignment="1">
      <alignment horizontal="center"/>
    </xf>
    <xf numFmtId="0" fontId="14" fillId="0" borderId="0" xfId="1" applyFont="1" applyFill="1" applyBorder="1" applyAlignment="1">
      <alignment horizontal="center"/>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4" xfId="1" applyNumberFormat="1" applyFont="1" applyFill="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46" fillId="0" borderId="1" xfId="1" applyFont="1" applyFill="1" applyBorder="1" applyAlignment="1" applyProtection="1">
      <alignment horizontal="center"/>
      <protection locked="0"/>
    </xf>
    <xf numFmtId="0" fontId="46" fillId="0" borderId="14" xfId="1" applyFont="1" applyFill="1" applyBorder="1" applyAlignment="1" applyProtection="1">
      <alignment horizontal="center"/>
      <protection locked="0"/>
    </xf>
    <xf numFmtId="0" fontId="46" fillId="0" borderId="15" xfId="1" applyFont="1" applyFill="1" applyBorder="1" applyAlignment="1" applyProtection="1">
      <alignment horizontal="center"/>
      <protection locked="0"/>
    </xf>
    <xf numFmtId="0" fontId="46" fillId="0" borderId="11" xfId="1" applyFont="1" applyFill="1" applyBorder="1" applyAlignment="1" applyProtection="1">
      <alignment horizontal="center"/>
      <protection locked="0"/>
    </xf>
    <xf numFmtId="0" fontId="46" fillId="0" borderId="12" xfId="1" applyFont="1" applyFill="1" applyBorder="1" applyAlignment="1" applyProtection="1">
      <alignment horizontal="center"/>
      <protection locked="0"/>
    </xf>
    <xf numFmtId="0" fontId="46" fillId="0" borderId="5" xfId="1" applyFont="1" applyFill="1" applyBorder="1" applyAlignment="1" applyProtection="1">
      <alignment horizontal="center"/>
      <protection locked="0"/>
    </xf>
    <xf numFmtId="0" fontId="46" fillId="0" borderId="11" xfId="1" applyNumberFormat="1" applyFont="1" applyFill="1" applyBorder="1" applyAlignment="1" applyProtection="1">
      <alignment horizontal="center"/>
      <protection locked="0"/>
    </xf>
    <xf numFmtId="0" fontId="46" fillId="0" borderId="12" xfId="1" applyNumberFormat="1" applyFont="1" applyFill="1" applyBorder="1" applyAlignment="1" applyProtection="1">
      <alignment horizontal="center"/>
      <protection locked="0"/>
    </xf>
    <xf numFmtId="0" fontId="46" fillId="0" borderId="5" xfId="1" applyNumberFormat="1" applyFont="1" applyFill="1" applyBorder="1" applyAlignment="1" applyProtection="1">
      <alignment horizontal="center"/>
      <protection locked="0"/>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4" borderId="0" xfId="0"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1" xfId="0" applyNumberFormat="1" applyFont="1" applyFill="1" applyBorder="1" applyAlignment="1" applyProtection="1">
      <alignment horizontal="center"/>
      <protection locked="0"/>
    </xf>
    <xf numFmtId="0" fontId="46" fillId="0" borderId="12" xfId="0" applyNumberFormat="1" applyFont="1" applyFill="1" applyBorder="1" applyAlignment="1" applyProtection="1">
      <alignment horizontal="center"/>
      <protection locked="0"/>
    </xf>
    <xf numFmtId="0" fontId="46" fillId="0" borderId="5" xfId="0" applyNumberFormat="1" applyFont="1" applyFill="1" applyBorder="1" applyAlignment="1" applyProtection="1">
      <alignment horizontal="center"/>
      <protection locked="0"/>
    </xf>
    <xf numFmtId="0" fontId="46" fillId="0" borderId="1" xfId="7"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0" fontId="46" fillId="0" borderId="11" xfId="7" applyFont="1" applyFill="1" applyBorder="1" applyAlignment="1" applyProtection="1">
      <alignment horizontal="center"/>
      <protection locked="0"/>
    </xf>
    <xf numFmtId="0" fontId="46" fillId="0" borderId="12" xfId="7" applyFont="1" applyFill="1" applyBorder="1" applyAlignment="1" applyProtection="1">
      <alignment horizontal="center"/>
      <protection locked="0"/>
    </xf>
    <xf numFmtId="0" fontId="46" fillId="0" borderId="5" xfId="7" applyFont="1" applyFill="1" applyBorder="1" applyAlignment="1" applyProtection="1">
      <alignment horizontal="center"/>
      <protection locked="0"/>
    </xf>
    <xf numFmtId="0" fontId="46" fillId="4" borderId="0" xfId="7" applyFont="1" applyFill="1" applyAlignment="1" applyProtection="1">
      <alignment horizontal="center"/>
      <protection locked="0"/>
    </xf>
    <xf numFmtId="0" fontId="46" fillId="0" borderId="11" xfId="7" applyFont="1" applyBorder="1" applyAlignment="1" applyProtection="1">
      <alignment horizontal="center"/>
      <protection locked="0"/>
    </xf>
    <xf numFmtId="0" fontId="46" fillId="0" borderId="12" xfId="7" applyFont="1" applyBorder="1" applyAlignment="1" applyProtection="1">
      <alignment horizontal="center"/>
      <protection locked="0"/>
    </xf>
    <xf numFmtId="0" fontId="46" fillId="0" borderId="5" xfId="7" applyFont="1" applyBorder="1" applyAlignment="1" applyProtection="1">
      <alignment horizontal="center"/>
      <protection locked="0"/>
    </xf>
    <xf numFmtId="0" fontId="46" fillId="0" borderId="1" xfId="7" applyFont="1" applyBorder="1" applyAlignment="1" applyProtection="1">
      <alignment horizontal="center"/>
      <protection locked="0"/>
    </xf>
    <xf numFmtId="0" fontId="46" fillId="0" borderId="14" xfId="7" applyFont="1" applyBorder="1" applyAlignment="1" applyProtection="1">
      <alignment horizontal="center"/>
      <protection locked="0"/>
    </xf>
    <xf numFmtId="0" fontId="46" fillId="0" borderId="15" xfId="7" applyFont="1" applyBorder="1" applyAlignment="1" applyProtection="1">
      <alignment horizontal="center"/>
      <protection locked="0"/>
    </xf>
    <xf numFmtId="0" fontId="69" fillId="0" borderId="0" xfId="0" applyFont="1" applyAlignment="1">
      <alignment horizontal="left" vertical="top" wrapText="1" readingOrder="1"/>
    </xf>
  </cellXfs>
  <cellStyles count="851">
    <cellStyle name="20 % – uthevingsfarge 2" xfId="844" builtinId="34"/>
    <cellStyle name="40% - uthevingsfarge 4 2" xfId="38" xr:uid="{00000000-0005-0000-0000-000001000000}"/>
    <cellStyle name="40% - uthevingsfarge 4 2 10" xfId="771" xr:uid="{00000000-0005-0000-0000-000002000000}"/>
    <cellStyle name="40% - uthevingsfarge 4 2 2" xfId="80" xr:uid="{00000000-0005-0000-0000-000003000000}"/>
    <cellStyle name="40% - uthevingsfarge 4 2 2 2" xfId="173" xr:uid="{00000000-0005-0000-0000-000004000000}"/>
    <cellStyle name="40% - uthevingsfarge 4 2 2 3" xfId="263" xr:uid="{00000000-0005-0000-0000-000005000000}"/>
    <cellStyle name="40% - uthevingsfarge 4 2 2 4" xfId="353" xr:uid="{00000000-0005-0000-0000-000006000000}"/>
    <cellStyle name="40% - uthevingsfarge 4 2 2 5" xfId="443" xr:uid="{00000000-0005-0000-0000-000007000000}"/>
    <cellStyle name="40% - uthevingsfarge 4 2 2 6" xfId="533" xr:uid="{00000000-0005-0000-0000-000008000000}"/>
    <cellStyle name="40% - uthevingsfarge 4 2 2 7" xfId="623" xr:uid="{00000000-0005-0000-0000-000009000000}"/>
    <cellStyle name="40% - uthevingsfarge 4 2 2 8" xfId="713" xr:uid="{00000000-0005-0000-0000-00000A000000}"/>
    <cellStyle name="40% - uthevingsfarge 4 2 2 9" xfId="810" xr:uid="{00000000-0005-0000-0000-00000B000000}"/>
    <cellStyle name="40% - uthevingsfarge 4 2 3" xfId="136" xr:uid="{00000000-0005-0000-0000-00000C000000}"/>
    <cellStyle name="40% - uthevingsfarge 4 2 4" xfId="226" xr:uid="{00000000-0005-0000-0000-00000D000000}"/>
    <cellStyle name="40% - uthevingsfarge 4 2 5" xfId="316" xr:uid="{00000000-0005-0000-0000-00000E000000}"/>
    <cellStyle name="40% - uthevingsfarge 4 2 6" xfId="406" xr:uid="{00000000-0005-0000-0000-00000F000000}"/>
    <cellStyle name="40% - uthevingsfarge 4 2 7" xfId="496" xr:uid="{00000000-0005-0000-0000-000010000000}"/>
    <cellStyle name="40% - uthevingsfarge 4 2 8" xfId="586" xr:uid="{00000000-0005-0000-0000-000011000000}"/>
    <cellStyle name="40% - uthevingsfarge 4 2 9" xfId="676" xr:uid="{00000000-0005-0000-0000-000012000000}"/>
    <cellStyle name="Hyperkobling" xfId="3" builtinId="8"/>
    <cellStyle name="Komma" xfId="2" builtinId="3"/>
    <cellStyle name="Komma 2" xfId="847" xr:uid="{00000000-0005-0000-0000-000015000000}"/>
    <cellStyle name="Komma 2 3" xfId="849" xr:uid="{0D7BB789-C0BC-4F58-B366-11FD845789ED}"/>
    <cellStyle name="Merknad 2" xfId="94" xr:uid="{00000000-0005-0000-0000-000016000000}"/>
    <cellStyle name="Normal" xfId="0" builtinId="0"/>
    <cellStyle name="Normal 10" xfId="31" xr:uid="{00000000-0005-0000-0000-000018000000}"/>
    <cellStyle name="Normal 10 10" xfId="670" xr:uid="{00000000-0005-0000-0000-000019000000}"/>
    <cellStyle name="Normal 10 11" xfId="765" xr:uid="{00000000-0005-0000-0000-00001A000000}"/>
    <cellStyle name="Normal 10 2" xfId="53" xr:uid="{00000000-0005-0000-0000-00001B000000}"/>
    <cellStyle name="Normal 10 2 10" xfId="785" xr:uid="{00000000-0005-0000-0000-00001C000000}"/>
    <cellStyle name="Normal 10 2 2" xfId="93" xr:uid="{00000000-0005-0000-0000-00001D000000}"/>
    <cellStyle name="Normal 10 2 2 10" xfId="823" xr:uid="{00000000-0005-0000-0000-00001E000000}"/>
    <cellStyle name="Normal 10 2 2 2" xfId="6" xr:uid="{00000000-0005-0000-0000-00001F000000}"/>
    <cellStyle name="Normal 10 2 2 2 2" xfId="116" xr:uid="{00000000-0005-0000-0000-000020000000}"/>
    <cellStyle name="Normal 10 2 2 3" xfId="186" xr:uid="{00000000-0005-0000-0000-000021000000}"/>
    <cellStyle name="Normal 10 2 2 4" xfId="276" xr:uid="{00000000-0005-0000-0000-000022000000}"/>
    <cellStyle name="Normal 10 2 2 5" xfId="366" xr:uid="{00000000-0005-0000-0000-000023000000}"/>
    <cellStyle name="Normal 10 2 2 6" xfId="456" xr:uid="{00000000-0005-0000-0000-000024000000}"/>
    <cellStyle name="Normal 10 2 2 7" xfId="546" xr:uid="{00000000-0005-0000-0000-000025000000}"/>
    <cellStyle name="Normal 10 2 2 8" xfId="636" xr:uid="{00000000-0005-0000-0000-000026000000}"/>
    <cellStyle name="Normal 10 2 2 9" xfId="726" xr:uid="{00000000-0005-0000-0000-000027000000}"/>
    <cellStyle name="Normal 10 2 3" xfId="149" xr:uid="{00000000-0005-0000-0000-000028000000}"/>
    <cellStyle name="Normal 10 2 4" xfId="239" xr:uid="{00000000-0005-0000-0000-000029000000}"/>
    <cellStyle name="Normal 10 2 5" xfId="329" xr:uid="{00000000-0005-0000-0000-00002A000000}"/>
    <cellStyle name="Normal 10 2 6" xfId="419" xr:uid="{00000000-0005-0000-0000-00002B000000}"/>
    <cellStyle name="Normal 10 2 7" xfId="509" xr:uid="{00000000-0005-0000-0000-00002C000000}"/>
    <cellStyle name="Normal 10 2 8" xfId="599" xr:uid="{00000000-0005-0000-0000-00002D000000}"/>
    <cellStyle name="Normal 10 2 9" xfId="689" xr:uid="{00000000-0005-0000-0000-00002E000000}"/>
    <cellStyle name="Normal 10 3" xfId="74" xr:uid="{00000000-0005-0000-0000-00002F000000}"/>
    <cellStyle name="Normal 10 3 2" xfId="167" xr:uid="{00000000-0005-0000-0000-000030000000}"/>
    <cellStyle name="Normal 10 3 3" xfId="257" xr:uid="{00000000-0005-0000-0000-000031000000}"/>
    <cellStyle name="Normal 10 3 4" xfId="347" xr:uid="{00000000-0005-0000-0000-000032000000}"/>
    <cellStyle name="Normal 10 3 5" xfId="437" xr:uid="{00000000-0005-0000-0000-000033000000}"/>
    <cellStyle name="Normal 10 3 6" xfId="527" xr:uid="{00000000-0005-0000-0000-000034000000}"/>
    <cellStyle name="Normal 10 3 7" xfId="617" xr:uid="{00000000-0005-0000-0000-000035000000}"/>
    <cellStyle name="Normal 10 3 8" xfId="707" xr:uid="{00000000-0005-0000-0000-000036000000}"/>
    <cellStyle name="Normal 10 3 9" xfId="804" xr:uid="{00000000-0005-0000-0000-000037000000}"/>
    <cellStyle name="Normal 10 4" xfId="130" xr:uid="{00000000-0005-0000-0000-000038000000}"/>
    <cellStyle name="Normal 10 5" xfId="220" xr:uid="{00000000-0005-0000-0000-000039000000}"/>
    <cellStyle name="Normal 10 6" xfId="310" xr:uid="{00000000-0005-0000-0000-00003A000000}"/>
    <cellStyle name="Normal 10 7" xfId="400" xr:uid="{00000000-0005-0000-0000-00003B000000}"/>
    <cellStyle name="Normal 10 8" xfId="490" xr:uid="{00000000-0005-0000-0000-00003C000000}"/>
    <cellStyle name="Normal 10 9" xfId="580" xr:uid="{00000000-0005-0000-0000-00003D000000}"/>
    <cellStyle name="Normal 11" xfId="35" xr:uid="{00000000-0005-0000-0000-00003E000000}"/>
    <cellStyle name="Normal 11 10" xfId="673" xr:uid="{00000000-0005-0000-0000-00003F000000}"/>
    <cellStyle name="Normal 11 11" xfId="768" xr:uid="{00000000-0005-0000-0000-000040000000}"/>
    <cellStyle name="Normal 11 2" xfId="57" xr:uid="{00000000-0005-0000-0000-000041000000}"/>
    <cellStyle name="Normal 11 2 10" xfId="788" xr:uid="{00000000-0005-0000-0000-000042000000}"/>
    <cellStyle name="Normal 11 2 2" xfId="97" xr:uid="{00000000-0005-0000-0000-000043000000}"/>
    <cellStyle name="Normal 11 2 2 2" xfId="189" xr:uid="{00000000-0005-0000-0000-000044000000}"/>
    <cellStyle name="Normal 11 2 2 3" xfId="279" xr:uid="{00000000-0005-0000-0000-000045000000}"/>
    <cellStyle name="Normal 11 2 2 4" xfId="369" xr:uid="{00000000-0005-0000-0000-000046000000}"/>
    <cellStyle name="Normal 11 2 2 5" xfId="459" xr:uid="{00000000-0005-0000-0000-000047000000}"/>
    <cellStyle name="Normal 11 2 2 6" xfId="549" xr:uid="{00000000-0005-0000-0000-000048000000}"/>
    <cellStyle name="Normal 11 2 2 7" xfId="639" xr:uid="{00000000-0005-0000-0000-000049000000}"/>
    <cellStyle name="Normal 11 2 2 8" xfId="729" xr:uid="{00000000-0005-0000-0000-00004A000000}"/>
    <cellStyle name="Normal 11 2 2 9" xfId="826" xr:uid="{00000000-0005-0000-0000-00004B000000}"/>
    <cellStyle name="Normal 11 2 3" xfId="152" xr:uid="{00000000-0005-0000-0000-00004C000000}"/>
    <cellStyle name="Normal 11 2 4" xfId="242" xr:uid="{00000000-0005-0000-0000-00004D000000}"/>
    <cellStyle name="Normal 11 2 5" xfId="332" xr:uid="{00000000-0005-0000-0000-00004E000000}"/>
    <cellStyle name="Normal 11 2 6" xfId="422" xr:uid="{00000000-0005-0000-0000-00004F000000}"/>
    <cellStyle name="Normal 11 2 7" xfId="512" xr:uid="{00000000-0005-0000-0000-000050000000}"/>
    <cellStyle name="Normal 11 2 8" xfId="602" xr:uid="{00000000-0005-0000-0000-000051000000}"/>
    <cellStyle name="Normal 11 2 9" xfId="692" xr:uid="{00000000-0005-0000-0000-000052000000}"/>
    <cellStyle name="Normal 11 3" xfId="77" xr:uid="{00000000-0005-0000-0000-000053000000}"/>
    <cellStyle name="Normal 11 3 2" xfId="170" xr:uid="{00000000-0005-0000-0000-000054000000}"/>
    <cellStyle name="Normal 11 3 3" xfId="260" xr:uid="{00000000-0005-0000-0000-000055000000}"/>
    <cellStyle name="Normal 11 3 4" xfId="350" xr:uid="{00000000-0005-0000-0000-000056000000}"/>
    <cellStyle name="Normal 11 3 5" xfId="440" xr:uid="{00000000-0005-0000-0000-000057000000}"/>
    <cellStyle name="Normal 11 3 6" xfId="530" xr:uid="{00000000-0005-0000-0000-000058000000}"/>
    <cellStyle name="Normal 11 3 7" xfId="620" xr:uid="{00000000-0005-0000-0000-000059000000}"/>
    <cellStyle name="Normal 11 3 8" xfId="710" xr:uid="{00000000-0005-0000-0000-00005A000000}"/>
    <cellStyle name="Normal 11 3 9" xfId="807" xr:uid="{00000000-0005-0000-0000-00005B000000}"/>
    <cellStyle name="Normal 11 4" xfId="133" xr:uid="{00000000-0005-0000-0000-00005C000000}"/>
    <cellStyle name="Normal 11 5" xfId="223" xr:uid="{00000000-0005-0000-0000-00005D000000}"/>
    <cellStyle name="Normal 11 6" xfId="313" xr:uid="{00000000-0005-0000-0000-00005E000000}"/>
    <cellStyle name="Normal 11 7" xfId="403" xr:uid="{00000000-0005-0000-0000-00005F000000}"/>
    <cellStyle name="Normal 11 8" xfId="493" xr:uid="{00000000-0005-0000-0000-000060000000}"/>
    <cellStyle name="Normal 11 9" xfId="583" xr:uid="{00000000-0005-0000-0000-000061000000}"/>
    <cellStyle name="Normal 12" xfId="100" xr:uid="{00000000-0005-0000-0000-000062000000}"/>
    <cellStyle name="Normal 12 2" xfId="192" xr:uid="{00000000-0005-0000-0000-000063000000}"/>
    <cellStyle name="Normal 12 3" xfId="282" xr:uid="{00000000-0005-0000-0000-000064000000}"/>
    <cellStyle name="Normal 12 4" xfId="372" xr:uid="{00000000-0005-0000-0000-000065000000}"/>
    <cellStyle name="Normal 12 5" xfId="462" xr:uid="{00000000-0005-0000-0000-000066000000}"/>
    <cellStyle name="Normal 12 6" xfId="552" xr:uid="{00000000-0005-0000-0000-000067000000}"/>
    <cellStyle name="Normal 12 7" xfId="642" xr:uid="{00000000-0005-0000-0000-000068000000}"/>
    <cellStyle name="Normal 12 8" xfId="732" xr:uid="{00000000-0005-0000-0000-000069000000}"/>
    <cellStyle name="Normal 12 9" xfId="829" xr:uid="{00000000-0005-0000-0000-00006A000000}"/>
    <cellStyle name="Normal 13" xfId="103" xr:uid="{00000000-0005-0000-0000-00006B000000}"/>
    <cellStyle name="Normal 13 2" xfId="195" xr:uid="{00000000-0005-0000-0000-00006C000000}"/>
    <cellStyle name="Normal 13 3" xfId="285" xr:uid="{00000000-0005-0000-0000-00006D000000}"/>
    <cellStyle name="Normal 13 4" xfId="375" xr:uid="{00000000-0005-0000-0000-00006E000000}"/>
    <cellStyle name="Normal 13 5" xfId="465" xr:uid="{00000000-0005-0000-0000-00006F000000}"/>
    <cellStyle name="Normal 13 6" xfId="555" xr:uid="{00000000-0005-0000-0000-000070000000}"/>
    <cellStyle name="Normal 13 7" xfId="645" xr:uid="{00000000-0005-0000-0000-000071000000}"/>
    <cellStyle name="Normal 13 8" xfId="735" xr:uid="{00000000-0005-0000-0000-000072000000}"/>
    <cellStyle name="Normal 13 9" xfId="832" xr:uid="{00000000-0005-0000-0000-000073000000}"/>
    <cellStyle name="Normal 14" xfId="106" xr:uid="{00000000-0005-0000-0000-000074000000}"/>
    <cellStyle name="Normal 14 2" xfId="198" xr:uid="{00000000-0005-0000-0000-000075000000}"/>
    <cellStyle name="Normal 14 3" xfId="288" xr:uid="{00000000-0005-0000-0000-000076000000}"/>
    <cellStyle name="Normal 14 4" xfId="378" xr:uid="{00000000-0005-0000-0000-000077000000}"/>
    <cellStyle name="Normal 14 5" xfId="468" xr:uid="{00000000-0005-0000-0000-000078000000}"/>
    <cellStyle name="Normal 14 6" xfId="558" xr:uid="{00000000-0005-0000-0000-000079000000}"/>
    <cellStyle name="Normal 14 7" xfId="648" xr:uid="{00000000-0005-0000-0000-00007A000000}"/>
    <cellStyle name="Normal 14 8" xfId="738" xr:uid="{00000000-0005-0000-0000-00007B000000}"/>
    <cellStyle name="Normal 14 9" xfId="835" xr:uid="{00000000-0005-0000-0000-00007C000000}"/>
    <cellStyle name="Normal 15" xfId="109" xr:uid="{00000000-0005-0000-0000-00007D000000}"/>
    <cellStyle name="Normal 15 2" xfId="201" xr:uid="{00000000-0005-0000-0000-00007E000000}"/>
    <cellStyle name="Normal 15 3" xfId="291" xr:uid="{00000000-0005-0000-0000-00007F000000}"/>
    <cellStyle name="Normal 15 4" xfId="381" xr:uid="{00000000-0005-0000-0000-000080000000}"/>
    <cellStyle name="Normal 15 5" xfId="471" xr:uid="{00000000-0005-0000-0000-000081000000}"/>
    <cellStyle name="Normal 15 6" xfId="561" xr:uid="{00000000-0005-0000-0000-000082000000}"/>
    <cellStyle name="Normal 15 7" xfId="651" xr:uid="{00000000-0005-0000-0000-000083000000}"/>
    <cellStyle name="Normal 15 8" xfId="741" xr:uid="{00000000-0005-0000-0000-000084000000}"/>
    <cellStyle name="Normal 15 9" xfId="838" xr:uid="{00000000-0005-0000-0000-000085000000}"/>
    <cellStyle name="Normal 16" xfId="112" xr:uid="{00000000-0005-0000-0000-000086000000}"/>
    <cellStyle name="Normal 16 2" xfId="204" xr:uid="{00000000-0005-0000-0000-000087000000}"/>
    <cellStyle name="Normal 16 3" xfId="294" xr:uid="{00000000-0005-0000-0000-000088000000}"/>
    <cellStyle name="Normal 16 4" xfId="384" xr:uid="{00000000-0005-0000-0000-000089000000}"/>
    <cellStyle name="Normal 16 5" xfId="474" xr:uid="{00000000-0005-0000-0000-00008A000000}"/>
    <cellStyle name="Normal 16 6" xfId="564" xr:uid="{00000000-0005-0000-0000-00008B000000}"/>
    <cellStyle name="Normal 16 7" xfId="654" xr:uid="{00000000-0005-0000-0000-00008C000000}"/>
    <cellStyle name="Normal 16 8" xfId="744" xr:uid="{00000000-0005-0000-0000-00008D000000}"/>
    <cellStyle name="Normal 16 9" xfId="841" xr:uid="{00000000-0005-0000-0000-00008E000000}"/>
    <cellStyle name="Normal 17" xfId="8" xr:uid="{00000000-0005-0000-0000-00008F000000}"/>
    <cellStyle name="Normal 18" xfId="10" xr:uid="{00000000-0005-0000-0000-000090000000}"/>
    <cellStyle name="Normal 19" xfId="117" xr:uid="{00000000-0005-0000-0000-000091000000}"/>
    <cellStyle name="Normal 2" xfId="1" xr:uid="{00000000-0005-0000-0000-000092000000}"/>
    <cellStyle name="Normal 2 2" xfId="7" xr:uid="{00000000-0005-0000-0000-000093000000}"/>
    <cellStyle name="Normal 2 3" xfId="20" xr:uid="{00000000-0005-0000-0000-000094000000}"/>
    <cellStyle name="Normal 2 4" xfId="39" xr:uid="{00000000-0005-0000-0000-000095000000}"/>
    <cellStyle name="Normal 2 5" xfId="60" xr:uid="{00000000-0005-0000-0000-000096000000}"/>
    <cellStyle name="Normal 20" xfId="207" xr:uid="{00000000-0005-0000-0000-000097000000}"/>
    <cellStyle name="Normal 21" xfId="297" xr:uid="{00000000-0005-0000-0000-000098000000}"/>
    <cellStyle name="Normal 22" xfId="387" xr:uid="{00000000-0005-0000-0000-000099000000}"/>
    <cellStyle name="Normal 23" xfId="477" xr:uid="{00000000-0005-0000-0000-00009A000000}"/>
    <cellStyle name="Normal 24" xfId="567" xr:uid="{00000000-0005-0000-0000-00009B000000}"/>
    <cellStyle name="Normal 25" xfId="657" xr:uid="{00000000-0005-0000-0000-00009C000000}"/>
    <cellStyle name="Normal 26" xfId="747" xr:uid="{00000000-0005-0000-0000-00009D000000}"/>
    <cellStyle name="Normal 27" xfId="850" xr:uid="{ED50C316-25E5-4ED7-8355-A3104735F1B2}"/>
    <cellStyle name="Normal 3" xfId="4" xr:uid="{00000000-0005-0000-0000-00009E000000}"/>
    <cellStyle name="Normal 3 10" xfId="104" xr:uid="{00000000-0005-0000-0000-00009F000000}"/>
    <cellStyle name="Normal 3 10 2" xfId="196" xr:uid="{00000000-0005-0000-0000-0000A0000000}"/>
    <cellStyle name="Normal 3 10 3" xfId="286" xr:uid="{00000000-0005-0000-0000-0000A1000000}"/>
    <cellStyle name="Normal 3 10 4" xfId="376" xr:uid="{00000000-0005-0000-0000-0000A2000000}"/>
    <cellStyle name="Normal 3 10 5" xfId="466" xr:uid="{00000000-0005-0000-0000-0000A3000000}"/>
    <cellStyle name="Normal 3 10 6" xfId="556" xr:uid="{00000000-0005-0000-0000-0000A4000000}"/>
    <cellStyle name="Normal 3 10 7" xfId="646" xr:uid="{00000000-0005-0000-0000-0000A5000000}"/>
    <cellStyle name="Normal 3 10 8" xfId="736" xr:uid="{00000000-0005-0000-0000-0000A6000000}"/>
    <cellStyle name="Normal 3 10 9" xfId="833" xr:uid="{00000000-0005-0000-0000-0000A7000000}"/>
    <cellStyle name="Normal 3 11" xfId="107" xr:uid="{00000000-0005-0000-0000-0000A8000000}"/>
    <cellStyle name="Normal 3 11 2" xfId="199" xr:uid="{00000000-0005-0000-0000-0000A9000000}"/>
    <cellStyle name="Normal 3 11 3" xfId="289" xr:uid="{00000000-0005-0000-0000-0000AA000000}"/>
    <cellStyle name="Normal 3 11 4" xfId="379" xr:uid="{00000000-0005-0000-0000-0000AB000000}"/>
    <cellStyle name="Normal 3 11 5" xfId="469" xr:uid="{00000000-0005-0000-0000-0000AC000000}"/>
    <cellStyle name="Normal 3 11 6" xfId="559" xr:uid="{00000000-0005-0000-0000-0000AD000000}"/>
    <cellStyle name="Normal 3 11 7" xfId="649" xr:uid="{00000000-0005-0000-0000-0000AE000000}"/>
    <cellStyle name="Normal 3 11 8" xfId="739" xr:uid="{00000000-0005-0000-0000-0000AF000000}"/>
    <cellStyle name="Normal 3 11 9" xfId="836" xr:uid="{00000000-0005-0000-0000-0000B0000000}"/>
    <cellStyle name="Normal 3 12" xfId="110" xr:uid="{00000000-0005-0000-0000-0000B1000000}"/>
    <cellStyle name="Normal 3 12 2" xfId="202" xr:uid="{00000000-0005-0000-0000-0000B2000000}"/>
    <cellStyle name="Normal 3 12 3" xfId="292" xr:uid="{00000000-0005-0000-0000-0000B3000000}"/>
    <cellStyle name="Normal 3 12 4" xfId="382" xr:uid="{00000000-0005-0000-0000-0000B4000000}"/>
    <cellStyle name="Normal 3 12 5" xfId="472" xr:uid="{00000000-0005-0000-0000-0000B5000000}"/>
    <cellStyle name="Normal 3 12 6" xfId="562" xr:uid="{00000000-0005-0000-0000-0000B6000000}"/>
    <cellStyle name="Normal 3 12 7" xfId="652" xr:uid="{00000000-0005-0000-0000-0000B7000000}"/>
    <cellStyle name="Normal 3 12 8" xfId="742" xr:uid="{00000000-0005-0000-0000-0000B8000000}"/>
    <cellStyle name="Normal 3 12 9" xfId="839" xr:uid="{00000000-0005-0000-0000-0000B9000000}"/>
    <cellStyle name="Normal 3 13" xfId="113" xr:uid="{00000000-0005-0000-0000-0000BA000000}"/>
    <cellStyle name="Normal 3 13 2" xfId="205" xr:uid="{00000000-0005-0000-0000-0000BB000000}"/>
    <cellStyle name="Normal 3 13 3" xfId="295" xr:uid="{00000000-0005-0000-0000-0000BC000000}"/>
    <cellStyle name="Normal 3 13 4" xfId="385" xr:uid="{00000000-0005-0000-0000-0000BD000000}"/>
    <cellStyle name="Normal 3 13 5" xfId="475" xr:uid="{00000000-0005-0000-0000-0000BE000000}"/>
    <cellStyle name="Normal 3 13 6" xfId="565" xr:uid="{00000000-0005-0000-0000-0000BF000000}"/>
    <cellStyle name="Normal 3 13 7" xfId="655" xr:uid="{00000000-0005-0000-0000-0000C0000000}"/>
    <cellStyle name="Normal 3 13 8" xfId="745" xr:uid="{00000000-0005-0000-0000-0000C1000000}"/>
    <cellStyle name="Normal 3 13 9" xfId="842" xr:uid="{00000000-0005-0000-0000-0000C2000000}"/>
    <cellStyle name="Normal 3 14" xfId="11" xr:uid="{00000000-0005-0000-0000-0000C3000000}"/>
    <cellStyle name="Normal 3 15" xfId="118" xr:uid="{00000000-0005-0000-0000-0000C4000000}"/>
    <cellStyle name="Normal 3 16" xfId="208" xr:uid="{00000000-0005-0000-0000-0000C5000000}"/>
    <cellStyle name="Normal 3 17" xfId="298" xr:uid="{00000000-0005-0000-0000-0000C6000000}"/>
    <cellStyle name="Normal 3 18" xfId="388" xr:uid="{00000000-0005-0000-0000-0000C7000000}"/>
    <cellStyle name="Normal 3 19" xfId="478" xr:uid="{00000000-0005-0000-0000-0000C8000000}"/>
    <cellStyle name="Normal 3 2" xfId="23" xr:uid="{00000000-0005-0000-0000-0000C9000000}"/>
    <cellStyle name="Normal 3 2 10" xfId="662" xr:uid="{00000000-0005-0000-0000-0000CA000000}"/>
    <cellStyle name="Normal 3 2 11" xfId="757" xr:uid="{00000000-0005-0000-0000-0000CB000000}"/>
    <cellStyle name="Normal 3 2 2" xfId="45" xr:uid="{00000000-0005-0000-0000-0000CC000000}"/>
    <cellStyle name="Normal 3 2 2 10" xfId="777" xr:uid="{00000000-0005-0000-0000-0000CD000000}"/>
    <cellStyle name="Normal 3 2 2 2" xfId="85" xr:uid="{00000000-0005-0000-0000-0000CE000000}"/>
    <cellStyle name="Normal 3 2 2 2 2" xfId="178" xr:uid="{00000000-0005-0000-0000-0000CF000000}"/>
    <cellStyle name="Normal 3 2 2 2 3" xfId="268" xr:uid="{00000000-0005-0000-0000-0000D0000000}"/>
    <cellStyle name="Normal 3 2 2 2 4" xfId="358" xr:uid="{00000000-0005-0000-0000-0000D1000000}"/>
    <cellStyle name="Normal 3 2 2 2 5" xfId="448" xr:uid="{00000000-0005-0000-0000-0000D2000000}"/>
    <cellStyle name="Normal 3 2 2 2 6" xfId="538" xr:uid="{00000000-0005-0000-0000-0000D3000000}"/>
    <cellStyle name="Normal 3 2 2 2 7" xfId="628" xr:uid="{00000000-0005-0000-0000-0000D4000000}"/>
    <cellStyle name="Normal 3 2 2 2 8" xfId="718" xr:uid="{00000000-0005-0000-0000-0000D5000000}"/>
    <cellStyle name="Normal 3 2 2 2 9" xfId="815" xr:uid="{00000000-0005-0000-0000-0000D6000000}"/>
    <cellStyle name="Normal 3 2 2 3" xfId="141" xr:uid="{00000000-0005-0000-0000-0000D7000000}"/>
    <cellStyle name="Normal 3 2 2 4" xfId="231" xr:uid="{00000000-0005-0000-0000-0000D8000000}"/>
    <cellStyle name="Normal 3 2 2 5" xfId="321" xr:uid="{00000000-0005-0000-0000-0000D9000000}"/>
    <cellStyle name="Normal 3 2 2 6" xfId="411" xr:uid="{00000000-0005-0000-0000-0000DA000000}"/>
    <cellStyle name="Normal 3 2 2 7" xfId="501" xr:uid="{00000000-0005-0000-0000-0000DB000000}"/>
    <cellStyle name="Normal 3 2 2 8" xfId="591" xr:uid="{00000000-0005-0000-0000-0000DC000000}"/>
    <cellStyle name="Normal 3 2 2 9" xfId="681" xr:uid="{00000000-0005-0000-0000-0000DD000000}"/>
    <cellStyle name="Normal 3 2 3" xfId="66" xr:uid="{00000000-0005-0000-0000-0000DE000000}"/>
    <cellStyle name="Normal 3 2 3 2" xfId="159" xr:uid="{00000000-0005-0000-0000-0000DF000000}"/>
    <cellStyle name="Normal 3 2 3 3" xfId="249" xr:uid="{00000000-0005-0000-0000-0000E0000000}"/>
    <cellStyle name="Normal 3 2 3 4" xfId="339" xr:uid="{00000000-0005-0000-0000-0000E1000000}"/>
    <cellStyle name="Normal 3 2 3 5" xfId="429" xr:uid="{00000000-0005-0000-0000-0000E2000000}"/>
    <cellStyle name="Normal 3 2 3 6" xfId="519" xr:uid="{00000000-0005-0000-0000-0000E3000000}"/>
    <cellStyle name="Normal 3 2 3 7" xfId="609" xr:uid="{00000000-0005-0000-0000-0000E4000000}"/>
    <cellStyle name="Normal 3 2 3 8" xfId="699" xr:uid="{00000000-0005-0000-0000-0000E5000000}"/>
    <cellStyle name="Normal 3 2 3 9" xfId="796" xr:uid="{00000000-0005-0000-0000-0000E6000000}"/>
    <cellStyle name="Normal 3 2 4" xfId="122" xr:uid="{00000000-0005-0000-0000-0000E7000000}"/>
    <cellStyle name="Normal 3 2 5" xfId="212" xr:uid="{00000000-0005-0000-0000-0000E8000000}"/>
    <cellStyle name="Normal 3 2 6" xfId="302" xr:uid="{00000000-0005-0000-0000-0000E9000000}"/>
    <cellStyle name="Normal 3 2 7" xfId="392" xr:uid="{00000000-0005-0000-0000-0000EA000000}"/>
    <cellStyle name="Normal 3 2 8" xfId="482" xr:uid="{00000000-0005-0000-0000-0000EB000000}"/>
    <cellStyle name="Normal 3 2 9" xfId="572" xr:uid="{00000000-0005-0000-0000-0000EC000000}"/>
    <cellStyle name="Normal 3 20" xfId="568" xr:uid="{00000000-0005-0000-0000-0000ED000000}"/>
    <cellStyle name="Normal 3 21" xfId="658" xr:uid="{00000000-0005-0000-0000-0000EE000000}"/>
    <cellStyle name="Normal 3 22" xfId="748" xr:uid="{00000000-0005-0000-0000-0000EF000000}"/>
    <cellStyle name="Normal 3 3" xfId="26" xr:uid="{00000000-0005-0000-0000-0000F0000000}"/>
    <cellStyle name="Normal 3 3 10" xfId="665" xr:uid="{00000000-0005-0000-0000-0000F1000000}"/>
    <cellStyle name="Normal 3 3 11" xfId="760" xr:uid="{00000000-0005-0000-0000-0000F2000000}"/>
    <cellStyle name="Normal 3 3 2" xfId="48" xr:uid="{00000000-0005-0000-0000-0000F3000000}"/>
    <cellStyle name="Normal 3 3 2 10" xfId="780" xr:uid="{00000000-0005-0000-0000-0000F4000000}"/>
    <cellStyle name="Normal 3 3 2 2" xfId="88" xr:uid="{00000000-0005-0000-0000-0000F5000000}"/>
    <cellStyle name="Normal 3 3 2 2 2" xfId="181" xr:uid="{00000000-0005-0000-0000-0000F6000000}"/>
    <cellStyle name="Normal 3 3 2 2 3" xfId="271" xr:uid="{00000000-0005-0000-0000-0000F7000000}"/>
    <cellStyle name="Normal 3 3 2 2 4" xfId="361" xr:uid="{00000000-0005-0000-0000-0000F8000000}"/>
    <cellStyle name="Normal 3 3 2 2 5" xfId="451" xr:uid="{00000000-0005-0000-0000-0000F9000000}"/>
    <cellStyle name="Normal 3 3 2 2 6" xfId="541" xr:uid="{00000000-0005-0000-0000-0000FA000000}"/>
    <cellStyle name="Normal 3 3 2 2 7" xfId="631" xr:uid="{00000000-0005-0000-0000-0000FB000000}"/>
    <cellStyle name="Normal 3 3 2 2 8" xfId="721" xr:uid="{00000000-0005-0000-0000-0000FC000000}"/>
    <cellStyle name="Normal 3 3 2 2 9" xfId="818" xr:uid="{00000000-0005-0000-0000-0000FD000000}"/>
    <cellStyle name="Normal 3 3 2 3" xfId="144" xr:uid="{00000000-0005-0000-0000-0000FE000000}"/>
    <cellStyle name="Normal 3 3 2 4" xfId="234" xr:uid="{00000000-0005-0000-0000-0000FF000000}"/>
    <cellStyle name="Normal 3 3 2 5" xfId="324" xr:uid="{00000000-0005-0000-0000-000000010000}"/>
    <cellStyle name="Normal 3 3 2 6" xfId="414" xr:uid="{00000000-0005-0000-0000-000001010000}"/>
    <cellStyle name="Normal 3 3 2 7" xfId="504" xr:uid="{00000000-0005-0000-0000-000002010000}"/>
    <cellStyle name="Normal 3 3 2 8" xfId="594" xr:uid="{00000000-0005-0000-0000-000003010000}"/>
    <cellStyle name="Normal 3 3 2 9" xfId="684" xr:uid="{00000000-0005-0000-0000-000004010000}"/>
    <cellStyle name="Normal 3 3 3" xfId="69" xr:uid="{00000000-0005-0000-0000-000005010000}"/>
    <cellStyle name="Normal 3 3 3 2" xfId="162" xr:uid="{00000000-0005-0000-0000-000006010000}"/>
    <cellStyle name="Normal 3 3 3 3" xfId="252" xr:uid="{00000000-0005-0000-0000-000007010000}"/>
    <cellStyle name="Normal 3 3 3 4" xfId="342" xr:uid="{00000000-0005-0000-0000-000008010000}"/>
    <cellStyle name="Normal 3 3 3 5" xfId="432" xr:uid="{00000000-0005-0000-0000-000009010000}"/>
    <cellStyle name="Normal 3 3 3 6" xfId="522" xr:uid="{00000000-0005-0000-0000-00000A010000}"/>
    <cellStyle name="Normal 3 3 3 7" xfId="612" xr:uid="{00000000-0005-0000-0000-00000B010000}"/>
    <cellStyle name="Normal 3 3 3 8" xfId="702" xr:uid="{00000000-0005-0000-0000-00000C010000}"/>
    <cellStyle name="Normal 3 3 3 9" xfId="799" xr:uid="{00000000-0005-0000-0000-00000D010000}"/>
    <cellStyle name="Normal 3 3 4" xfId="125" xr:uid="{00000000-0005-0000-0000-00000E010000}"/>
    <cellStyle name="Normal 3 3 5" xfId="215" xr:uid="{00000000-0005-0000-0000-00000F010000}"/>
    <cellStyle name="Normal 3 3 6" xfId="305" xr:uid="{00000000-0005-0000-0000-000010010000}"/>
    <cellStyle name="Normal 3 3 7" xfId="395" xr:uid="{00000000-0005-0000-0000-000011010000}"/>
    <cellStyle name="Normal 3 3 8" xfId="485" xr:uid="{00000000-0005-0000-0000-000012010000}"/>
    <cellStyle name="Normal 3 3 9" xfId="575" xr:uid="{00000000-0005-0000-0000-000013010000}"/>
    <cellStyle name="Normal 3 4" xfId="29" xr:uid="{00000000-0005-0000-0000-000014010000}"/>
    <cellStyle name="Normal 3 4 10" xfId="668" xr:uid="{00000000-0005-0000-0000-000015010000}"/>
    <cellStyle name="Normal 3 4 11" xfId="763" xr:uid="{00000000-0005-0000-0000-000016010000}"/>
    <cellStyle name="Normal 3 4 2" xfId="51" xr:uid="{00000000-0005-0000-0000-000017010000}"/>
    <cellStyle name="Normal 3 4 2 10" xfId="783" xr:uid="{00000000-0005-0000-0000-000018010000}"/>
    <cellStyle name="Normal 3 4 2 2" xfId="91" xr:uid="{00000000-0005-0000-0000-000019010000}"/>
    <cellStyle name="Normal 3 4 2 2 2" xfId="184" xr:uid="{00000000-0005-0000-0000-00001A010000}"/>
    <cellStyle name="Normal 3 4 2 2 3" xfId="274" xr:uid="{00000000-0005-0000-0000-00001B010000}"/>
    <cellStyle name="Normal 3 4 2 2 4" xfId="364" xr:uid="{00000000-0005-0000-0000-00001C010000}"/>
    <cellStyle name="Normal 3 4 2 2 5" xfId="454" xr:uid="{00000000-0005-0000-0000-00001D010000}"/>
    <cellStyle name="Normal 3 4 2 2 6" xfId="544" xr:uid="{00000000-0005-0000-0000-00001E010000}"/>
    <cellStyle name="Normal 3 4 2 2 7" xfId="634" xr:uid="{00000000-0005-0000-0000-00001F010000}"/>
    <cellStyle name="Normal 3 4 2 2 8" xfId="724" xr:uid="{00000000-0005-0000-0000-000020010000}"/>
    <cellStyle name="Normal 3 4 2 2 9" xfId="821" xr:uid="{00000000-0005-0000-0000-000021010000}"/>
    <cellStyle name="Normal 3 4 2 3" xfId="147" xr:uid="{00000000-0005-0000-0000-000022010000}"/>
    <cellStyle name="Normal 3 4 2 4" xfId="237" xr:uid="{00000000-0005-0000-0000-000023010000}"/>
    <cellStyle name="Normal 3 4 2 5" xfId="327" xr:uid="{00000000-0005-0000-0000-000024010000}"/>
    <cellStyle name="Normal 3 4 2 6" xfId="417" xr:uid="{00000000-0005-0000-0000-000025010000}"/>
    <cellStyle name="Normal 3 4 2 7" xfId="507" xr:uid="{00000000-0005-0000-0000-000026010000}"/>
    <cellStyle name="Normal 3 4 2 8" xfId="597" xr:uid="{00000000-0005-0000-0000-000027010000}"/>
    <cellStyle name="Normal 3 4 2 9" xfId="687" xr:uid="{00000000-0005-0000-0000-000028010000}"/>
    <cellStyle name="Normal 3 4 3" xfId="72" xr:uid="{00000000-0005-0000-0000-000029010000}"/>
    <cellStyle name="Normal 3 4 3 2" xfId="165" xr:uid="{00000000-0005-0000-0000-00002A010000}"/>
    <cellStyle name="Normal 3 4 3 3" xfId="255" xr:uid="{00000000-0005-0000-0000-00002B010000}"/>
    <cellStyle name="Normal 3 4 3 4" xfId="345" xr:uid="{00000000-0005-0000-0000-00002C010000}"/>
    <cellStyle name="Normal 3 4 3 5" xfId="435" xr:uid="{00000000-0005-0000-0000-00002D010000}"/>
    <cellStyle name="Normal 3 4 3 6" xfId="525" xr:uid="{00000000-0005-0000-0000-00002E010000}"/>
    <cellStyle name="Normal 3 4 3 7" xfId="615" xr:uid="{00000000-0005-0000-0000-00002F010000}"/>
    <cellStyle name="Normal 3 4 3 8" xfId="705" xr:uid="{00000000-0005-0000-0000-000030010000}"/>
    <cellStyle name="Normal 3 4 3 9" xfId="802" xr:uid="{00000000-0005-0000-0000-000031010000}"/>
    <cellStyle name="Normal 3 4 4" xfId="128" xr:uid="{00000000-0005-0000-0000-000032010000}"/>
    <cellStyle name="Normal 3 4 5" xfId="218" xr:uid="{00000000-0005-0000-0000-000033010000}"/>
    <cellStyle name="Normal 3 4 6" xfId="308" xr:uid="{00000000-0005-0000-0000-000034010000}"/>
    <cellStyle name="Normal 3 4 7" xfId="398" xr:uid="{00000000-0005-0000-0000-000035010000}"/>
    <cellStyle name="Normal 3 4 8" xfId="488" xr:uid="{00000000-0005-0000-0000-000036010000}"/>
    <cellStyle name="Normal 3 4 9" xfId="578" xr:uid="{00000000-0005-0000-0000-000037010000}"/>
    <cellStyle name="Normal 3 5" xfId="33" xr:uid="{00000000-0005-0000-0000-000038010000}"/>
    <cellStyle name="Normal 3 5 10" xfId="671" xr:uid="{00000000-0005-0000-0000-000039010000}"/>
    <cellStyle name="Normal 3 5 11" xfId="766" xr:uid="{00000000-0005-0000-0000-00003A010000}"/>
    <cellStyle name="Normal 3 5 2" xfId="55" xr:uid="{00000000-0005-0000-0000-00003B010000}"/>
    <cellStyle name="Normal 3 5 2 10" xfId="786" xr:uid="{00000000-0005-0000-0000-00003C010000}"/>
    <cellStyle name="Normal 3 5 2 2" xfId="95" xr:uid="{00000000-0005-0000-0000-00003D010000}"/>
    <cellStyle name="Normal 3 5 2 2 2" xfId="187" xr:uid="{00000000-0005-0000-0000-00003E010000}"/>
    <cellStyle name="Normal 3 5 2 2 3" xfId="277" xr:uid="{00000000-0005-0000-0000-00003F010000}"/>
    <cellStyle name="Normal 3 5 2 2 4" xfId="367" xr:uid="{00000000-0005-0000-0000-000040010000}"/>
    <cellStyle name="Normal 3 5 2 2 5" xfId="457" xr:uid="{00000000-0005-0000-0000-000041010000}"/>
    <cellStyle name="Normal 3 5 2 2 6" xfId="547" xr:uid="{00000000-0005-0000-0000-000042010000}"/>
    <cellStyle name="Normal 3 5 2 2 7" xfId="637" xr:uid="{00000000-0005-0000-0000-000043010000}"/>
    <cellStyle name="Normal 3 5 2 2 8" xfId="727" xr:uid="{00000000-0005-0000-0000-000044010000}"/>
    <cellStyle name="Normal 3 5 2 2 9" xfId="824" xr:uid="{00000000-0005-0000-0000-000045010000}"/>
    <cellStyle name="Normal 3 5 2 3" xfId="150" xr:uid="{00000000-0005-0000-0000-000046010000}"/>
    <cellStyle name="Normal 3 5 2 4" xfId="240" xr:uid="{00000000-0005-0000-0000-000047010000}"/>
    <cellStyle name="Normal 3 5 2 5" xfId="330" xr:uid="{00000000-0005-0000-0000-000048010000}"/>
    <cellStyle name="Normal 3 5 2 6" xfId="420" xr:uid="{00000000-0005-0000-0000-000049010000}"/>
    <cellStyle name="Normal 3 5 2 7" xfId="510" xr:uid="{00000000-0005-0000-0000-00004A010000}"/>
    <cellStyle name="Normal 3 5 2 8" xfId="600" xr:uid="{00000000-0005-0000-0000-00004B010000}"/>
    <cellStyle name="Normal 3 5 2 9" xfId="690" xr:uid="{00000000-0005-0000-0000-00004C010000}"/>
    <cellStyle name="Normal 3 5 3" xfId="75" xr:uid="{00000000-0005-0000-0000-00004D010000}"/>
    <cellStyle name="Normal 3 5 3 2" xfId="168" xr:uid="{00000000-0005-0000-0000-00004E010000}"/>
    <cellStyle name="Normal 3 5 3 3" xfId="258" xr:uid="{00000000-0005-0000-0000-00004F010000}"/>
    <cellStyle name="Normal 3 5 3 4" xfId="348" xr:uid="{00000000-0005-0000-0000-000050010000}"/>
    <cellStyle name="Normal 3 5 3 5" xfId="438" xr:uid="{00000000-0005-0000-0000-000051010000}"/>
    <cellStyle name="Normal 3 5 3 6" xfId="528" xr:uid="{00000000-0005-0000-0000-000052010000}"/>
    <cellStyle name="Normal 3 5 3 7" xfId="618" xr:uid="{00000000-0005-0000-0000-000053010000}"/>
    <cellStyle name="Normal 3 5 3 8" xfId="708" xr:uid="{00000000-0005-0000-0000-000054010000}"/>
    <cellStyle name="Normal 3 5 3 9" xfId="805" xr:uid="{00000000-0005-0000-0000-000055010000}"/>
    <cellStyle name="Normal 3 5 4" xfId="131" xr:uid="{00000000-0005-0000-0000-000056010000}"/>
    <cellStyle name="Normal 3 5 5" xfId="221" xr:uid="{00000000-0005-0000-0000-000057010000}"/>
    <cellStyle name="Normal 3 5 6" xfId="311" xr:uid="{00000000-0005-0000-0000-000058010000}"/>
    <cellStyle name="Normal 3 5 7" xfId="401" xr:uid="{00000000-0005-0000-0000-000059010000}"/>
    <cellStyle name="Normal 3 5 8" xfId="491" xr:uid="{00000000-0005-0000-0000-00005A010000}"/>
    <cellStyle name="Normal 3 5 9" xfId="581" xr:uid="{00000000-0005-0000-0000-00005B010000}"/>
    <cellStyle name="Normal 3 6" xfId="36" xr:uid="{00000000-0005-0000-0000-00005C010000}"/>
    <cellStyle name="Normal 3 6 10" xfId="674" xr:uid="{00000000-0005-0000-0000-00005D010000}"/>
    <cellStyle name="Normal 3 6 11" xfId="769" xr:uid="{00000000-0005-0000-0000-00005E010000}"/>
    <cellStyle name="Normal 3 6 2" xfId="58" xr:uid="{00000000-0005-0000-0000-00005F010000}"/>
    <cellStyle name="Normal 3 6 2 10" xfId="789" xr:uid="{00000000-0005-0000-0000-000060010000}"/>
    <cellStyle name="Normal 3 6 2 2" xfId="98" xr:uid="{00000000-0005-0000-0000-000061010000}"/>
    <cellStyle name="Normal 3 6 2 2 2" xfId="190" xr:uid="{00000000-0005-0000-0000-000062010000}"/>
    <cellStyle name="Normal 3 6 2 2 3" xfId="280" xr:uid="{00000000-0005-0000-0000-000063010000}"/>
    <cellStyle name="Normal 3 6 2 2 4" xfId="370" xr:uid="{00000000-0005-0000-0000-000064010000}"/>
    <cellStyle name="Normal 3 6 2 2 5" xfId="460" xr:uid="{00000000-0005-0000-0000-000065010000}"/>
    <cellStyle name="Normal 3 6 2 2 6" xfId="550" xr:uid="{00000000-0005-0000-0000-000066010000}"/>
    <cellStyle name="Normal 3 6 2 2 7" xfId="640" xr:uid="{00000000-0005-0000-0000-000067010000}"/>
    <cellStyle name="Normal 3 6 2 2 8" xfId="730" xr:uid="{00000000-0005-0000-0000-000068010000}"/>
    <cellStyle name="Normal 3 6 2 2 9" xfId="827" xr:uid="{00000000-0005-0000-0000-000069010000}"/>
    <cellStyle name="Normal 3 6 2 3" xfId="153" xr:uid="{00000000-0005-0000-0000-00006A010000}"/>
    <cellStyle name="Normal 3 6 2 4" xfId="243" xr:uid="{00000000-0005-0000-0000-00006B010000}"/>
    <cellStyle name="Normal 3 6 2 5" xfId="333" xr:uid="{00000000-0005-0000-0000-00006C010000}"/>
    <cellStyle name="Normal 3 6 2 6" xfId="423" xr:uid="{00000000-0005-0000-0000-00006D010000}"/>
    <cellStyle name="Normal 3 6 2 7" xfId="513" xr:uid="{00000000-0005-0000-0000-00006E010000}"/>
    <cellStyle name="Normal 3 6 2 8" xfId="603" xr:uid="{00000000-0005-0000-0000-00006F010000}"/>
    <cellStyle name="Normal 3 6 2 9" xfId="693" xr:uid="{00000000-0005-0000-0000-000070010000}"/>
    <cellStyle name="Normal 3 6 3" xfId="78" xr:uid="{00000000-0005-0000-0000-000071010000}"/>
    <cellStyle name="Normal 3 6 3 2" xfId="171" xr:uid="{00000000-0005-0000-0000-000072010000}"/>
    <cellStyle name="Normal 3 6 3 3" xfId="261" xr:uid="{00000000-0005-0000-0000-000073010000}"/>
    <cellStyle name="Normal 3 6 3 4" xfId="351" xr:uid="{00000000-0005-0000-0000-000074010000}"/>
    <cellStyle name="Normal 3 6 3 5" xfId="441" xr:uid="{00000000-0005-0000-0000-000075010000}"/>
    <cellStyle name="Normal 3 6 3 6" xfId="531" xr:uid="{00000000-0005-0000-0000-000076010000}"/>
    <cellStyle name="Normal 3 6 3 7" xfId="621" xr:uid="{00000000-0005-0000-0000-000077010000}"/>
    <cellStyle name="Normal 3 6 3 8" xfId="711" xr:uid="{00000000-0005-0000-0000-000078010000}"/>
    <cellStyle name="Normal 3 6 3 9" xfId="808" xr:uid="{00000000-0005-0000-0000-000079010000}"/>
    <cellStyle name="Normal 3 6 4" xfId="134" xr:uid="{00000000-0005-0000-0000-00007A010000}"/>
    <cellStyle name="Normal 3 6 5" xfId="224" xr:uid="{00000000-0005-0000-0000-00007B010000}"/>
    <cellStyle name="Normal 3 6 6" xfId="314" xr:uid="{00000000-0005-0000-0000-00007C010000}"/>
    <cellStyle name="Normal 3 6 7" xfId="404" xr:uid="{00000000-0005-0000-0000-00007D010000}"/>
    <cellStyle name="Normal 3 6 8" xfId="494" xr:uid="{00000000-0005-0000-0000-00007E010000}"/>
    <cellStyle name="Normal 3 6 9" xfId="584" xr:uid="{00000000-0005-0000-0000-00007F010000}"/>
    <cellStyle name="Normal 3 7" xfId="42" xr:uid="{00000000-0005-0000-0000-000080010000}"/>
    <cellStyle name="Normal 3 7 10" xfId="774" xr:uid="{00000000-0005-0000-0000-000081010000}"/>
    <cellStyle name="Normal 3 7 2" xfId="82" xr:uid="{00000000-0005-0000-0000-000082010000}"/>
    <cellStyle name="Normal 3 7 2 2" xfId="175" xr:uid="{00000000-0005-0000-0000-000083010000}"/>
    <cellStyle name="Normal 3 7 2 3" xfId="265" xr:uid="{00000000-0005-0000-0000-000084010000}"/>
    <cellStyle name="Normal 3 7 2 4" xfId="355" xr:uid="{00000000-0005-0000-0000-000085010000}"/>
    <cellStyle name="Normal 3 7 2 5" xfId="445" xr:uid="{00000000-0005-0000-0000-000086010000}"/>
    <cellStyle name="Normal 3 7 2 6" xfId="535" xr:uid="{00000000-0005-0000-0000-000087010000}"/>
    <cellStyle name="Normal 3 7 2 7" xfId="625" xr:uid="{00000000-0005-0000-0000-000088010000}"/>
    <cellStyle name="Normal 3 7 2 8" xfId="715" xr:uid="{00000000-0005-0000-0000-000089010000}"/>
    <cellStyle name="Normal 3 7 2 9" xfId="812" xr:uid="{00000000-0005-0000-0000-00008A010000}"/>
    <cellStyle name="Normal 3 7 3" xfId="138" xr:uid="{00000000-0005-0000-0000-00008B010000}"/>
    <cellStyle name="Normal 3 7 4" xfId="228" xr:uid="{00000000-0005-0000-0000-00008C010000}"/>
    <cellStyle name="Normal 3 7 5" xfId="318" xr:uid="{00000000-0005-0000-0000-00008D010000}"/>
    <cellStyle name="Normal 3 7 6" xfId="408" xr:uid="{00000000-0005-0000-0000-00008E010000}"/>
    <cellStyle name="Normal 3 7 7" xfId="498" xr:uid="{00000000-0005-0000-0000-00008F010000}"/>
    <cellStyle name="Normal 3 7 8" xfId="588" xr:uid="{00000000-0005-0000-0000-000090010000}"/>
    <cellStyle name="Normal 3 7 9" xfId="678" xr:uid="{00000000-0005-0000-0000-000091010000}"/>
    <cellStyle name="Normal 3 8" xfId="63" xr:uid="{00000000-0005-0000-0000-000092010000}"/>
    <cellStyle name="Normal 3 8 2" xfId="156" xr:uid="{00000000-0005-0000-0000-000093010000}"/>
    <cellStyle name="Normal 3 8 3" xfId="246" xr:uid="{00000000-0005-0000-0000-000094010000}"/>
    <cellStyle name="Normal 3 8 4" xfId="336" xr:uid="{00000000-0005-0000-0000-000095010000}"/>
    <cellStyle name="Normal 3 8 5" xfId="426" xr:uid="{00000000-0005-0000-0000-000096010000}"/>
    <cellStyle name="Normal 3 8 6" xfId="516" xr:uid="{00000000-0005-0000-0000-000097010000}"/>
    <cellStyle name="Normal 3 8 7" xfId="606" xr:uid="{00000000-0005-0000-0000-000098010000}"/>
    <cellStyle name="Normal 3 8 8" xfId="696" xr:uid="{00000000-0005-0000-0000-000099010000}"/>
    <cellStyle name="Normal 3 8 9" xfId="793" xr:uid="{00000000-0005-0000-0000-00009A010000}"/>
    <cellStyle name="Normal 3 9" xfId="101" xr:uid="{00000000-0005-0000-0000-00009B010000}"/>
    <cellStyle name="Normal 3 9 2" xfId="193" xr:uid="{00000000-0005-0000-0000-00009C010000}"/>
    <cellStyle name="Normal 3 9 3" xfId="283" xr:uid="{00000000-0005-0000-0000-00009D010000}"/>
    <cellStyle name="Normal 3 9 4" xfId="373" xr:uid="{00000000-0005-0000-0000-00009E010000}"/>
    <cellStyle name="Normal 3 9 5" xfId="463" xr:uid="{00000000-0005-0000-0000-00009F010000}"/>
    <cellStyle name="Normal 3 9 6" xfId="553" xr:uid="{00000000-0005-0000-0000-0000A0010000}"/>
    <cellStyle name="Normal 3 9 7" xfId="643" xr:uid="{00000000-0005-0000-0000-0000A1010000}"/>
    <cellStyle name="Normal 3 9 8" xfId="733" xr:uid="{00000000-0005-0000-0000-0000A2010000}"/>
    <cellStyle name="Normal 3 9 9" xfId="830" xr:uid="{00000000-0005-0000-0000-0000A3010000}"/>
    <cellStyle name="Normal 4" xfId="12" xr:uid="{00000000-0005-0000-0000-0000A4010000}"/>
    <cellStyle name="Normal 5" xfId="9" xr:uid="{00000000-0005-0000-0000-0000A5010000}"/>
    <cellStyle name="Normal 5 2" xfId="5" xr:uid="{00000000-0005-0000-0000-0000A6010000}"/>
    <cellStyle name="Normal 5 3" xfId="32" xr:uid="{00000000-0005-0000-0000-0000A7010000}"/>
    <cellStyle name="Normal 5 3 2" xfId="54" xr:uid="{00000000-0005-0000-0000-0000A8010000}"/>
    <cellStyle name="Normal 5 4" xfId="19" xr:uid="{00000000-0005-0000-0000-0000A9010000}"/>
    <cellStyle name="Normal 6" xfId="18" xr:uid="{00000000-0005-0000-0000-0000AA010000}"/>
    <cellStyle name="Normal 6 10" xfId="660" xr:uid="{00000000-0005-0000-0000-0000AB010000}"/>
    <cellStyle name="Normal 6 11" xfId="754" xr:uid="{00000000-0005-0000-0000-0000AC010000}"/>
    <cellStyle name="Normal 6 2" xfId="41" xr:uid="{00000000-0005-0000-0000-0000AD010000}"/>
    <cellStyle name="Normal 6 2 10" xfId="773" xr:uid="{00000000-0005-0000-0000-0000AE010000}"/>
    <cellStyle name="Normal 6 2 2" xfId="81" xr:uid="{00000000-0005-0000-0000-0000AF010000}"/>
    <cellStyle name="Normal 6 2 2 2" xfId="174" xr:uid="{00000000-0005-0000-0000-0000B0010000}"/>
    <cellStyle name="Normal 6 2 2 3" xfId="264" xr:uid="{00000000-0005-0000-0000-0000B1010000}"/>
    <cellStyle name="Normal 6 2 2 4" xfId="354" xr:uid="{00000000-0005-0000-0000-0000B2010000}"/>
    <cellStyle name="Normal 6 2 2 5" xfId="444" xr:uid="{00000000-0005-0000-0000-0000B3010000}"/>
    <cellStyle name="Normal 6 2 2 6" xfId="534" xr:uid="{00000000-0005-0000-0000-0000B4010000}"/>
    <cellStyle name="Normal 6 2 2 7" xfId="624" xr:uid="{00000000-0005-0000-0000-0000B5010000}"/>
    <cellStyle name="Normal 6 2 2 8" xfId="714" xr:uid="{00000000-0005-0000-0000-0000B6010000}"/>
    <cellStyle name="Normal 6 2 2 9" xfId="811" xr:uid="{00000000-0005-0000-0000-0000B7010000}"/>
    <cellStyle name="Normal 6 2 3" xfId="137" xr:uid="{00000000-0005-0000-0000-0000B8010000}"/>
    <cellStyle name="Normal 6 2 4" xfId="227" xr:uid="{00000000-0005-0000-0000-0000B9010000}"/>
    <cellStyle name="Normal 6 2 5" xfId="317" xr:uid="{00000000-0005-0000-0000-0000BA010000}"/>
    <cellStyle name="Normal 6 2 6" xfId="407" xr:uid="{00000000-0005-0000-0000-0000BB010000}"/>
    <cellStyle name="Normal 6 2 7" xfId="497" xr:uid="{00000000-0005-0000-0000-0000BC010000}"/>
    <cellStyle name="Normal 6 2 8" xfId="587" xr:uid="{00000000-0005-0000-0000-0000BD010000}"/>
    <cellStyle name="Normal 6 2 9" xfId="677" xr:uid="{00000000-0005-0000-0000-0000BE010000}"/>
    <cellStyle name="Normal 6 3" xfId="62" xr:uid="{00000000-0005-0000-0000-0000BF010000}"/>
    <cellStyle name="Normal 6 3 2" xfId="155" xr:uid="{00000000-0005-0000-0000-0000C0010000}"/>
    <cellStyle name="Normal 6 3 3" xfId="245" xr:uid="{00000000-0005-0000-0000-0000C1010000}"/>
    <cellStyle name="Normal 6 3 4" xfId="335" xr:uid="{00000000-0005-0000-0000-0000C2010000}"/>
    <cellStyle name="Normal 6 3 5" xfId="425" xr:uid="{00000000-0005-0000-0000-0000C3010000}"/>
    <cellStyle name="Normal 6 3 6" xfId="515" xr:uid="{00000000-0005-0000-0000-0000C4010000}"/>
    <cellStyle name="Normal 6 3 7" xfId="605" xr:uid="{00000000-0005-0000-0000-0000C5010000}"/>
    <cellStyle name="Normal 6 3 8" xfId="695" xr:uid="{00000000-0005-0000-0000-0000C6010000}"/>
    <cellStyle name="Normal 6 3 9" xfId="792" xr:uid="{00000000-0005-0000-0000-0000C7010000}"/>
    <cellStyle name="Normal 6 4" xfId="120" xr:uid="{00000000-0005-0000-0000-0000C8010000}"/>
    <cellStyle name="Normal 6 5" xfId="210" xr:uid="{00000000-0005-0000-0000-0000C9010000}"/>
    <cellStyle name="Normal 6 6" xfId="300" xr:uid="{00000000-0005-0000-0000-0000CA010000}"/>
    <cellStyle name="Normal 6 7" xfId="390" xr:uid="{00000000-0005-0000-0000-0000CB010000}"/>
    <cellStyle name="Normal 6 8" xfId="480" xr:uid="{00000000-0005-0000-0000-0000CC010000}"/>
    <cellStyle name="Normal 6 9" xfId="570" xr:uid="{00000000-0005-0000-0000-0000CD010000}"/>
    <cellStyle name="Normal 7" xfId="22" xr:uid="{00000000-0005-0000-0000-0000CE010000}"/>
    <cellStyle name="Normal 7 10" xfId="661" xr:uid="{00000000-0005-0000-0000-0000CF010000}"/>
    <cellStyle name="Normal 7 11" xfId="756" xr:uid="{00000000-0005-0000-0000-0000D0010000}"/>
    <cellStyle name="Normal 7 2" xfId="44" xr:uid="{00000000-0005-0000-0000-0000D1010000}"/>
    <cellStyle name="Normal 7 2 10" xfId="776" xr:uid="{00000000-0005-0000-0000-0000D2010000}"/>
    <cellStyle name="Normal 7 2 2" xfId="84" xr:uid="{00000000-0005-0000-0000-0000D3010000}"/>
    <cellStyle name="Normal 7 2 2 2" xfId="177" xr:uid="{00000000-0005-0000-0000-0000D4010000}"/>
    <cellStyle name="Normal 7 2 2 3" xfId="267" xr:uid="{00000000-0005-0000-0000-0000D5010000}"/>
    <cellStyle name="Normal 7 2 2 4" xfId="357" xr:uid="{00000000-0005-0000-0000-0000D6010000}"/>
    <cellStyle name="Normal 7 2 2 5" xfId="447" xr:uid="{00000000-0005-0000-0000-0000D7010000}"/>
    <cellStyle name="Normal 7 2 2 6" xfId="537" xr:uid="{00000000-0005-0000-0000-0000D8010000}"/>
    <cellStyle name="Normal 7 2 2 7" xfId="627" xr:uid="{00000000-0005-0000-0000-0000D9010000}"/>
    <cellStyle name="Normal 7 2 2 8" xfId="717" xr:uid="{00000000-0005-0000-0000-0000DA010000}"/>
    <cellStyle name="Normal 7 2 2 9" xfId="814" xr:uid="{00000000-0005-0000-0000-0000DB010000}"/>
    <cellStyle name="Normal 7 2 3" xfId="140" xr:uid="{00000000-0005-0000-0000-0000DC010000}"/>
    <cellStyle name="Normal 7 2 4" xfId="230" xr:uid="{00000000-0005-0000-0000-0000DD010000}"/>
    <cellStyle name="Normal 7 2 5" xfId="320" xr:uid="{00000000-0005-0000-0000-0000DE010000}"/>
    <cellStyle name="Normal 7 2 6" xfId="410" xr:uid="{00000000-0005-0000-0000-0000DF010000}"/>
    <cellStyle name="Normal 7 2 7" xfId="500" xr:uid="{00000000-0005-0000-0000-0000E0010000}"/>
    <cellStyle name="Normal 7 2 8" xfId="590" xr:uid="{00000000-0005-0000-0000-0000E1010000}"/>
    <cellStyle name="Normal 7 2 9" xfId="680" xr:uid="{00000000-0005-0000-0000-0000E2010000}"/>
    <cellStyle name="Normal 7 3" xfId="65" xr:uid="{00000000-0005-0000-0000-0000E3010000}"/>
    <cellStyle name="Normal 7 3 2" xfId="158" xr:uid="{00000000-0005-0000-0000-0000E4010000}"/>
    <cellStyle name="Normal 7 3 3" xfId="248" xr:uid="{00000000-0005-0000-0000-0000E5010000}"/>
    <cellStyle name="Normal 7 3 4" xfId="338" xr:uid="{00000000-0005-0000-0000-0000E6010000}"/>
    <cellStyle name="Normal 7 3 5" xfId="428" xr:uid="{00000000-0005-0000-0000-0000E7010000}"/>
    <cellStyle name="Normal 7 3 6" xfId="518" xr:uid="{00000000-0005-0000-0000-0000E8010000}"/>
    <cellStyle name="Normal 7 3 7" xfId="608" xr:uid="{00000000-0005-0000-0000-0000E9010000}"/>
    <cellStyle name="Normal 7 3 8" xfId="698" xr:uid="{00000000-0005-0000-0000-0000EA010000}"/>
    <cellStyle name="Normal 7 3 9" xfId="795" xr:uid="{00000000-0005-0000-0000-0000EB010000}"/>
    <cellStyle name="Normal 7 4" xfId="121" xr:uid="{00000000-0005-0000-0000-0000EC010000}"/>
    <cellStyle name="Normal 7 5" xfId="211" xr:uid="{00000000-0005-0000-0000-0000ED010000}"/>
    <cellStyle name="Normal 7 6" xfId="301" xr:uid="{00000000-0005-0000-0000-0000EE010000}"/>
    <cellStyle name="Normal 7 7" xfId="391" xr:uid="{00000000-0005-0000-0000-0000EF010000}"/>
    <cellStyle name="Normal 7 8" xfId="481" xr:uid="{00000000-0005-0000-0000-0000F0010000}"/>
    <cellStyle name="Normal 7 9" xfId="571" xr:uid="{00000000-0005-0000-0000-0000F1010000}"/>
    <cellStyle name="Normal 8" xfId="25" xr:uid="{00000000-0005-0000-0000-0000F2010000}"/>
    <cellStyle name="Normal 8 10" xfId="664" xr:uid="{00000000-0005-0000-0000-0000F3010000}"/>
    <cellStyle name="Normal 8 11" xfId="759" xr:uid="{00000000-0005-0000-0000-0000F4010000}"/>
    <cellStyle name="Normal 8 2" xfId="47" xr:uid="{00000000-0005-0000-0000-0000F5010000}"/>
    <cellStyle name="Normal 8 2 10" xfId="779" xr:uid="{00000000-0005-0000-0000-0000F6010000}"/>
    <cellStyle name="Normal 8 2 2" xfId="87" xr:uid="{00000000-0005-0000-0000-0000F7010000}"/>
    <cellStyle name="Normal 8 2 2 2" xfId="180" xr:uid="{00000000-0005-0000-0000-0000F8010000}"/>
    <cellStyle name="Normal 8 2 2 3" xfId="270" xr:uid="{00000000-0005-0000-0000-0000F9010000}"/>
    <cellStyle name="Normal 8 2 2 4" xfId="360" xr:uid="{00000000-0005-0000-0000-0000FA010000}"/>
    <cellStyle name="Normal 8 2 2 5" xfId="450" xr:uid="{00000000-0005-0000-0000-0000FB010000}"/>
    <cellStyle name="Normal 8 2 2 6" xfId="540" xr:uid="{00000000-0005-0000-0000-0000FC010000}"/>
    <cellStyle name="Normal 8 2 2 7" xfId="630" xr:uid="{00000000-0005-0000-0000-0000FD010000}"/>
    <cellStyle name="Normal 8 2 2 8" xfId="720" xr:uid="{00000000-0005-0000-0000-0000FE010000}"/>
    <cellStyle name="Normal 8 2 2 9" xfId="817" xr:uid="{00000000-0005-0000-0000-0000FF010000}"/>
    <cellStyle name="Normal 8 2 3" xfId="143" xr:uid="{00000000-0005-0000-0000-000000020000}"/>
    <cellStyle name="Normal 8 2 4" xfId="233" xr:uid="{00000000-0005-0000-0000-000001020000}"/>
    <cellStyle name="Normal 8 2 5" xfId="323" xr:uid="{00000000-0005-0000-0000-000002020000}"/>
    <cellStyle name="Normal 8 2 6" xfId="413" xr:uid="{00000000-0005-0000-0000-000003020000}"/>
    <cellStyle name="Normal 8 2 7" xfId="503" xr:uid="{00000000-0005-0000-0000-000004020000}"/>
    <cellStyle name="Normal 8 2 8" xfId="593" xr:uid="{00000000-0005-0000-0000-000005020000}"/>
    <cellStyle name="Normal 8 2 9" xfId="683" xr:uid="{00000000-0005-0000-0000-000006020000}"/>
    <cellStyle name="Normal 8 3" xfId="68" xr:uid="{00000000-0005-0000-0000-000007020000}"/>
    <cellStyle name="Normal 8 3 2" xfId="161" xr:uid="{00000000-0005-0000-0000-000008020000}"/>
    <cellStyle name="Normal 8 3 3" xfId="251" xr:uid="{00000000-0005-0000-0000-000009020000}"/>
    <cellStyle name="Normal 8 3 4" xfId="341" xr:uid="{00000000-0005-0000-0000-00000A020000}"/>
    <cellStyle name="Normal 8 3 5" xfId="431" xr:uid="{00000000-0005-0000-0000-00000B020000}"/>
    <cellStyle name="Normal 8 3 6" xfId="521" xr:uid="{00000000-0005-0000-0000-00000C020000}"/>
    <cellStyle name="Normal 8 3 7" xfId="611" xr:uid="{00000000-0005-0000-0000-00000D020000}"/>
    <cellStyle name="Normal 8 3 8" xfId="701" xr:uid="{00000000-0005-0000-0000-00000E020000}"/>
    <cellStyle name="Normal 8 3 9" xfId="798" xr:uid="{00000000-0005-0000-0000-00000F020000}"/>
    <cellStyle name="Normal 8 4" xfId="124" xr:uid="{00000000-0005-0000-0000-000010020000}"/>
    <cellStyle name="Normal 8 5" xfId="214" xr:uid="{00000000-0005-0000-0000-000011020000}"/>
    <cellStyle name="Normal 8 6" xfId="304" xr:uid="{00000000-0005-0000-0000-000012020000}"/>
    <cellStyle name="Normal 8 7" xfId="394" xr:uid="{00000000-0005-0000-0000-000013020000}"/>
    <cellStyle name="Normal 8 8" xfId="484" xr:uid="{00000000-0005-0000-0000-000014020000}"/>
    <cellStyle name="Normal 8 9" xfId="574" xr:uid="{00000000-0005-0000-0000-000015020000}"/>
    <cellStyle name="Normal 9" xfId="28" xr:uid="{00000000-0005-0000-0000-000016020000}"/>
    <cellStyle name="Normal 9 10" xfId="667" xr:uid="{00000000-0005-0000-0000-000017020000}"/>
    <cellStyle name="Normal 9 11" xfId="762" xr:uid="{00000000-0005-0000-0000-000018020000}"/>
    <cellStyle name="Normal 9 2" xfId="50" xr:uid="{00000000-0005-0000-0000-000019020000}"/>
    <cellStyle name="Normal 9 2 10" xfId="782" xr:uid="{00000000-0005-0000-0000-00001A020000}"/>
    <cellStyle name="Normal 9 2 2" xfId="90" xr:uid="{00000000-0005-0000-0000-00001B020000}"/>
    <cellStyle name="Normal 9 2 2 2" xfId="183" xr:uid="{00000000-0005-0000-0000-00001C020000}"/>
    <cellStyle name="Normal 9 2 2 3" xfId="273" xr:uid="{00000000-0005-0000-0000-00001D020000}"/>
    <cellStyle name="Normal 9 2 2 4" xfId="363" xr:uid="{00000000-0005-0000-0000-00001E020000}"/>
    <cellStyle name="Normal 9 2 2 5" xfId="453" xr:uid="{00000000-0005-0000-0000-00001F020000}"/>
    <cellStyle name="Normal 9 2 2 6" xfId="543" xr:uid="{00000000-0005-0000-0000-000020020000}"/>
    <cellStyle name="Normal 9 2 2 7" xfId="633" xr:uid="{00000000-0005-0000-0000-000021020000}"/>
    <cellStyle name="Normal 9 2 2 8" xfId="723" xr:uid="{00000000-0005-0000-0000-000022020000}"/>
    <cellStyle name="Normal 9 2 2 9" xfId="820" xr:uid="{00000000-0005-0000-0000-000023020000}"/>
    <cellStyle name="Normal 9 2 3" xfId="146" xr:uid="{00000000-0005-0000-0000-000024020000}"/>
    <cellStyle name="Normal 9 2 4" xfId="236" xr:uid="{00000000-0005-0000-0000-000025020000}"/>
    <cellStyle name="Normal 9 2 5" xfId="326" xr:uid="{00000000-0005-0000-0000-000026020000}"/>
    <cellStyle name="Normal 9 2 6" xfId="416" xr:uid="{00000000-0005-0000-0000-000027020000}"/>
    <cellStyle name="Normal 9 2 7" xfId="506" xr:uid="{00000000-0005-0000-0000-000028020000}"/>
    <cellStyle name="Normal 9 2 8" xfId="596" xr:uid="{00000000-0005-0000-0000-000029020000}"/>
    <cellStyle name="Normal 9 2 9" xfId="686" xr:uid="{00000000-0005-0000-0000-00002A020000}"/>
    <cellStyle name="Normal 9 3" xfId="71" xr:uid="{00000000-0005-0000-0000-00002B020000}"/>
    <cellStyle name="Normal 9 3 2" xfId="164" xr:uid="{00000000-0005-0000-0000-00002C020000}"/>
    <cellStyle name="Normal 9 3 3" xfId="254" xr:uid="{00000000-0005-0000-0000-00002D020000}"/>
    <cellStyle name="Normal 9 3 4" xfId="344" xr:uid="{00000000-0005-0000-0000-00002E020000}"/>
    <cellStyle name="Normal 9 3 5" xfId="434" xr:uid="{00000000-0005-0000-0000-00002F020000}"/>
    <cellStyle name="Normal 9 3 6" xfId="524" xr:uid="{00000000-0005-0000-0000-000030020000}"/>
    <cellStyle name="Normal 9 3 7" xfId="614" xr:uid="{00000000-0005-0000-0000-000031020000}"/>
    <cellStyle name="Normal 9 3 8" xfId="704" xr:uid="{00000000-0005-0000-0000-000032020000}"/>
    <cellStyle name="Normal 9 3 9" xfId="801" xr:uid="{00000000-0005-0000-0000-000033020000}"/>
    <cellStyle name="Normal 9 4" xfId="127" xr:uid="{00000000-0005-0000-0000-000034020000}"/>
    <cellStyle name="Normal 9 5" xfId="217" xr:uid="{00000000-0005-0000-0000-000035020000}"/>
    <cellStyle name="Normal 9 6" xfId="307" xr:uid="{00000000-0005-0000-0000-000036020000}"/>
    <cellStyle name="Normal 9 7" xfId="397" xr:uid="{00000000-0005-0000-0000-000037020000}"/>
    <cellStyle name="Normal 9 8" xfId="487" xr:uid="{00000000-0005-0000-0000-000038020000}"/>
    <cellStyle name="Normal 9 9" xfId="577" xr:uid="{00000000-0005-0000-0000-000039020000}"/>
    <cellStyle name="Normal_Forslag" xfId="845" xr:uid="{00000000-0005-0000-0000-00003A020000}"/>
    <cellStyle name="Tusenskille 2" xfId="14" xr:uid="{00000000-0005-0000-0000-00003C020000}"/>
    <cellStyle name="Tusenskille 2 2" xfId="15" xr:uid="{00000000-0005-0000-0000-00003D020000}"/>
    <cellStyle name="Tusenskille 2 2 2" xfId="751" xr:uid="{00000000-0005-0000-0000-00003E020000}"/>
    <cellStyle name="Tusenskille 2 2 3" xfId="848" xr:uid="{F77FA10F-B946-43D0-BDB2-55CEFCE8EA1F}"/>
    <cellStyle name="Tusenskille 2 3" xfId="21" xr:uid="{00000000-0005-0000-0000-00003F020000}"/>
    <cellStyle name="Tusenskille 2 3 2" xfId="755" xr:uid="{00000000-0005-0000-0000-000040020000}"/>
    <cellStyle name="Tusenskille 2 4" xfId="40" xr:uid="{00000000-0005-0000-0000-000041020000}"/>
    <cellStyle name="Tusenskille 2 4 2" xfId="772" xr:uid="{00000000-0005-0000-0000-000042020000}"/>
    <cellStyle name="Tusenskille 2 5" xfId="61" xr:uid="{00000000-0005-0000-0000-000043020000}"/>
    <cellStyle name="Tusenskille 2 5 2" xfId="791" xr:uid="{00000000-0005-0000-0000-000044020000}"/>
    <cellStyle name="Tusenskille 2 6" xfId="750" xr:uid="{00000000-0005-0000-0000-000045020000}"/>
    <cellStyle name="Tusenskille 3" xfId="16" xr:uid="{00000000-0005-0000-0000-000046020000}"/>
    <cellStyle name="Tusenskille 3 10" xfId="105" xr:uid="{00000000-0005-0000-0000-000047020000}"/>
    <cellStyle name="Tusenskille 3 10 2" xfId="197" xr:uid="{00000000-0005-0000-0000-000048020000}"/>
    <cellStyle name="Tusenskille 3 10 3" xfId="287" xr:uid="{00000000-0005-0000-0000-000049020000}"/>
    <cellStyle name="Tusenskille 3 10 4" xfId="377" xr:uid="{00000000-0005-0000-0000-00004A020000}"/>
    <cellStyle name="Tusenskille 3 10 5" xfId="467" xr:uid="{00000000-0005-0000-0000-00004B020000}"/>
    <cellStyle name="Tusenskille 3 10 6" xfId="557" xr:uid="{00000000-0005-0000-0000-00004C020000}"/>
    <cellStyle name="Tusenskille 3 10 7" xfId="647" xr:uid="{00000000-0005-0000-0000-00004D020000}"/>
    <cellStyle name="Tusenskille 3 10 8" xfId="737" xr:uid="{00000000-0005-0000-0000-00004E020000}"/>
    <cellStyle name="Tusenskille 3 10 9" xfId="834" xr:uid="{00000000-0005-0000-0000-00004F020000}"/>
    <cellStyle name="Tusenskille 3 11" xfId="108" xr:uid="{00000000-0005-0000-0000-000050020000}"/>
    <cellStyle name="Tusenskille 3 11 2" xfId="200" xr:uid="{00000000-0005-0000-0000-000051020000}"/>
    <cellStyle name="Tusenskille 3 11 3" xfId="290" xr:uid="{00000000-0005-0000-0000-000052020000}"/>
    <cellStyle name="Tusenskille 3 11 4" xfId="380" xr:uid="{00000000-0005-0000-0000-000053020000}"/>
    <cellStyle name="Tusenskille 3 11 5" xfId="470" xr:uid="{00000000-0005-0000-0000-000054020000}"/>
    <cellStyle name="Tusenskille 3 11 6" xfId="560" xr:uid="{00000000-0005-0000-0000-000055020000}"/>
    <cellStyle name="Tusenskille 3 11 7" xfId="650" xr:uid="{00000000-0005-0000-0000-000056020000}"/>
    <cellStyle name="Tusenskille 3 11 8" xfId="740" xr:uid="{00000000-0005-0000-0000-000057020000}"/>
    <cellStyle name="Tusenskille 3 11 9" xfId="837" xr:uid="{00000000-0005-0000-0000-000058020000}"/>
    <cellStyle name="Tusenskille 3 12" xfId="111" xr:uid="{00000000-0005-0000-0000-000059020000}"/>
    <cellStyle name="Tusenskille 3 12 2" xfId="203" xr:uid="{00000000-0005-0000-0000-00005A020000}"/>
    <cellStyle name="Tusenskille 3 12 3" xfId="293" xr:uid="{00000000-0005-0000-0000-00005B020000}"/>
    <cellStyle name="Tusenskille 3 12 4" xfId="383" xr:uid="{00000000-0005-0000-0000-00005C020000}"/>
    <cellStyle name="Tusenskille 3 12 5" xfId="473" xr:uid="{00000000-0005-0000-0000-00005D020000}"/>
    <cellStyle name="Tusenskille 3 12 6" xfId="563" xr:uid="{00000000-0005-0000-0000-00005E020000}"/>
    <cellStyle name="Tusenskille 3 12 7" xfId="653" xr:uid="{00000000-0005-0000-0000-00005F020000}"/>
    <cellStyle name="Tusenskille 3 12 8" xfId="743" xr:uid="{00000000-0005-0000-0000-000060020000}"/>
    <cellStyle name="Tusenskille 3 12 9" xfId="840" xr:uid="{00000000-0005-0000-0000-000061020000}"/>
    <cellStyle name="Tusenskille 3 13" xfId="114" xr:uid="{00000000-0005-0000-0000-000062020000}"/>
    <cellStyle name="Tusenskille 3 13 2" xfId="206" xr:uid="{00000000-0005-0000-0000-000063020000}"/>
    <cellStyle name="Tusenskille 3 13 3" xfId="296" xr:uid="{00000000-0005-0000-0000-000064020000}"/>
    <cellStyle name="Tusenskille 3 13 4" xfId="386" xr:uid="{00000000-0005-0000-0000-000065020000}"/>
    <cellStyle name="Tusenskille 3 13 5" xfId="476" xr:uid="{00000000-0005-0000-0000-000066020000}"/>
    <cellStyle name="Tusenskille 3 13 6" xfId="566" xr:uid="{00000000-0005-0000-0000-000067020000}"/>
    <cellStyle name="Tusenskille 3 13 7" xfId="656" xr:uid="{00000000-0005-0000-0000-000068020000}"/>
    <cellStyle name="Tusenskille 3 13 8" xfId="746" xr:uid="{00000000-0005-0000-0000-000069020000}"/>
    <cellStyle name="Tusenskille 3 13 9" xfId="843" xr:uid="{00000000-0005-0000-0000-00006A020000}"/>
    <cellStyle name="Tusenskille 3 14" xfId="119" xr:uid="{00000000-0005-0000-0000-00006B020000}"/>
    <cellStyle name="Tusenskille 3 15" xfId="209" xr:uid="{00000000-0005-0000-0000-00006C020000}"/>
    <cellStyle name="Tusenskille 3 16" xfId="299" xr:uid="{00000000-0005-0000-0000-00006D020000}"/>
    <cellStyle name="Tusenskille 3 17" xfId="389" xr:uid="{00000000-0005-0000-0000-00006E020000}"/>
    <cellStyle name="Tusenskille 3 18" xfId="479" xr:uid="{00000000-0005-0000-0000-00006F020000}"/>
    <cellStyle name="Tusenskille 3 19" xfId="569" xr:uid="{00000000-0005-0000-0000-000070020000}"/>
    <cellStyle name="Tusenskille 3 2" xfId="24" xr:uid="{00000000-0005-0000-0000-000071020000}"/>
    <cellStyle name="Tusenskille 3 2 10" xfId="663" xr:uid="{00000000-0005-0000-0000-000072020000}"/>
    <cellStyle name="Tusenskille 3 2 11" xfId="758" xr:uid="{00000000-0005-0000-0000-000073020000}"/>
    <cellStyle name="Tusenskille 3 2 2" xfId="46" xr:uid="{00000000-0005-0000-0000-000074020000}"/>
    <cellStyle name="Tusenskille 3 2 2 10" xfId="778" xr:uid="{00000000-0005-0000-0000-000075020000}"/>
    <cellStyle name="Tusenskille 3 2 2 2" xfId="86" xr:uid="{00000000-0005-0000-0000-000076020000}"/>
    <cellStyle name="Tusenskille 3 2 2 2 2" xfId="179" xr:uid="{00000000-0005-0000-0000-000077020000}"/>
    <cellStyle name="Tusenskille 3 2 2 2 3" xfId="269" xr:uid="{00000000-0005-0000-0000-000078020000}"/>
    <cellStyle name="Tusenskille 3 2 2 2 4" xfId="359" xr:uid="{00000000-0005-0000-0000-000079020000}"/>
    <cellStyle name="Tusenskille 3 2 2 2 5" xfId="449" xr:uid="{00000000-0005-0000-0000-00007A020000}"/>
    <cellStyle name="Tusenskille 3 2 2 2 6" xfId="539" xr:uid="{00000000-0005-0000-0000-00007B020000}"/>
    <cellStyle name="Tusenskille 3 2 2 2 7" xfId="629" xr:uid="{00000000-0005-0000-0000-00007C020000}"/>
    <cellStyle name="Tusenskille 3 2 2 2 8" xfId="719" xr:uid="{00000000-0005-0000-0000-00007D020000}"/>
    <cellStyle name="Tusenskille 3 2 2 2 9" xfId="816" xr:uid="{00000000-0005-0000-0000-00007E020000}"/>
    <cellStyle name="Tusenskille 3 2 2 3" xfId="142" xr:uid="{00000000-0005-0000-0000-00007F020000}"/>
    <cellStyle name="Tusenskille 3 2 2 4" xfId="232" xr:uid="{00000000-0005-0000-0000-000080020000}"/>
    <cellStyle name="Tusenskille 3 2 2 5" xfId="322" xr:uid="{00000000-0005-0000-0000-000081020000}"/>
    <cellStyle name="Tusenskille 3 2 2 6" xfId="412" xr:uid="{00000000-0005-0000-0000-000082020000}"/>
    <cellStyle name="Tusenskille 3 2 2 7" xfId="502" xr:uid="{00000000-0005-0000-0000-000083020000}"/>
    <cellStyle name="Tusenskille 3 2 2 8" xfId="592" xr:uid="{00000000-0005-0000-0000-000084020000}"/>
    <cellStyle name="Tusenskille 3 2 2 9" xfId="682" xr:uid="{00000000-0005-0000-0000-000085020000}"/>
    <cellStyle name="Tusenskille 3 2 3" xfId="67" xr:uid="{00000000-0005-0000-0000-000086020000}"/>
    <cellStyle name="Tusenskille 3 2 3 2" xfId="160" xr:uid="{00000000-0005-0000-0000-000087020000}"/>
    <cellStyle name="Tusenskille 3 2 3 3" xfId="250" xr:uid="{00000000-0005-0000-0000-000088020000}"/>
    <cellStyle name="Tusenskille 3 2 3 4" xfId="340" xr:uid="{00000000-0005-0000-0000-000089020000}"/>
    <cellStyle name="Tusenskille 3 2 3 5" xfId="430" xr:uid="{00000000-0005-0000-0000-00008A020000}"/>
    <cellStyle name="Tusenskille 3 2 3 6" xfId="520" xr:uid="{00000000-0005-0000-0000-00008B020000}"/>
    <cellStyle name="Tusenskille 3 2 3 7" xfId="610" xr:uid="{00000000-0005-0000-0000-00008C020000}"/>
    <cellStyle name="Tusenskille 3 2 3 8" xfId="700" xr:uid="{00000000-0005-0000-0000-00008D020000}"/>
    <cellStyle name="Tusenskille 3 2 3 9" xfId="797" xr:uid="{00000000-0005-0000-0000-00008E020000}"/>
    <cellStyle name="Tusenskille 3 2 4" xfId="123" xr:uid="{00000000-0005-0000-0000-00008F020000}"/>
    <cellStyle name="Tusenskille 3 2 5" xfId="213" xr:uid="{00000000-0005-0000-0000-000090020000}"/>
    <cellStyle name="Tusenskille 3 2 6" xfId="303" xr:uid="{00000000-0005-0000-0000-000091020000}"/>
    <cellStyle name="Tusenskille 3 2 7" xfId="393" xr:uid="{00000000-0005-0000-0000-000092020000}"/>
    <cellStyle name="Tusenskille 3 2 8" xfId="483" xr:uid="{00000000-0005-0000-0000-000093020000}"/>
    <cellStyle name="Tusenskille 3 2 9" xfId="573" xr:uid="{00000000-0005-0000-0000-000094020000}"/>
    <cellStyle name="Tusenskille 3 20" xfId="659" xr:uid="{00000000-0005-0000-0000-000095020000}"/>
    <cellStyle name="Tusenskille 3 21" xfId="752" xr:uid="{00000000-0005-0000-0000-000096020000}"/>
    <cellStyle name="Tusenskille 3 3" xfId="27" xr:uid="{00000000-0005-0000-0000-000097020000}"/>
    <cellStyle name="Tusenskille 3 3 10" xfId="666" xr:uid="{00000000-0005-0000-0000-000098020000}"/>
    <cellStyle name="Tusenskille 3 3 11" xfId="761" xr:uid="{00000000-0005-0000-0000-000099020000}"/>
    <cellStyle name="Tusenskille 3 3 2" xfId="49" xr:uid="{00000000-0005-0000-0000-00009A020000}"/>
    <cellStyle name="Tusenskille 3 3 2 10" xfId="781" xr:uid="{00000000-0005-0000-0000-00009B020000}"/>
    <cellStyle name="Tusenskille 3 3 2 2" xfId="89" xr:uid="{00000000-0005-0000-0000-00009C020000}"/>
    <cellStyle name="Tusenskille 3 3 2 2 2" xfId="182" xr:uid="{00000000-0005-0000-0000-00009D020000}"/>
    <cellStyle name="Tusenskille 3 3 2 2 3" xfId="272" xr:uid="{00000000-0005-0000-0000-00009E020000}"/>
    <cellStyle name="Tusenskille 3 3 2 2 4" xfId="362" xr:uid="{00000000-0005-0000-0000-00009F020000}"/>
    <cellStyle name="Tusenskille 3 3 2 2 5" xfId="452" xr:uid="{00000000-0005-0000-0000-0000A0020000}"/>
    <cellStyle name="Tusenskille 3 3 2 2 6" xfId="542" xr:uid="{00000000-0005-0000-0000-0000A1020000}"/>
    <cellStyle name="Tusenskille 3 3 2 2 7" xfId="632" xr:uid="{00000000-0005-0000-0000-0000A2020000}"/>
    <cellStyle name="Tusenskille 3 3 2 2 8" xfId="722" xr:uid="{00000000-0005-0000-0000-0000A3020000}"/>
    <cellStyle name="Tusenskille 3 3 2 2 9" xfId="819" xr:uid="{00000000-0005-0000-0000-0000A4020000}"/>
    <cellStyle name="Tusenskille 3 3 2 3" xfId="145" xr:uid="{00000000-0005-0000-0000-0000A5020000}"/>
    <cellStyle name="Tusenskille 3 3 2 4" xfId="235" xr:uid="{00000000-0005-0000-0000-0000A6020000}"/>
    <cellStyle name="Tusenskille 3 3 2 5" xfId="325" xr:uid="{00000000-0005-0000-0000-0000A7020000}"/>
    <cellStyle name="Tusenskille 3 3 2 6" xfId="415" xr:uid="{00000000-0005-0000-0000-0000A8020000}"/>
    <cellStyle name="Tusenskille 3 3 2 7" xfId="505" xr:uid="{00000000-0005-0000-0000-0000A9020000}"/>
    <cellStyle name="Tusenskille 3 3 2 8" xfId="595" xr:uid="{00000000-0005-0000-0000-0000AA020000}"/>
    <cellStyle name="Tusenskille 3 3 2 9" xfId="685" xr:uid="{00000000-0005-0000-0000-0000AB020000}"/>
    <cellStyle name="Tusenskille 3 3 3" xfId="70" xr:uid="{00000000-0005-0000-0000-0000AC020000}"/>
    <cellStyle name="Tusenskille 3 3 3 2" xfId="163" xr:uid="{00000000-0005-0000-0000-0000AD020000}"/>
    <cellStyle name="Tusenskille 3 3 3 3" xfId="253" xr:uid="{00000000-0005-0000-0000-0000AE020000}"/>
    <cellStyle name="Tusenskille 3 3 3 4" xfId="343" xr:uid="{00000000-0005-0000-0000-0000AF020000}"/>
    <cellStyle name="Tusenskille 3 3 3 5" xfId="433" xr:uid="{00000000-0005-0000-0000-0000B0020000}"/>
    <cellStyle name="Tusenskille 3 3 3 6" xfId="523" xr:uid="{00000000-0005-0000-0000-0000B1020000}"/>
    <cellStyle name="Tusenskille 3 3 3 7" xfId="613" xr:uid="{00000000-0005-0000-0000-0000B2020000}"/>
    <cellStyle name="Tusenskille 3 3 3 8" xfId="703" xr:uid="{00000000-0005-0000-0000-0000B3020000}"/>
    <cellStyle name="Tusenskille 3 3 3 9" xfId="800" xr:uid="{00000000-0005-0000-0000-0000B4020000}"/>
    <cellStyle name="Tusenskille 3 3 4" xfId="126" xr:uid="{00000000-0005-0000-0000-0000B5020000}"/>
    <cellStyle name="Tusenskille 3 3 5" xfId="216" xr:uid="{00000000-0005-0000-0000-0000B6020000}"/>
    <cellStyle name="Tusenskille 3 3 6" xfId="306" xr:uid="{00000000-0005-0000-0000-0000B7020000}"/>
    <cellStyle name="Tusenskille 3 3 7" xfId="396" xr:uid="{00000000-0005-0000-0000-0000B8020000}"/>
    <cellStyle name="Tusenskille 3 3 8" xfId="486" xr:uid="{00000000-0005-0000-0000-0000B9020000}"/>
    <cellStyle name="Tusenskille 3 3 9" xfId="576" xr:uid="{00000000-0005-0000-0000-0000BA020000}"/>
    <cellStyle name="Tusenskille 3 4" xfId="30" xr:uid="{00000000-0005-0000-0000-0000BB020000}"/>
    <cellStyle name="Tusenskille 3 4 10" xfId="669" xr:uid="{00000000-0005-0000-0000-0000BC020000}"/>
    <cellStyle name="Tusenskille 3 4 11" xfId="764" xr:uid="{00000000-0005-0000-0000-0000BD020000}"/>
    <cellStyle name="Tusenskille 3 4 2" xfId="52" xr:uid="{00000000-0005-0000-0000-0000BE020000}"/>
    <cellStyle name="Tusenskille 3 4 2 10" xfId="784" xr:uid="{00000000-0005-0000-0000-0000BF020000}"/>
    <cellStyle name="Tusenskille 3 4 2 2" xfId="92" xr:uid="{00000000-0005-0000-0000-0000C0020000}"/>
    <cellStyle name="Tusenskille 3 4 2 2 2" xfId="185" xr:uid="{00000000-0005-0000-0000-0000C1020000}"/>
    <cellStyle name="Tusenskille 3 4 2 2 3" xfId="275" xr:uid="{00000000-0005-0000-0000-0000C2020000}"/>
    <cellStyle name="Tusenskille 3 4 2 2 4" xfId="365" xr:uid="{00000000-0005-0000-0000-0000C3020000}"/>
    <cellStyle name="Tusenskille 3 4 2 2 5" xfId="455" xr:uid="{00000000-0005-0000-0000-0000C4020000}"/>
    <cellStyle name="Tusenskille 3 4 2 2 6" xfId="545" xr:uid="{00000000-0005-0000-0000-0000C5020000}"/>
    <cellStyle name="Tusenskille 3 4 2 2 7" xfId="635" xr:uid="{00000000-0005-0000-0000-0000C6020000}"/>
    <cellStyle name="Tusenskille 3 4 2 2 8" xfId="725" xr:uid="{00000000-0005-0000-0000-0000C7020000}"/>
    <cellStyle name="Tusenskille 3 4 2 2 9" xfId="822" xr:uid="{00000000-0005-0000-0000-0000C8020000}"/>
    <cellStyle name="Tusenskille 3 4 2 3" xfId="148" xr:uid="{00000000-0005-0000-0000-0000C9020000}"/>
    <cellStyle name="Tusenskille 3 4 2 4" xfId="238" xr:uid="{00000000-0005-0000-0000-0000CA020000}"/>
    <cellStyle name="Tusenskille 3 4 2 5" xfId="328" xr:uid="{00000000-0005-0000-0000-0000CB020000}"/>
    <cellStyle name="Tusenskille 3 4 2 6" xfId="418" xr:uid="{00000000-0005-0000-0000-0000CC020000}"/>
    <cellStyle name="Tusenskille 3 4 2 7" xfId="508" xr:uid="{00000000-0005-0000-0000-0000CD020000}"/>
    <cellStyle name="Tusenskille 3 4 2 8" xfId="598" xr:uid="{00000000-0005-0000-0000-0000CE020000}"/>
    <cellStyle name="Tusenskille 3 4 2 9" xfId="688" xr:uid="{00000000-0005-0000-0000-0000CF020000}"/>
    <cellStyle name="Tusenskille 3 4 3" xfId="73" xr:uid="{00000000-0005-0000-0000-0000D0020000}"/>
    <cellStyle name="Tusenskille 3 4 3 2" xfId="166" xr:uid="{00000000-0005-0000-0000-0000D1020000}"/>
    <cellStyle name="Tusenskille 3 4 3 3" xfId="256" xr:uid="{00000000-0005-0000-0000-0000D2020000}"/>
    <cellStyle name="Tusenskille 3 4 3 4" xfId="346" xr:uid="{00000000-0005-0000-0000-0000D3020000}"/>
    <cellStyle name="Tusenskille 3 4 3 5" xfId="436" xr:uid="{00000000-0005-0000-0000-0000D4020000}"/>
    <cellStyle name="Tusenskille 3 4 3 6" xfId="526" xr:uid="{00000000-0005-0000-0000-0000D5020000}"/>
    <cellStyle name="Tusenskille 3 4 3 7" xfId="616" xr:uid="{00000000-0005-0000-0000-0000D6020000}"/>
    <cellStyle name="Tusenskille 3 4 3 8" xfId="706" xr:uid="{00000000-0005-0000-0000-0000D7020000}"/>
    <cellStyle name="Tusenskille 3 4 3 9" xfId="803" xr:uid="{00000000-0005-0000-0000-0000D8020000}"/>
    <cellStyle name="Tusenskille 3 4 4" xfId="129" xr:uid="{00000000-0005-0000-0000-0000D9020000}"/>
    <cellStyle name="Tusenskille 3 4 5" xfId="219" xr:uid="{00000000-0005-0000-0000-0000DA020000}"/>
    <cellStyle name="Tusenskille 3 4 6" xfId="309" xr:uid="{00000000-0005-0000-0000-0000DB020000}"/>
    <cellStyle name="Tusenskille 3 4 7" xfId="399" xr:uid="{00000000-0005-0000-0000-0000DC020000}"/>
    <cellStyle name="Tusenskille 3 4 8" xfId="489" xr:uid="{00000000-0005-0000-0000-0000DD020000}"/>
    <cellStyle name="Tusenskille 3 4 9" xfId="579" xr:uid="{00000000-0005-0000-0000-0000DE020000}"/>
    <cellStyle name="Tusenskille 3 5" xfId="34" xr:uid="{00000000-0005-0000-0000-0000DF020000}"/>
    <cellStyle name="Tusenskille 3 5 10" xfId="672" xr:uid="{00000000-0005-0000-0000-0000E0020000}"/>
    <cellStyle name="Tusenskille 3 5 11" xfId="767" xr:uid="{00000000-0005-0000-0000-0000E1020000}"/>
    <cellStyle name="Tusenskille 3 5 2" xfId="56" xr:uid="{00000000-0005-0000-0000-0000E2020000}"/>
    <cellStyle name="Tusenskille 3 5 2 10" xfId="787" xr:uid="{00000000-0005-0000-0000-0000E3020000}"/>
    <cellStyle name="Tusenskille 3 5 2 2" xfId="96" xr:uid="{00000000-0005-0000-0000-0000E4020000}"/>
    <cellStyle name="Tusenskille 3 5 2 2 2" xfId="188" xr:uid="{00000000-0005-0000-0000-0000E5020000}"/>
    <cellStyle name="Tusenskille 3 5 2 2 3" xfId="278" xr:uid="{00000000-0005-0000-0000-0000E6020000}"/>
    <cellStyle name="Tusenskille 3 5 2 2 4" xfId="368" xr:uid="{00000000-0005-0000-0000-0000E7020000}"/>
    <cellStyle name="Tusenskille 3 5 2 2 5" xfId="458" xr:uid="{00000000-0005-0000-0000-0000E8020000}"/>
    <cellStyle name="Tusenskille 3 5 2 2 6" xfId="548" xr:uid="{00000000-0005-0000-0000-0000E9020000}"/>
    <cellStyle name="Tusenskille 3 5 2 2 7" xfId="638" xr:uid="{00000000-0005-0000-0000-0000EA020000}"/>
    <cellStyle name="Tusenskille 3 5 2 2 8" xfId="728" xr:uid="{00000000-0005-0000-0000-0000EB020000}"/>
    <cellStyle name="Tusenskille 3 5 2 2 9" xfId="825" xr:uid="{00000000-0005-0000-0000-0000EC020000}"/>
    <cellStyle name="Tusenskille 3 5 2 3" xfId="151" xr:uid="{00000000-0005-0000-0000-0000ED020000}"/>
    <cellStyle name="Tusenskille 3 5 2 4" xfId="241" xr:uid="{00000000-0005-0000-0000-0000EE020000}"/>
    <cellStyle name="Tusenskille 3 5 2 5" xfId="331" xr:uid="{00000000-0005-0000-0000-0000EF020000}"/>
    <cellStyle name="Tusenskille 3 5 2 6" xfId="421" xr:uid="{00000000-0005-0000-0000-0000F0020000}"/>
    <cellStyle name="Tusenskille 3 5 2 7" xfId="511" xr:uid="{00000000-0005-0000-0000-0000F1020000}"/>
    <cellStyle name="Tusenskille 3 5 2 8" xfId="601" xr:uid="{00000000-0005-0000-0000-0000F2020000}"/>
    <cellStyle name="Tusenskille 3 5 2 9" xfId="691" xr:uid="{00000000-0005-0000-0000-0000F3020000}"/>
    <cellStyle name="Tusenskille 3 5 3" xfId="76" xr:uid="{00000000-0005-0000-0000-0000F4020000}"/>
    <cellStyle name="Tusenskille 3 5 3 2" xfId="169" xr:uid="{00000000-0005-0000-0000-0000F5020000}"/>
    <cellStyle name="Tusenskille 3 5 3 3" xfId="259" xr:uid="{00000000-0005-0000-0000-0000F6020000}"/>
    <cellStyle name="Tusenskille 3 5 3 4" xfId="349" xr:uid="{00000000-0005-0000-0000-0000F7020000}"/>
    <cellStyle name="Tusenskille 3 5 3 5" xfId="439" xr:uid="{00000000-0005-0000-0000-0000F8020000}"/>
    <cellStyle name="Tusenskille 3 5 3 6" xfId="529" xr:uid="{00000000-0005-0000-0000-0000F9020000}"/>
    <cellStyle name="Tusenskille 3 5 3 7" xfId="619" xr:uid="{00000000-0005-0000-0000-0000FA020000}"/>
    <cellStyle name="Tusenskille 3 5 3 8" xfId="709" xr:uid="{00000000-0005-0000-0000-0000FB020000}"/>
    <cellStyle name="Tusenskille 3 5 3 9" xfId="806" xr:uid="{00000000-0005-0000-0000-0000FC020000}"/>
    <cellStyle name="Tusenskille 3 5 4" xfId="132" xr:uid="{00000000-0005-0000-0000-0000FD020000}"/>
    <cellStyle name="Tusenskille 3 5 5" xfId="222" xr:uid="{00000000-0005-0000-0000-0000FE020000}"/>
    <cellStyle name="Tusenskille 3 5 6" xfId="312" xr:uid="{00000000-0005-0000-0000-0000FF020000}"/>
    <cellStyle name="Tusenskille 3 5 7" xfId="402" xr:uid="{00000000-0005-0000-0000-000000030000}"/>
    <cellStyle name="Tusenskille 3 5 8" xfId="492" xr:uid="{00000000-0005-0000-0000-000001030000}"/>
    <cellStyle name="Tusenskille 3 5 9" xfId="582" xr:uid="{00000000-0005-0000-0000-000002030000}"/>
    <cellStyle name="Tusenskille 3 6" xfId="37" xr:uid="{00000000-0005-0000-0000-000003030000}"/>
    <cellStyle name="Tusenskille 3 6 10" xfId="675" xr:uid="{00000000-0005-0000-0000-000004030000}"/>
    <cellStyle name="Tusenskille 3 6 11" xfId="770" xr:uid="{00000000-0005-0000-0000-000005030000}"/>
    <cellStyle name="Tusenskille 3 6 2" xfId="59" xr:uid="{00000000-0005-0000-0000-000006030000}"/>
    <cellStyle name="Tusenskille 3 6 2 10" xfId="790" xr:uid="{00000000-0005-0000-0000-000007030000}"/>
    <cellStyle name="Tusenskille 3 6 2 2" xfId="99" xr:uid="{00000000-0005-0000-0000-000008030000}"/>
    <cellStyle name="Tusenskille 3 6 2 2 2" xfId="191" xr:uid="{00000000-0005-0000-0000-000009030000}"/>
    <cellStyle name="Tusenskille 3 6 2 2 3" xfId="281" xr:uid="{00000000-0005-0000-0000-00000A030000}"/>
    <cellStyle name="Tusenskille 3 6 2 2 4" xfId="371" xr:uid="{00000000-0005-0000-0000-00000B030000}"/>
    <cellStyle name="Tusenskille 3 6 2 2 5" xfId="461" xr:uid="{00000000-0005-0000-0000-00000C030000}"/>
    <cellStyle name="Tusenskille 3 6 2 2 6" xfId="551" xr:uid="{00000000-0005-0000-0000-00000D030000}"/>
    <cellStyle name="Tusenskille 3 6 2 2 7" xfId="641" xr:uid="{00000000-0005-0000-0000-00000E030000}"/>
    <cellStyle name="Tusenskille 3 6 2 2 8" xfId="731" xr:uid="{00000000-0005-0000-0000-00000F030000}"/>
    <cellStyle name="Tusenskille 3 6 2 2 9" xfId="828" xr:uid="{00000000-0005-0000-0000-000010030000}"/>
    <cellStyle name="Tusenskille 3 6 2 3" xfId="154" xr:uid="{00000000-0005-0000-0000-000011030000}"/>
    <cellStyle name="Tusenskille 3 6 2 4" xfId="244" xr:uid="{00000000-0005-0000-0000-000012030000}"/>
    <cellStyle name="Tusenskille 3 6 2 5" xfId="334" xr:uid="{00000000-0005-0000-0000-000013030000}"/>
    <cellStyle name="Tusenskille 3 6 2 6" xfId="424" xr:uid="{00000000-0005-0000-0000-000014030000}"/>
    <cellStyle name="Tusenskille 3 6 2 7" xfId="514" xr:uid="{00000000-0005-0000-0000-000015030000}"/>
    <cellStyle name="Tusenskille 3 6 2 8" xfId="604" xr:uid="{00000000-0005-0000-0000-000016030000}"/>
    <cellStyle name="Tusenskille 3 6 2 9" xfId="694" xr:uid="{00000000-0005-0000-0000-000017030000}"/>
    <cellStyle name="Tusenskille 3 6 3" xfId="79" xr:uid="{00000000-0005-0000-0000-000018030000}"/>
    <cellStyle name="Tusenskille 3 6 3 2" xfId="172" xr:uid="{00000000-0005-0000-0000-000019030000}"/>
    <cellStyle name="Tusenskille 3 6 3 3" xfId="262" xr:uid="{00000000-0005-0000-0000-00001A030000}"/>
    <cellStyle name="Tusenskille 3 6 3 4" xfId="352" xr:uid="{00000000-0005-0000-0000-00001B030000}"/>
    <cellStyle name="Tusenskille 3 6 3 5" xfId="442" xr:uid="{00000000-0005-0000-0000-00001C030000}"/>
    <cellStyle name="Tusenskille 3 6 3 6" xfId="532" xr:uid="{00000000-0005-0000-0000-00001D030000}"/>
    <cellStyle name="Tusenskille 3 6 3 7" xfId="622" xr:uid="{00000000-0005-0000-0000-00001E030000}"/>
    <cellStyle name="Tusenskille 3 6 3 8" xfId="712" xr:uid="{00000000-0005-0000-0000-00001F030000}"/>
    <cellStyle name="Tusenskille 3 6 3 9" xfId="809" xr:uid="{00000000-0005-0000-0000-000020030000}"/>
    <cellStyle name="Tusenskille 3 6 4" xfId="135" xr:uid="{00000000-0005-0000-0000-000021030000}"/>
    <cellStyle name="Tusenskille 3 6 5" xfId="225" xr:uid="{00000000-0005-0000-0000-000022030000}"/>
    <cellStyle name="Tusenskille 3 6 6" xfId="315" xr:uid="{00000000-0005-0000-0000-000023030000}"/>
    <cellStyle name="Tusenskille 3 6 7" xfId="405" xr:uid="{00000000-0005-0000-0000-000024030000}"/>
    <cellStyle name="Tusenskille 3 6 8" xfId="495" xr:uid="{00000000-0005-0000-0000-000025030000}"/>
    <cellStyle name="Tusenskille 3 6 9" xfId="585" xr:uid="{00000000-0005-0000-0000-000026030000}"/>
    <cellStyle name="Tusenskille 3 7" xfId="43" xr:uid="{00000000-0005-0000-0000-000027030000}"/>
    <cellStyle name="Tusenskille 3 7 10" xfId="775" xr:uid="{00000000-0005-0000-0000-000028030000}"/>
    <cellStyle name="Tusenskille 3 7 2" xfId="83" xr:uid="{00000000-0005-0000-0000-000029030000}"/>
    <cellStyle name="Tusenskille 3 7 2 2" xfId="176" xr:uid="{00000000-0005-0000-0000-00002A030000}"/>
    <cellStyle name="Tusenskille 3 7 2 3" xfId="266" xr:uid="{00000000-0005-0000-0000-00002B030000}"/>
    <cellStyle name="Tusenskille 3 7 2 4" xfId="356" xr:uid="{00000000-0005-0000-0000-00002C030000}"/>
    <cellStyle name="Tusenskille 3 7 2 5" xfId="446" xr:uid="{00000000-0005-0000-0000-00002D030000}"/>
    <cellStyle name="Tusenskille 3 7 2 6" xfId="536" xr:uid="{00000000-0005-0000-0000-00002E030000}"/>
    <cellStyle name="Tusenskille 3 7 2 7" xfId="626" xr:uid="{00000000-0005-0000-0000-00002F030000}"/>
    <cellStyle name="Tusenskille 3 7 2 8" xfId="716" xr:uid="{00000000-0005-0000-0000-000030030000}"/>
    <cellStyle name="Tusenskille 3 7 2 9" xfId="813" xr:uid="{00000000-0005-0000-0000-000031030000}"/>
    <cellStyle name="Tusenskille 3 7 3" xfId="139" xr:uid="{00000000-0005-0000-0000-000032030000}"/>
    <cellStyle name="Tusenskille 3 7 4" xfId="229" xr:uid="{00000000-0005-0000-0000-000033030000}"/>
    <cellStyle name="Tusenskille 3 7 5" xfId="319" xr:uid="{00000000-0005-0000-0000-000034030000}"/>
    <cellStyle name="Tusenskille 3 7 6" xfId="409" xr:uid="{00000000-0005-0000-0000-000035030000}"/>
    <cellStyle name="Tusenskille 3 7 7" xfId="499" xr:uid="{00000000-0005-0000-0000-000036030000}"/>
    <cellStyle name="Tusenskille 3 7 8" xfId="589" xr:uid="{00000000-0005-0000-0000-000037030000}"/>
    <cellStyle name="Tusenskille 3 7 9" xfId="679" xr:uid="{00000000-0005-0000-0000-000038030000}"/>
    <cellStyle name="Tusenskille 3 8" xfId="64" xr:uid="{00000000-0005-0000-0000-000039030000}"/>
    <cellStyle name="Tusenskille 3 8 2" xfId="157" xr:uid="{00000000-0005-0000-0000-00003A030000}"/>
    <cellStyle name="Tusenskille 3 8 3" xfId="247" xr:uid="{00000000-0005-0000-0000-00003B030000}"/>
    <cellStyle name="Tusenskille 3 8 4" xfId="337" xr:uid="{00000000-0005-0000-0000-00003C030000}"/>
    <cellStyle name="Tusenskille 3 8 5" xfId="427" xr:uid="{00000000-0005-0000-0000-00003D030000}"/>
    <cellStyle name="Tusenskille 3 8 6" xfId="517" xr:uid="{00000000-0005-0000-0000-00003E030000}"/>
    <cellStyle name="Tusenskille 3 8 7" xfId="607" xr:uid="{00000000-0005-0000-0000-00003F030000}"/>
    <cellStyle name="Tusenskille 3 8 8" xfId="697" xr:uid="{00000000-0005-0000-0000-000040030000}"/>
    <cellStyle name="Tusenskille 3 8 9" xfId="794" xr:uid="{00000000-0005-0000-0000-000041030000}"/>
    <cellStyle name="Tusenskille 3 9" xfId="102" xr:uid="{00000000-0005-0000-0000-000042030000}"/>
    <cellStyle name="Tusenskille 3 9 2" xfId="194" xr:uid="{00000000-0005-0000-0000-000043030000}"/>
    <cellStyle name="Tusenskille 3 9 3" xfId="284" xr:uid="{00000000-0005-0000-0000-000044030000}"/>
    <cellStyle name="Tusenskille 3 9 4" xfId="374" xr:uid="{00000000-0005-0000-0000-000045030000}"/>
    <cellStyle name="Tusenskille 3 9 5" xfId="464" xr:uid="{00000000-0005-0000-0000-000046030000}"/>
    <cellStyle name="Tusenskille 3 9 6" xfId="554" xr:uid="{00000000-0005-0000-0000-000047030000}"/>
    <cellStyle name="Tusenskille 3 9 7" xfId="644" xr:uid="{00000000-0005-0000-0000-000048030000}"/>
    <cellStyle name="Tusenskille 3 9 8" xfId="734" xr:uid="{00000000-0005-0000-0000-000049030000}"/>
    <cellStyle name="Tusenskille 3 9 9" xfId="831" xr:uid="{00000000-0005-0000-0000-00004A030000}"/>
    <cellStyle name="Tusenskille 4" xfId="17" xr:uid="{00000000-0005-0000-0000-00004B030000}"/>
    <cellStyle name="Tusenskille 4 2" xfId="753" xr:uid="{00000000-0005-0000-0000-00004C030000}"/>
    <cellStyle name="Tusenskille 5" xfId="13" xr:uid="{00000000-0005-0000-0000-00004D030000}"/>
    <cellStyle name="Tusenskille 5 2" xfId="749" xr:uid="{00000000-0005-0000-0000-00004E030000}"/>
    <cellStyle name="Tusenskille 6" xfId="115" xr:uid="{00000000-0005-0000-0000-00004F030000}"/>
    <cellStyle name="TusenskilleFjernNull" xfId="846" xr:uid="{00000000-0005-0000-0000-000050030000}"/>
  </cellStyles>
  <dxfs count="4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Figurer!$M$7</c:f>
              <c:strCache>
                <c:ptCount val="1"/>
                <c:pt idx="0">
                  <c:v>2021</c:v>
                </c:pt>
              </c:strCache>
            </c:strRef>
          </c:tx>
          <c:invertIfNegative val="0"/>
          <c:cat>
            <c:strRef>
              <c:f>Figurer!$L$8:$L$32</c:f>
              <c:strCache>
                <c:ptCount val="25"/>
                <c:pt idx="0">
                  <c:v>Codan Forsikring</c:v>
                </c:pt>
                <c:pt idx="1">
                  <c:v>Danica Pensjon</c:v>
                </c:pt>
                <c:pt idx="2">
                  <c:v>DNB Liv</c:v>
                </c:pt>
                <c:pt idx="3">
                  <c:v>Eika Forsikring</c:v>
                </c:pt>
                <c:pt idx="4">
                  <c:v>Euro Accident</c:v>
                </c:pt>
                <c:pt idx="5">
                  <c:v>Fremtind Livsfors</c:v>
                </c:pt>
                <c:pt idx="6">
                  <c:v>Frende Livsfors</c:v>
                </c:pt>
                <c:pt idx="7">
                  <c:v>Frende Skade</c:v>
                </c:pt>
                <c:pt idx="8">
                  <c:v>Gjensidige Fors</c:v>
                </c:pt>
                <c:pt idx="9">
                  <c:v>Gjensidige Pensj</c:v>
                </c:pt>
                <c:pt idx="10">
                  <c:v>Handelsb Liv</c:v>
                </c:pt>
                <c:pt idx="11">
                  <c:v>If Skadefors</c:v>
                </c:pt>
                <c:pt idx="12">
                  <c:v>KLP</c:v>
                </c:pt>
                <c:pt idx="13">
                  <c:v>KLP Skadef</c:v>
                </c:pt>
                <c:pt idx="14">
                  <c:v>Landkreditt Fors.</c:v>
                </c:pt>
                <c:pt idx="15">
                  <c:v>Insr</c:v>
                </c:pt>
                <c:pt idx="16">
                  <c:v>Nordea Liv</c:v>
                </c:pt>
                <c:pt idx="17">
                  <c:v>OPF</c:v>
                </c:pt>
                <c:pt idx="18">
                  <c:v>Protector Fors</c:v>
                </c:pt>
                <c:pt idx="19">
                  <c:v>SpareBank 1</c:v>
                </c:pt>
                <c:pt idx="20">
                  <c:v>Storebrand </c:v>
                </c:pt>
                <c:pt idx="21">
                  <c:v>Telenor Fors</c:v>
                </c:pt>
                <c:pt idx="22">
                  <c:v>Tryg Fors</c:v>
                </c:pt>
                <c:pt idx="23">
                  <c:v>WaterCircles Fors.</c:v>
                </c:pt>
                <c:pt idx="24">
                  <c:v>Youplus Livsf</c:v>
                </c:pt>
              </c:strCache>
            </c:strRef>
          </c:cat>
          <c:val>
            <c:numRef>
              <c:f>Figurer!$M$8:$M$32</c:f>
              <c:numCache>
                <c:formatCode>#,##0</c:formatCode>
                <c:ptCount val="25"/>
                <c:pt idx="0">
                  <c:v>47791</c:v>
                </c:pt>
                <c:pt idx="1">
                  <c:v>105984.141</c:v>
                </c:pt>
                <c:pt idx="2">
                  <c:v>1343575.8687400001</c:v>
                </c:pt>
                <c:pt idx="3">
                  <c:v>86830</c:v>
                </c:pt>
                <c:pt idx="4">
                  <c:v>8328</c:v>
                </c:pt>
                <c:pt idx="5">
                  <c:v>846741.58648000006</c:v>
                </c:pt>
                <c:pt idx="6">
                  <c:v>462024</c:v>
                </c:pt>
                <c:pt idx="7">
                  <c:v>5032.16</c:v>
                </c:pt>
                <c:pt idx="8">
                  <c:v>1275735.1170000001</c:v>
                </c:pt>
                <c:pt idx="9">
                  <c:v>228732</c:v>
                </c:pt>
                <c:pt idx="10">
                  <c:v>8840.2157599999991</c:v>
                </c:pt>
                <c:pt idx="11">
                  <c:v>170115.003490506</c:v>
                </c:pt>
                <c:pt idx="12">
                  <c:v>7029637.7149999999</c:v>
                </c:pt>
                <c:pt idx="13">
                  <c:v>181165.234</c:v>
                </c:pt>
                <c:pt idx="14">
                  <c:v>32788</c:v>
                </c:pt>
                <c:pt idx="15">
                  <c:v>9365</c:v>
                </c:pt>
                <c:pt idx="16">
                  <c:v>640623</c:v>
                </c:pt>
                <c:pt idx="17">
                  <c:v>823365</c:v>
                </c:pt>
                <c:pt idx="18">
                  <c:v>212752.66328546518</c:v>
                </c:pt>
                <c:pt idx="19">
                  <c:v>267941.32840000006</c:v>
                </c:pt>
                <c:pt idx="20">
                  <c:v>2282188.585</c:v>
                </c:pt>
                <c:pt idx="21">
                  <c:v>364</c:v>
                </c:pt>
                <c:pt idx="22">
                  <c:v>519007.69999999995</c:v>
                </c:pt>
                <c:pt idx="23">
                  <c:v>1478</c:v>
                </c:pt>
              </c:numCache>
            </c:numRef>
          </c:val>
          <c:extLst>
            <c:ext xmlns:c16="http://schemas.microsoft.com/office/drawing/2014/chart" uri="{C3380CC4-5D6E-409C-BE32-E72D297353CC}">
              <c16:uniqueId val="{00000002-93AE-4CD9-98AD-A52686D1F9FB}"/>
            </c:ext>
          </c:extLst>
        </c:ser>
        <c:ser>
          <c:idx val="1"/>
          <c:order val="1"/>
          <c:tx>
            <c:strRef>
              <c:f>Figurer!$N$7</c:f>
              <c:strCache>
                <c:ptCount val="1"/>
                <c:pt idx="0">
                  <c:v>2022</c:v>
                </c:pt>
              </c:strCache>
            </c:strRef>
          </c:tx>
          <c:invertIfNegative val="0"/>
          <c:cat>
            <c:strRef>
              <c:f>Figurer!$L$8:$L$32</c:f>
              <c:strCache>
                <c:ptCount val="25"/>
                <c:pt idx="0">
                  <c:v>Codan Forsikring</c:v>
                </c:pt>
                <c:pt idx="1">
                  <c:v>Danica Pensjon</c:v>
                </c:pt>
                <c:pt idx="2">
                  <c:v>DNB Liv</c:v>
                </c:pt>
                <c:pt idx="3">
                  <c:v>Eika Forsikring</c:v>
                </c:pt>
                <c:pt idx="4">
                  <c:v>Euro Accident</c:v>
                </c:pt>
                <c:pt idx="5">
                  <c:v>Fremtind Livsfors</c:v>
                </c:pt>
                <c:pt idx="6">
                  <c:v>Frende Livsfors</c:v>
                </c:pt>
                <c:pt idx="7">
                  <c:v>Frende Skade</c:v>
                </c:pt>
                <c:pt idx="8">
                  <c:v>Gjensidige Fors</c:v>
                </c:pt>
                <c:pt idx="9">
                  <c:v>Gjensidige Pensj</c:v>
                </c:pt>
                <c:pt idx="10">
                  <c:v>Handelsb Liv</c:v>
                </c:pt>
                <c:pt idx="11">
                  <c:v>If Skadefors</c:v>
                </c:pt>
                <c:pt idx="12">
                  <c:v>KLP</c:v>
                </c:pt>
                <c:pt idx="13">
                  <c:v>KLP Skadef</c:v>
                </c:pt>
                <c:pt idx="14">
                  <c:v>Landkreditt Fors.</c:v>
                </c:pt>
                <c:pt idx="15">
                  <c:v>Insr</c:v>
                </c:pt>
                <c:pt idx="16">
                  <c:v>Nordea Liv</c:v>
                </c:pt>
                <c:pt idx="17">
                  <c:v>OPF</c:v>
                </c:pt>
                <c:pt idx="18">
                  <c:v>Protector Fors</c:v>
                </c:pt>
                <c:pt idx="19">
                  <c:v>SpareBank 1</c:v>
                </c:pt>
                <c:pt idx="20">
                  <c:v>Storebrand </c:v>
                </c:pt>
                <c:pt idx="21">
                  <c:v>Telenor Fors</c:v>
                </c:pt>
                <c:pt idx="22">
                  <c:v>Tryg Fors</c:v>
                </c:pt>
                <c:pt idx="23">
                  <c:v>WaterCircles Fors.</c:v>
                </c:pt>
                <c:pt idx="24">
                  <c:v>Youplus Livsf</c:v>
                </c:pt>
              </c:strCache>
            </c:strRef>
          </c:cat>
          <c:val>
            <c:numRef>
              <c:f>Figurer!$N$8:$N$32</c:f>
              <c:numCache>
                <c:formatCode>#,##0</c:formatCode>
                <c:ptCount val="25"/>
                <c:pt idx="0">
                  <c:v>49378</c:v>
                </c:pt>
                <c:pt idx="1">
                  <c:v>112892.864</c:v>
                </c:pt>
                <c:pt idx="2">
                  <c:v>1241691.2704</c:v>
                </c:pt>
                <c:pt idx="3">
                  <c:v>116603</c:v>
                </c:pt>
                <c:pt idx="4">
                  <c:v>22472</c:v>
                </c:pt>
                <c:pt idx="5">
                  <c:v>867620.14841999998</c:v>
                </c:pt>
                <c:pt idx="6">
                  <c:v>509672</c:v>
                </c:pt>
                <c:pt idx="7">
                  <c:v>6055.442</c:v>
                </c:pt>
                <c:pt idx="8">
                  <c:v>1381871.2850000001</c:v>
                </c:pt>
                <c:pt idx="9">
                  <c:v>254783</c:v>
                </c:pt>
                <c:pt idx="10">
                  <c:v>8764.5190000000002</c:v>
                </c:pt>
                <c:pt idx="11">
                  <c:v>195617.65438259998</c:v>
                </c:pt>
                <c:pt idx="12">
                  <c:v>7118708.5350500001</c:v>
                </c:pt>
                <c:pt idx="13">
                  <c:v>182893.26199999999</c:v>
                </c:pt>
                <c:pt idx="14">
                  <c:v>18594</c:v>
                </c:pt>
                <c:pt idx="16">
                  <c:v>636134.2522279151</c:v>
                </c:pt>
                <c:pt idx="17">
                  <c:v>1184750</c:v>
                </c:pt>
                <c:pt idx="18">
                  <c:v>216669.42148958714</c:v>
                </c:pt>
                <c:pt idx="19">
                  <c:v>264029.16310000001</c:v>
                </c:pt>
                <c:pt idx="20">
                  <c:v>2162321.1750000003</c:v>
                </c:pt>
                <c:pt idx="21">
                  <c:v>319</c:v>
                </c:pt>
                <c:pt idx="22">
                  <c:v>546669.5</c:v>
                </c:pt>
                <c:pt idx="23">
                  <c:v>2114</c:v>
                </c:pt>
                <c:pt idx="24">
                  <c:v>868</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Figurer!$M$36</c:f>
              <c:strCache>
                <c:ptCount val="1"/>
                <c:pt idx="0">
                  <c:v>2021</c:v>
                </c:pt>
              </c:strCache>
            </c:strRef>
          </c:tx>
          <c:invertIfNegative val="0"/>
          <c:cat>
            <c:strRef>
              <c:f>Figurer!$L$37:$L$45</c:f>
              <c:strCache>
                <c:ptCount val="9"/>
                <c:pt idx="0">
                  <c:v>Danica Pensjon</c:v>
                </c:pt>
                <c:pt idx="1">
                  <c:v>DNB Liv</c:v>
                </c:pt>
                <c:pt idx="2">
                  <c:v>Frende Livsfors</c:v>
                </c:pt>
                <c:pt idx="3">
                  <c:v>Gjensidige Pensj</c:v>
                </c:pt>
                <c:pt idx="4">
                  <c:v>KLP</c:v>
                </c:pt>
                <c:pt idx="5">
                  <c:v>Nordea Liv</c:v>
                </c:pt>
                <c:pt idx="6">
                  <c:v>SHB Liv</c:v>
                </c:pt>
                <c:pt idx="7">
                  <c:v>SpareBank 1</c:v>
                </c:pt>
                <c:pt idx="8">
                  <c:v>Storebrand</c:v>
                </c:pt>
              </c:strCache>
            </c:strRef>
          </c:cat>
          <c:val>
            <c:numRef>
              <c:f>Figurer!$M$37:$M$45</c:f>
              <c:numCache>
                <c:formatCode>#,##0</c:formatCode>
                <c:ptCount val="9"/>
                <c:pt idx="0">
                  <c:v>605624.35699999996</c:v>
                </c:pt>
                <c:pt idx="1">
                  <c:v>2864053.5292500001</c:v>
                </c:pt>
                <c:pt idx="2">
                  <c:v>0</c:v>
                </c:pt>
                <c:pt idx="3">
                  <c:v>917875</c:v>
                </c:pt>
                <c:pt idx="4">
                  <c:v>13768.486000000001</c:v>
                </c:pt>
                <c:pt idx="5">
                  <c:v>4591987.8017199999</c:v>
                </c:pt>
                <c:pt idx="6">
                  <c:v>43468.250899999999</c:v>
                </c:pt>
                <c:pt idx="7">
                  <c:v>1354315.19411</c:v>
                </c:pt>
                <c:pt idx="8">
                  <c:v>3478515.0109999999</c:v>
                </c:pt>
              </c:numCache>
            </c:numRef>
          </c:val>
          <c:extLst>
            <c:ext xmlns:c16="http://schemas.microsoft.com/office/drawing/2014/chart" uri="{C3380CC4-5D6E-409C-BE32-E72D297353CC}">
              <c16:uniqueId val="{00000000-3971-4F9A-B5A3-CF52C774B823}"/>
            </c:ext>
          </c:extLst>
        </c:ser>
        <c:ser>
          <c:idx val="1"/>
          <c:order val="1"/>
          <c:tx>
            <c:strRef>
              <c:f>Figurer!$N$36</c:f>
              <c:strCache>
                <c:ptCount val="1"/>
                <c:pt idx="0">
                  <c:v>2022</c:v>
                </c:pt>
              </c:strCache>
            </c:strRef>
          </c:tx>
          <c:invertIfNegative val="0"/>
          <c:cat>
            <c:strRef>
              <c:f>Figurer!$L$37:$L$45</c:f>
              <c:strCache>
                <c:ptCount val="9"/>
                <c:pt idx="0">
                  <c:v>Danica Pensjon</c:v>
                </c:pt>
                <c:pt idx="1">
                  <c:v>DNB Liv</c:v>
                </c:pt>
                <c:pt idx="2">
                  <c:v>Frende Livsfors</c:v>
                </c:pt>
                <c:pt idx="3">
                  <c:v>Gjensidige Pensj</c:v>
                </c:pt>
                <c:pt idx="4">
                  <c:v>KLP</c:v>
                </c:pt>
                <c:pt idx="5">
                  <c:v>Nordea Liv</c:v>
                </c:pt>
                <c:pt idx="6">
                  <c:v>SHB Liv</c:v>
                </c:pt>
                <c:pt idx="7">
                  <c:v>SpareBank 1</c:v>
                </c:pt>
                <c:pt idx="8">
                  <c:v>Storebrand</c:v>
                </c:pt>
              </c:strCache>
            </c:strRef>
          </c:cat>
          <c:val>
            <c:numRef>
              <c:f>Figurer!$N$37:$N$45</c:f>
              <c:numCache>
                <c:formatCode>#,##0</c:formatCode>
                <c:ptCount val="9"/>
                <c:pt idx="0">
                  <c:v>614205.69200000004</c:v>
                </c:pt>
                <c:pt idx="1">
                  <c:v>2905848.0100999996</c:v>
                </c:pt>
                <c:pt idx="2">
                  <c:v>0</c:v>
                </c:pt>
                <c:pt idx="3">
                  <c:v>1002999</c:v>
                </c:pt>
                <c:pt idx="4">
                  <c:v>7778.8180000000002</c:v>
                </c:pt>
                <c:pt idx="5">
                  <c:v>4270850.2935300004</c:v>
                </c:pt>
                <c:pt idx="6">
                  <c:v>31910.574619999999</c:v>
                </c:pt>
                <c:pt idx="7">
                  <c:v>1509638.1021500002</c:v>
                </c:pt>
                <c:pt idx="8">
                  <c:v>3267123.5039999997</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Figurer!$M$56</c:f>
              <c:strCache>
                <c:ptCount val="1"/>
                <c:pt idx="0">
                  <c:v>2021</c:v>
                </c:pt>
              </c:strCache>
            </c:strRef>
          </c:tx>
          <c:invertIfNegative val="0"/>
          <c:cat>
            <c:strRef>
              <c:f>Figurer!$L$57:$L$79</c:f>
              <c:strCache>
                <c:ptCount val="23"/>
                <c:pt idx="0">
                  <c:v>Codan Forsikring</c:v>
                </c:pt>
                <c:pt idx="1">
                  <c:v>Danica Pensjon</c:v>
                </c:pt>
                <c:pt idx="2">
                  <c:v>DNB Liv</c:v>
                </c:pt>
                <c:pt idx="3">
                  <c:v>Eika Forsikring</c:v>
                </c:pt>
                <c:pt idx="4">
                  <c:v>Euro Accident</c:v>
                </c:pt>
                <c:pt idx="5">
                  <c:v>Fremtind Livsfors</c:v>
                </c:pt>
                <c:pt idx="6">
                  <c:v>Frende Livsfors</c:v>
                </c:pt>
                <c:pt idx="7">
                  <c:v>Gjensidige Fors</c:v>
                </c:pt>
                <c:pt idx="8">
                  <c:v>Gjensidige Pensj</c:v>
                </c:pt>
                <c:pt idx="9">
                  <c:v>Handelsb Liv</c:v>
                </c:pt>
                <c:pt idx="10">
                  <c:v>If Skadefors</c:v>
                </c:pt>
                <c:pt idx="11">
                  <c:v>Insr</c:v>
                </c:pt>
                <c:pt idx="12">
                  <c:v>KLP</c:v>
                </c:pt>
                <c:pt idx="13">
                  <c:v>KLP Skadef</c:v>
                </c:pt>
                <c:pt idx="14">
                  <c:v>Landkreditt Fors</c:v>
                </c:pt>
                <c:pt idx="15">
                  <c:v>Nordea Liv</c:v>
                </c:pt>
                <c:pt idx="16">
                  <c:v>OPF</c:v>
                </c:pt>
                <c:pt idx="17">
                  <c:v>SpareBank 1</c:v>
                </c:pt>
                <c:pt idx="18">
                  <c:v>Storebrand </c:v>
                </c:pt>
                <c:pt idx="19">
                  <c:v>Telenor Forsikring</c:v>
                </c:pt>
                <c:pt idx="20">
                  <c:v>Tryg Forsikring</c:v>
                </c:pt>
                <c:pt idx="21">
                  <c:v>WaterCicles Fors.</c:v>
                </c:pt>
                <c:pt idx="22">
                  <c:v>Youplus Livsf</c:v>
                </c:pt>
              </c:strCache>
            </c:strRef>
          </c:cat>
          <c:val>
            <c:numRef>
              <c:f>Figurer!$M$57:$M$79</c:f>
              <c:numCache>
                <c:formatCode>#,##0</c:formatCode>
                <c:ptCount val="23"/>
                <c:pt idx="0">
                  <c:v>0</c:v>
                </c:pt>
                <c:pt idx="1">
                  <c:v>1351956.0279999999</c:v>
                </c:pt>
                <c:pt idx="2">
                  <c:v>196590138.16999999</c:v>
                </c:pt>
                <c:pt idx="3">
                  <c:v>0</c:v>
                </c:pt>
                <c:pt idx="4">
                  <c:v>0</c:v>
                </c:pt>
                <c:pt idx="5">
                  <c:v>3914911.94576</c:v>
                </c:pt>
                <c:pt idx="6">
                  <c:v>1220716</c:v>
                </c:pt>
                <c:pt idx="7">
                  <c:v>0</c:v>
                </c:pt>
                <c:pt idx="8">
                  <c:v>7864328</c:v>
                </c:pt>
                <c:pt idx="9">
                  <c:v>18807.375</c:v>
                </c:pt>
                <c:pt idx="10">
                  <c:v>0</c:v>
                </c:pt>
                <c:pt idx="11">
                  <c:v>0</c:v>
                </c:pt>
                <c:pt idx="12">
                  <c:v>532252570.11264002</c:v>
                </c:pt>
                <c:pt idx="13">
                  <c:v>61664.775000000001</c:v>
                </c:pt>
                <c:pt idx="14">
                  <c:v>0</c:v>
                </c:pt>
                <c:pt idx="15">
                  <c:v>54236300.000061981</c:v>
                </c:pt>
                <c:pt idx="16">
                  <c:v>84956302</c:v>
                </c:pt>
                <c:pt idx="17">
                  <c:v>19627923.643070001</c:v>
                </c:pt>
                <c:pt idx="18">
                  <c:v>191597306.794</c:v>
                </c:pt>
                <c:pt idx="19">
                  <c:v>0</c:v>
                </c:pt>
                <c:pt idx="20">
                  <c:v>0</c:v>
                </c:pt>
                <c:pt idx="21">
                  <c:v>0</c:v>
                </c:pt>
              </c:numCache>
            </c:numRef>
          </c:val>
          <c:extLst>
            <c:ext xmlns:c16="http://schemas.microsoft.com/office/drawing/2014/chart" uri="{C3380CC4-5D6E-409C-BE32-E72D297353CC}">
              <c16:uniqueId val="{00000000-F5D7-4882-A9B6-45C2F0317A05}"/>
            </c:ext>
          </c:extLst>
        </c:ser>
        <c:ser>
          <c:idx val="1"/>
          <c:order val="1"/>
          <c:tx>
            <c:strRef>
              <c:f>Figurer!$N$56</c:f>
              <c:strCache>
                <c:ptCount val="1"/>
                <c:pt idx="0">
                  <c:v>2022</c:v>
                </c:pt>
              </c:strCache>
            </c:strRef>
          </c:tx>
          <c:invertIfNegative val="0"/>
          <c:cat>
            <c:strRef>
              <c:f>Figurer!$L$57:$L$79</c:f>
              <c:strCache>
                <c:ptCount val="23"/>
                <c:pt idx="0">
                  <c:v>Codan Forsikring</c:v>
                </c:pt>
                <c:pt idx="1">
                  <c:v>Danica Pensjon</c:v>
                </c:pt>
                <c:pt idx="2">
                  <c:v>DNB Liv</c:v>
                </c:pt>
                <c:pt idx="3">
                  <c:v>Eika Forsikring</c:v>
                </c:pt>
                <c:pt idx="4">
                  <c:v>Euro Accident</c:v>
                </c:pt>
                <c:pt idx="5">
                  <c:v>Fremtind Livsfors</c:v>
                </c:pt>
                <c:pt idx="6">
                  <c:v>Frende Livsfors</c:v>
                </c:pt>
                <c:pt idx="7">
                  <c:v>Gjensidige Fors</c:v>
                </c:pt>
                <c:pt idx="8">
                  <c:v>Gjensidige Pensj</c:v>
                </c:pt>
                <c:pt idx="9">
                  <c:v>Handelsb Liv</c:v>
                </c:pt>
                <c:pt idx="10">
                  <c:v>If Skadefors</c:v>
                </c:pt>
                <c:pt idx="11">
                  <c:v>Insr</c:v>
                </c:pt>
                <c:pt idx="12">
                  <c:v>KLP</c:v>
                </c:pt>
                <c:pt idx="13">
                  <c:v>KLP Skadef</c:v>
                </c:pt>
                <c:pt idx="14">
                  <c:v>Landkreditt Fors</c:v>
                </c:pt>
                <c:pt idx="15">
                  <c:v>Nordea Liv</c:v>
                </c:pt>
                <c:pt idx="16">
                  <c:v>OPF</c:v>
                </c:pt>
                <c:pt idx="17">
                  <c:v>SpareBank 1</c:v>
                </c:pt>
                <c:pt idx="18">
                  <c:v>Storebrand </c:v>
                </c:pt>
                <c:pt idx="19">
                  <c:v>Telenor Forsikring</c:v>
                </c:pt>
                <c:pt idx="20">
                  <c:v>Tryg Forsikring</c:v>
                </c:pt>
                <c:pt idx="21">
                  <c:v>WaterCicles Fors.</c:v>
                </c:pt>
                <c:pt idx="22">
                  <c:v>Youplus Livsf</c:v>
                </c:pt>
              </c:strCache>
            </c:strRef>
          </c:cat>
          <c:val>
            <c:numRef>
              <c:f>Figurer!$N$57:$N$79</c:f>
              <c:numCache>
                <c:formatCode>#,##0</c:formatCode>
                <c:ptCount val="23"/>
                <c:pt idx="0">
                  <c:v>0</c:v>
                </c:pt>
                <c:pt idx="1">
                  <c:v>1381543.8390000002</c:v>
                </c:pt>
                <c:pt idx="2">
                  <c:v>192614629.3415657</c:v>
                </c:pt>
                <c:pt idx="3">
                  <c:v>0</c:v>
                </c:pt>
                <c:pt idx="4">
                  <c:v>0</c:v>
                </c:pt>
                <c:pt idx="5">
                  <c:v>4438692.9528400004</c:v>
                </c:pt>
                <c:pt idx="6">
                  <c:v>1439347</c:v>
                </c:pt>
                <c:pt idx="7">
                  <c:v>0</c:v>
                </c:pt>
                <c:pt idx="8">
                  <c:v>8469814</c:v>
                </c:pt>
                <c:pt idx="9">
                  <c:v>22760.624</c:v>
                </c:pt>
                <c:pt idx="10">
                  <c:v>0</c:v>
                </c:pt>
                <c:pt idx="12">
                  <c:v>641185711.48478997</c:v>
                </c:pt>
                <c:pt idx="13">
                  <c:v>84130.56700000001</c:v>
                </c:pt>
                <c:pt idx="14">
                  <c:v>0</c:v>
                </c:pt>
                <c:pt idx="15">
                  <c:v>56075290.000025906</c:v>
                </c:pt>
                <c:pt idx="16">
                  <c:v>82039593</c:v>
                </c:pt>
                <c:pt idx="17">
                  <c:v>20731745.61747</c:v>
                </c:pt>
                <c:pt idx="18">
                  <c:v>200579203.15599999</c:v>
                </c:pt>
                <c:pt idx="19">
                  <c:v>0</c:v>
                </c:pt>
                <c:pt idx="20">
                  <c:v>0</c:v>
                </c:pt>
                <c:pt idx="21">
                  <c:v>0</c:v>
                </c:pt>
                <c:pt idx="22">
                  <c:v>837</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Figurer!$M$83</c:f>
              <c:strCache>
                <c:ptCount val="1"/>
                <c:pt idx="0">
                  <c:v>2021</c:v>
                </c:pt>
              </c:strCache>
            </c:strRef>
          </c:tx>
          <c:invertIfNegative val="0"/>
          <c:cat>
            <c:strRef>
              <c:f>Figurer!$L$84:$L$92</c:f>
              <c:strCache>
                <c:ptCount val="9"/>
                <c:pt idx="0">
                  <c:v>Danica Pensjon</c:v>
                </c:pt>
                <c:pt idx="1">
                  <c:v>DNB Liv</c:v>
                </c:pt>
                <c:pt idx="2">
                  <c:v>Frende Livsfors</c:v>
                </c:pt>
                <c:pt idx="3">
                  <c:v>Gjensidige Pensj</c:v>
                </c:pt>
                <c:pt idx="4">
                  <c:v>KLP</c:v>
                </c:pt>
                <c:pt idx="5">
                  <c:v>Nordea Liv</c:v>
                </c:pt>
                <c:pt idx="6">
                  <c:v>SHB Liv</c:v>
                </c:pt>
                <c:pt idx="7">
                  <c:v>SpareBank 1</c:v>
                </c:pt>
                <c:pt idx="8">
                  <c:v>Storebrand</c:v>
                </c:pt>
              </c:strCache>
            </c:strRef>
          </c:cat>
          <c:val>
            <c:numRef>
              <c:f>Figurer!$M$84:$M$92</c:f>
              <c:numCache>
                <c:formatCode>#,##0</c:formatCode>
                <c:ptCount val="9"/>
                <c:pt idx="0">
                  <c:v>25191577.335999999</c:v>
                </c:pt>
                <c:pt idx="1">
                  <c:v>122659439.22629599</c:v>
                </c:pt>
                <c:pt idx="2">
                  <c:v>0</c:v>
                </c:pt>
                <c:pt idx="3">
                  <c:v>36333371</c:v>
                </c:pt>
                <c:pt idx="4">
                  <c:v>2073544.89796</c:v>
                </c:pt>
                <c:pt idx="5">
                  <c:v>105547000</c:v>
                </c:pt>
                <c:pt idx="6">
                  <c:v>3051253.7135600001</c:v>
                </c:pt>
                <c:pt idx="7">
                  <c:v>47144820.956519999</c:v>
                </c:pt>
                <c:pt idx="8">
                  <c:v>144290948.79499999</c:v>
                </c:pt>
              </c:numCache>
            </c:numRef>
          </c:val>
          <c:extLst>
            <c:ext xmlns:c16="http://schemas.microsoft.com/office/drawing/2014/chart" uri="{C3380CC4-5D6E-409C-BE32-E72D297353CC}">
              <c16:uniqueId val="{00000000-62B1-4395-80F9-424B1553CC96}"/>
            </c:ext>
          </c:extLst>
        </c:ser>
        <c:ser>
          <c:idx val="1"/>
          <c:order val="1"/>
          <c:tx>
            <c:strRef>
              <c:f>Figurer!$N$83</c:f>
              <c:strCache>
                <c:ptCount val="1"/>
                <c:pt idx="0">
                  <c:v>2022</c:v>
                </c:pt>
              </c:strCache>
            </c:strRef>
          </c:tx>
          <c:invertIfNegative val="0"/>
          <c:cat>
            <c:strRef>
              <c:f>Figurer!$L$84:$L$92</c:f>
              <c:strCache>
                <c:ptCount val="9"/>
                <c:pt idx="0">
                  <c:v>Danica Pensjon</c:v>
                </c:pt>
                <c:pt idx="1">
                  <c:v>DNB Liv</c:v>
                </c:pt>
                <c:pt idx="2">
                  <c:v>Frende Livsfors</c:v>
                </c:pt>
                <c:pt idx="3">
                  <c:v>Gjensidige Pensj</c:v>
                </c:pt>
                <c:pt idx="4">
                  <c:v>KLP</c:v>
                </c:pt>
                <c:pt idx="5">
                  <c:v>Nordea Liv</c:v>
                </c:pt>
                <c:pt idx="6">
                  <c:v>SHB Liv</c:v>
                </c:pt>
                <c:pt idx="7">
                  <c:v>SpareBank 1</c:v>
                </c:pt>
                <c:pt idx="8">
                  <c:v>Storebrand</c:v>
                </c:pt>
              </c:strCache>
            </c:strRef>
          </c:cat>
          <c:val>
            <c:numRef>
              <c:f>Figurer!$N$84:$N$92</c:f>
              <c:numCache>
                <c:formatCode>#,##0</c:formatCode>
                <c:ptCount val="9"/>
                <c:pt idx="0">
                  <c:v>28240109.531000003</c:v>
                </c:pt>
                <c:pt idx="1">
                  <c:v>137360760.34</c:v>
                </c:pt>
                <c:pt idx="2">
                  <c:v>0</c:v>
                </c:pt>
                <c:pt idx="3">
                  <c:v>42719338</c:v>
                </c:pt>
                <c:pt idx="4">
                  <c:v>2847329.1389299999</c:v>
                </c:pt>
                <c:pt idx="5">
                  <c:v>122540880</c:v>
                </c:pt>
                <c:pt idx="6">
                  <c:v>2929926.8749500001</c:v>
                </c:pt>
                <c:pt idx="7">
                  <c:v>55349782.673019998</c:v>
                </c:pt>
                <c:pt idx="8">
                  <c:v>154175707.56736001</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Figurer!$M$108</c:f>
              <c:strCache>
                <c:ptCount val="1"/>
                <c:pt idx="0">
                  <c:v>2021</c:v>
                </c:pt>
              </c:strCache>
            </c:strRef>
          </c:tx>
          <c:invertIfNegative val="0"/>
          <c:cat>
            <c:strRef>
              <c:f>Figurer!$L$109:$L$115</c:f>
              <c:strCache>
                <c:ptCount val="7"/>
                <c:pt idx="0">
                  <c:v>Danica Pensjon</c:v>
                </c:pt>
                <c:pt idx="1">
                  <c:v>DNB Liv</c:v>
                </c:pt>
                <c:pt idx="2">
                  <c:v>Gjensidige Pensj</c:v>
                </c:pt>
                <c:pt idx="3">
                  <c:v>KLP</c:v>
                </c:pt>
                <c:pt idx="4">
                  <c:v>Nordea Liv</c:v>
                </c:pt>
                <c:pt idx="5">
                  <c:v>SpareBank 1</c:v>
                </c:pt>
                <c:pt idx="6">
                  <c:v>Storebrand </c:v>
                </c:pt>
              </c:strCache>
            </c:strRef>
          </c:cat>
          <c:val>
            <c:numRef>
              <c:f>Figurer!$M$109:$M$115</c:f>
              <c:numCache>
                <c:formatCode>#,##0</c:formatCode>
                <c:ptCount val="7"/>
                <c:pt idx="0">
                  <c:v>6173.4510000000009</c:v>
                </c:pt>
                <c:pt idx="1">
                  <c:v>588558</c:v>
                </c:pt>
                <c:pt idx="2">
                  <c:v>6474</c:v>
                </c:pt>
                <c:pt idx="3">
                  <c:v>-8418803.5179999992</c:v>
                </c:pt>
                <c:pt idx="4">
                  <c:v>-1770</c:v>
                </c:pt>
                <c:pt idx="5">
                  <c:v>-11830.833309999998</c:v>
                </c:pt>
                <c:pt idx="6">
                  <c:v>7017389.9980000006</c:v>
                </c:pt>
              </c:numCache>
            </c:numRef>
          </c:val>
          <c:extLst>
            <c:ext xmlns:c16="http://schemas.microsoft.com/office/drawing/2014/chart" uri="{C3380CC4-5D6E-409C-BE32-E72D297353CC}">
              <c16:uniqueId val="{00000000-2BF8-4278-857F-91A0E7196849}"/>
            </c:ext>
          </c:extLst>
        </c:ser>
        <c:ser>
          <c:idx val="1"/>
          <c:order val="1"/>
          <c:tx>
            <c:strRef>
              <c:f>Figurer!$N$108</c:f>
              <c:strCache>
                <c:ptCount val="1"/>
                <c:pt idx="0">
                  <c:v>2022</c:v>
                </c:pt>
              </c:strCache>
            </c:strRef>
          </c:tx>
          <c:invertIfNegative val="0"/>
          <c:cat>
            <c:strRef>
              <c:f>Figurer!$L$109:$L$115</c:f>
              <c:strCache>
                <c:ptCount val="7"/>
                <c:pt idx="0">
                  <c:v>Danica Pensjon</c:v>
                </c:pt>
                <c:pt idx="1">
                  <c:v>DNB Liv</c:v>
                </c:pt>
                <c:pt idx="2">
                  <c:v>Gjensidige Pensj</c:v>
                </c:pt>
                <c:pt idx="3">
                  <c:v>KLP</c:v>
                </c:pt>
                <c:pt idx="4">
                  <c:v>Nordea Liv</c:v>
                </c:pt>
                <c:pt idx="5">
                  <c:v>SpareBank 1</c:v>
                </c:pt>
                <c:pt idx="6">
                  <c:v>Storebrand </c:v>
                </c:pt>
              </c:strCache>
            </c:strRef>
          </c:cat>
          <c:val>
            <c:numRef>
              <c:f>Figurer!$N$109:$N$115</c:f>
              <c:numCache>
                <c:formatCode>#,##0</c:formatCode>
                <c:ptCount val="7"/>
                <c:pt idx="0">
                  <c:v>-3752.9429999999998</c:v>
                </c:pt>
                <c:pt idx="1">
                  <c:v>47572.901669999992</c:v>
                </c:pt>
                <c:pt idx="2">
                  <c:v>24480</c:v>
                </c:pt>
                <c:pt idx="3">
                  <c:v>-4875400.2249999996</c:v>
                </c:pt>
                <c:pt idx="4">
                  <c:v>-700.25171000010005</c:v>
                </c:pt>
                <c:pt idx="5">
                  <c:v>-188515.81315</c:v>
                </c:pt>
                <c:pt idx="6">
                  <c:v>3263672.068</c:v>
                </c:pt>
              </c:numCache>
            </c:numRef>
          </c:val>
          <c:extLst>
            <c:ext xmlns:c16="http://schemas.microsoft.com/office/drawing/2014/chart" uri="{C3380CC4-5D6E-409C-BE32-E72D297353CC}">
              <c16:uniqueId val="{00000000-0891-419B-84DB-F579F658812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9.6515177450644751E-2"/>
          <c:h val="4.553361351874527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Figurer!$M$131</c:f>
              <c:strCache>
                <c:ptCount val="1"/>
                <c:pt idx="0">
                  <c:v>2021</c:v>
                </c:pt>
              </c:strCache>
            </c:strRef>
          </c:tx>
          <c:invertIfNegative val="0"/>
          <c:cat>
            <c:strRef>
              <c:f>Figurer!$L$132:$L$140</c:f>
              <c:strCache>
                <c:ptCount val="9"/>
                <c:pt idx="0">
                  <c:v>Danica Pensjon</c:v>
                </c:pt>
                <c:pt idx="1">
                  <c:v>DNB Liv</c:v>
                </c:pt>
                <c:pt idx="2">
                  <c:v>Frende Livsfors</c:v>
                </c:pt>
                <c:pt idx="3">
                  <c:v>Gjensidige Pensj</c:v>
                </c:pt>
                <c:pt idx="4">
                  <c:v>KLP</c:v>
                </c:pt>
                <c:pt idx="5">
                  <c:v>Nordea Liv</c:v>
                </c:pt>
                <c:pt idx="6">
                  <c:v>SHB Liv</c:v>
                </c:pt>
                <c:pt idx="7">
                  <c:v>SpareBank 1</c:v>
                </c:pt>
                <c:pt idx="8">
                  <c:v>Storebrand</c:v>
                </c:pt>
              </c:strCache>
            </c:strRef>
          </c:cat>
          <c:val>
            <c:numRef>
              <c:f>Figurer!$M$132:$M$140</c:f>
              <c:numCache>
                <c:formatCode>#,##0</c:formatCode>
                <c:ptCount val="9"/>
                <c:pt idx="0">
                  <c:v>-78093.287000000069</c:v>
                </c:pt>
                <c:pt idx="1">
                  <c:v>-694987</c:v>
                </c:pt>
                <c:pt idx="2">
                  <c:v>0</c:v>
                </c:pt>
                <c:pt idx="3">
                  <c:v>-241966</c:v>
                </c:pt>
                <c:pt idx="4">
                  <c:v>0</c:v>
                </c:pt>
                <c:pt idx="5">
                  <c:v>-239181.3700900001</c:v>
                </c:pt>
                <c:pt idx="6">
                  <c:v>20557.492599999998</c:v>
                </c:pt>
                <c:pt idx="7">
                  <c:v>228488.24684000015</c:v>
                </c:pt>
                <c:pt idx="8">
                  <c:v>-1480369.2999999996</c:v>
                </c:pt>
              </c:numCache>
            </c:numRef>
          </c:val>
          <c:extLst>
            <c:ext xmlns:c16="http://schemas.microsoft.com/office/drawing/2014/chart" uri="{C3380CC4-5D6E-409C-BE32-E72D297353CC}">
              <c16:uniqueId val="{00000000-B400-4C26-965B-0553A4A37873}"/>
            </c:ext>
          </c:extLst>
        </c:ser>
        <c:ser>
          <c:idx val="1"/>
          <c:order val="1"/>
          <c:tx>
            <c:strRef>
              <c:f>Figurer!$N$131</c:f>
              <c:strCache>
                <c:ptCount val="1"/>
                <c:pt idx="0">
                  <c:v>2022</c:v>
                </c:pt>
              </c:strCache>
            </c:strRef>
          </c:tx>
          <c:invertIfNegative val="0"/>
          <c:cat>
            <c:strRef>
              <c:f>Figurer!$L$132:$L$140</c:f>
              <c:strCache>
                <c:ptCount val="9"/>
                <c:pt idx="0">
                  <c:v>Danica Pensjon</c:v>
                </c:pt>
                <c:pt idx="1">
                  <c:v>DNB Liv</c:v>
                </c:pt>
                <c:pt idx="2">
                  <c:v>Frende Livsfors</c:v>
                </c:pt>
                <c:pt idx="3">
                  <c:v>Gjensidige Pensj</c:v>
                </c:pt>
                <c:pt idx="4">
                  <c:v>KLP</c:v>
                </c:pt>
                <c:pt idx="5">
                  <c:v>Nordea Liv</c:v>
                </c:pt>
                <c:pt idx="6">
                  <c:v>SHB Liv</c:v>
                </c:pt>
                <c:pt idx="7">
                  <c:v>SpareBank 1</c:v>
                </c:pt>
                <c:pt idx="8">
                  <c:v>Storebrand</c:v>
                </c:pt>
              </c:strCache>
            </c:strRef>
          </c:cat>
          <c:val>
            <c:numRef>
              <c:f>Figurer!$N$132:$N$140</c:f>
              <c:numCache>
                <c:formatCode>#,##0</c:formatCode>
                <c:ptCount val="9"/>
                <c:pt idx="0">
                  <c:v>-126546.37900000007</c:v>
                </c:pt>
                <c:pt idx="1">
                  <c:v>102521.86899999995</c:v>
                </c:pt>
                <c:pt idx="2">
                  <c:v>0</c:v>
                </c:pt>
                <c:pt idx="3">
                  <c:v>455446</c:v>
                </c:pt>
                <c:pt idx="4">
                  <c:v>376440.52899999998</c:v>
                </c:pt>
                <c:pt idx="5">
                  <c:v>571331.03287999984</c:v>
                </c:pt>
                <c:pt idx="6">
                  <c:v>-13926.680469999999</c:v>
                </c:pt>
                <c:pt idx="7">
                  <c:v>219966.44219000009</c:v>
                </c:pt>
                <c:pt idx="8">
                  <c:v>-1778807.6339999996</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1. KVARTAL 2022 </a:t>
          </a:r>
          <a:r>
            <a:rPr lang="nb-NO" sz="1100" b="0">
              <a:effectLst/>
              <a:latin typeface="Arial"/>
              <a:ea typeface="ＭＳ 明朝"/>
              <a:cs typeface="Times New Roman"/>
            </a:rPr>
            <a:t>(29.05.2022)</a:t>
          </a:r>
          <a:r>
            <a:rPr lang="nb-NO" sz="1600" b="1">
              <a:effectLst/>
              <a:latin typeface="Arial"/>
              <a:ea typeface="ＭＳ 明朝"/>
              <a:cs typeface="Times New Roman"/>
            </a:rPr>
            <a:t> </a:t>
          </a:r>
          <a:endParaRPr lang="nb-NO" sz="120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27</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31</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73</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100</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28575</xdr:rowOff>
    </xdr:from>
    <xdr:to>
      <xdr:col>9</xdr:col>
      <xdr:colOff>180975</xdr:colOff>
      <xdr:row>123</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149</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137583</xdr:rowOff>
    </xdr:from>
    <xdr:to>
      <xdr:col>0</xdr:col>
      <xdr:colOff>4064000</xdr:colOff>
      <xdr:row>40</xdr:row>
      <xdr:rowOff>84666</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72583"/>
          <a:ext cx="4053417" cy="10318750"/>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Codan Forsikring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(skadeselskap)</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Danica Pensjonsforsikring</a:t>
          </a:r>
          <a:endParaRPr lang="nb-NO" sz="1200" b="0" i="0" strike="noStrike">
            <a:solidFill>
              <a:srgbClr val="000000"/>
            </a:solidFill>
            <a:latin typeface="Times New Roman"/>
            <a:ea typeface="+mn-ea"/>
            <a:cs typeface="Times New Roman"/>
          </a:endParaRP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p>
        <a:p>
          <a:pPr algn="l" rtl="0">
            <a:lnSpc>
              <a:spcPts val="1600"/>
            </a:lnSpc>
            <a:defRPr sz="1000"/>
          </a:pPr>
          <a:r>
            <a:rPr lang="nb-NO" sz="1200" b="0" i="0" strike="noStrike" baseline="0">
              <a:solidFill>
                <a:srgbClr val="000000"/>
              </a:solidFill>
              <a:latin typeface="Times New Roman"/>
              <a:cs typeface="Times New Roman"/>
            </a:rPr>
            <a:t>Euro Accident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ea typeface="+mn-ea"/>
              <a:cs typeface="Times New Roman"/>
            </a:rPr>
            <a:t>Insr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Landkreditt 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Protector Forsikring</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WaterCircles Forsikring (Skadeforsikring)</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Youplus Livsforsikring NUF (filial)</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endParaRPr kumimoji="0" lang="nb-NO" sz="1200" b="0" i="0" u="none" strike="noStrike" kern="0" cap="none" spc="0" normalizeH="0" baseline="0" noProof="0">
            <a:ln>
              <a:noFill/>
            </a:ln>
            <a:solidFill>
              <a:srgbClr val="000000"/>
            </a:solidFill>
            <a:effectLst/>
            <a:uLnTx/>
            <a:uFillTx/>
            <a:latin typeface="Times New Roman"/>
            <a:ea typeface="+mn-ea"/>
            <a:cs typeface="Times New Roman"/>
          </a:endParaRP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DNB Livsforsikring</a:t>
          </a:r>
          <a:br>
            <a:rPr lang="nb-NO" sz="1100" u="sng">
              <a:latin typeface="Times New Roman" panose="02020603050405020304" pitchFamily="18" charset="0"/>
              <a:cs typeface="Times New Roman" panose="02020603050405020304" pitchFamily="18" charset="0"/>
            </a:rPr>
          </a:br>
          <a:r>
            <a:rPr lang="nb-NO" sz="1100" u="none">
              <a:latin typeface="Times New Roman" panose="02020603050405020304" pitchFamily="18" charset="0"/>
              <a:cs typeface="Times New Roman" panose="02020603050405020304" pitchFamily="18" charset="0"/>
            </a:rPr>
            <a:t>Nedgang</a:t>
          </a:r>
          <a:r>
            <a:rPr lang="nb-NO" sz="1100" u="none" baseline="0">
              <a:latin typeface="Times New Roman" panose="02020603050405020304" pitchFamily="18" charset="0"/>
              <a:cs typeface="Times New Roman" panose="02020603050405020304" pitchFamily="18" charset="0"/>
            </a:rPr>
            <a:t> i brutto forfalt premie for livrenter med investeringsvalg følger av tidligere feilrapportering.</a:t>
          </a:r>
          <a:endParaRPr lang="nb-NO" sz="1100" u="sng">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baseline="0">
              <a:solidFill>
                <a:schemeClr val="dk1"/>
              </a:solidFill>
              <a:latin typeface="Times New Roman" panose="02020603050405020304" pitchFamily="18" charset="0"/>
              <a:ea typeface="+mn-ea"/>
              <a:cs typeface="Times New Roman" panose="02020603050405020304" pitchFamily="18" charset="0"/>
            </a:rPr>
            <a:t>Oslo Pensjonsforsikring</a:t>
          </a:r>
        </a:p>
        <a:p>
          <a:r>
            <a:rPr lang="nb-NO" sz="1100" b="0" i="0" baseline="0">
              <a:solidFill>
                <a:schemeClr val="dk1"/>
              </a:solidFill>
              <a:effectLst/>
              <a:latin typeface="Times New Roman" panose="02020603050405020304" pitchFamily="18" charset="0"/>
              <a:ea typeface="+mn-ea"/>
              <a:cs typeface="Times New Roman" panose="02020603050405020304" pitchFamily="18" charset="0"/>
            </a:rPr>
            <a:t>Det nye bufferfondet innført fra 01.01.2022 fremkommer ikke av tabell </a:t>
          </a:r>
          <a:r>
            <a:rPr lang="nb-NO" sz="1100">
              <a:solidFill>
                <a:schemeClr val="dk1"/>
              </a:solidFill>
              <a:effectLst/>
              <a:latin typeface="+mn-lt"/>
              <a:ea typeface="+mn-ea"/>
              <a:cs typeface="+mn-cs"/>
            </a:rPr>
            <a:t>8.</a:t>
          </a:r>
          <a:br>
            <a:rPr lang="nb-NO" sz="1100">
              <a:solidFill>
                <a:schemeClr val="dk1"/>
              </a:solidFill>
              <a:effectLst/>
              <a:latin typeface="+mn-lt"/>
              <a:ea typeface="+mn-ea"/>
              <a:cs typeface="+mn-cs"/>
            </a:rPr>
          </a:br>
          <a:endParaRPr lang="nb-NO" sz="1100" u="none" baseline="0">
            <a:latin typeface="Times New Roman" panose="02020603050405020304" pitchFamily="18" charset="0"/>
            <a:cs typeface="Times New Roman" panose="02020603050405020304" pitchFamily="18" charset="0"/>
          </a:endParaRPr>
        </a:p>
        <a:p>
          <a:pPr marL="0" indent="0"/>
          <a:r>
            <a:rPr lang="nb-NO" sz="1100" u="sng">
              <a:solidFill>
                <a:schemeClr val="dk1"/>
              </a:solidFill>
              <a:latin typeface="Times New Roman" panose="02020603050405020304" pitchFamily="18" charset="0"/>
              <a:ea typeface="+mn-ea"/>
              <a:cs typeface="Times New Roman" panose="02020603050405020304" pitchFamily="18" charset="0"/>
            </a:rPr>
            <a:t>Youplus Livsforsikring</a:t>
          </a:r>
        </a:p>
        <a:p>
          <a:pPr marL="0" indent="0"/>
          <a:r>
            <a:rPr lang="nb-NO" sz="1100" u="none">
              <a:solidFill>
                <a:schemeClr val="dk1"/>
              </a:solidFill>
              <a:latin typeface="Times New Roman" panose="02020603050405020304" pitchFamily="18" charset="0"/>
              <a:ea typeface="+mn-ea"/>
              <a:cs typeface="Times New Roman" panose="02020603050405020304" pitchFamily="18" charset="0"/>
            </a:rPr>
            <a:t>Selskapet inngår i statistikken fra 1. kvartal 2022.</a:t>
          </a: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22/Q1-22/Mottatte/SpareBank%201%20-%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6"/>
      <sheetName val="Tabell 8"/>
      <sheetName val="Noter og kommentarer"/>
    </sheetNames>
    <sheetDataSet>
      <sheetData sheetId="0"/>
      <sheetData sheetId="1"/>
      <sheetData sheetId="2"/>
      <sheetData sheetId="3"/>
      <sheetData sheetId="4"/>
      <sheetData sheetId="5">
        <row r="68">
          <cell r="AG68">
            <v>4257.0320000000002</v>
          </cell>
        </row>
        <row r="71">
          <cell r="AG71">
            <v>0</v>
          </cell>
        </row>
        <row r="74">
          <cell r="AG74">
            <v>1406.885</v>
          </cell>
        </row>
        <row r="75">
          <cell r="AG75">
            <v>2352.1770000000001</v>
          </cell>
        </row>
        <row r="78">
          <cell r="AG78">
            <v>201.6431726900002</v>
          </cell>
        </row>
        <row r="79">
          <cell r="AG79">
            <v>23230.795172689999</v>
          </cell>
        </row>
      </sheetData>
      <sheetData sheetId="6"/>
      <sheetData sheetId="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I55"/>
  <sheetViews>
    <sheetView showGridLines="0" topLeftCell="A16" workbookViewId="0">
      <selection activeCell="L39" sqref="L39"/>
    </sheetView>
  </sheetViews>
  <sheetFormatPr baseColWidth="10" defaultColWidth="11.42578125" defaultRowHeight="12.75" x14ac:dyDescent="0.2"/>
  <sheetData>
    <row r="1" spans="2:9" s="51" customFormat="1" x14ac:dyDescent="0.2"/>
    <row r="2" spans="2:9" s="51" customFormat="1" x14ac:dyDescent="0.2"/>
    <row r="3" spans="2:9" s="51" customFormat="1" x14ac:dyDescent="0.2"/>
    <row r="4" spans="2:9" s="51" customFormat="1" x14ac:dyDescent="0.2"/>
    <row r="5" spans="2:9" s="51" customFormat="1" x14ac:dyDescent="0.2">
      <c r="B5" s="52"/>
      <c r="C5" s="52"/>
      <c r="D5" s="52"/>
      <c r="E5" s="52"/>
      <c r="F5" s="52"/>
      <c r="G5" s="52"/>
      <c r="H5" s="52"/>
    </row>
    <row r="6" spans="2:9" s="51" customFormat="1" ht="23.25" x14ac:dyDescent="0.35">
      <c r="B6" s="53"/>
      <c r="C6" s="52"/>
      <c r="D6" s="52"/>
      <c r="E6" s="52"/>
      <c r="F6" s="52"/>
      <c r="G6" s="52"/>
      <c r="H6" s="52"/>
      <c r="I6" s="54"/>
    </row>
    <row r="7" spans="2:9" s="51" customFormat="1" x14ac:dyDescent="0.2">
      <c r="B7" s="52"/>
      <c r="C7" s="52"/>
      <c r="D7" s="52"/>
      <c r="E7" s="52"/>
      <c r="F7" s="52"/>
      <c r="G7" s="52"/>
      <c r="H7" s="52"/>
      <c r="I7" s="52"/>
    </row>
    <row r="8" spans="2:9" s="51" customFormat="1" x14ac:dyDescent="0.2">
      <c r="B8" s="52"/>
      <c r="C8" s="52"/>
      <c r="D8" s="52"/>
      <c r="F8" s="52"/>
      <c r="G8" s="52"/>
      <c r="H8" s="52"/>
    </row>
    <row r="9" spans="2:9" s="51" customFormat="1" x14ac:dyDescent="0.2">
      <c r="B9" s="52"/>
      <c r="C9" s="52"/>
      <c r="D9" s="52"/>
      <c r="E9" s="52"/>
      <c r="F9" s="52"/>
      <c r="G9" s="52"/>
      <c r="H9" s="52"/>
    </row>
    <row r="10" spans="2:9" s="51" customFormat="1" ht="23.25" x14ac:dyDescent="0.35">
      <c r="B10" s="52"/>
      <c r="C10" s="52"/>
      <c r="D10" s="52"/>
      <c r="I10" s="54"/>
    </row>
    <row r="11" spans="2:9" s="51" customFormat="1" x14ac:dyDescent="0.2">
      <c r="B11" s="52"/>
      <c r="C11" s="52"/>
      <c r="D11" s="52"/>
    </row>
    <row r="12" spans="2:9" s="51" customFormat="1" ht="27" customHeight="1" x14ac:dyDescent="0.35">
      <c r="B12" s="52"/>
      <c r="C12" s="52"/>
      <c r="D12" s="52"/>
      <c r="E12" s="52"/>
      <c r="F12" s="52"/>
      <c r="G12" s="52"/>
      <c r="H12" s="52"/>
      <c r="I12" s="54"/>
    </row>
    <row r="13" spans="2:9" s="51" customFormat="1" ht="19.5" customHeight="1" x14ac:dyDescent="0.35">
      <c r="B13" s="52"/>
      <c r="I13" s="54"/>
    </row>
    <row r="14" spans="2:9" s="51" customFormat="1" x14ac:dyDescent="0.2">
      <c r="B14" s="52"/>
      <c r="C14" s="52"/>
      <c r="D14" s="52"/>
      <c r="F14" s="52"/>
      <c r="G14" s="52"/>
      <c r="H14" s="52"/>
    </row>
    <row r="15" spans="2:9" s="51" customFormat="1" x14ac:dyDescent="0.2">
      <c r="B15" s="52"/>
      <c r="C15" s="52"/>
      <c r="D15" s="52"/>
      <c r="F15" s="52"/>
      <c r="G15" s="52"/>
      <c r="H15" s="52"/>
      <c r="I15" s="52"/>
    </row>
    <row r="16" spans="2:9" s="51" customFormat="1" ht="34.5" x14ac:dyDescent="0.45">
      <c r="B16" s="52"/>
      <c r="C16" s="52"/>
      <c r="D16" s="52"/>
      <c r="E16" s="55"/>
      <c r="F16" s="52"/>
      <c r="G16" s="52"/>
      <c r="H16" s="52"/>
      <c r="I16" s="52"/>
    </row>
    <row r="17" spans="2:9" s="51" customFormat="1" ht="33" x14ac:dyDescent="0.45">
      <c r="B17" s="52"/>
      <c r="C17" s="52"/>
      <c r="D17" s="52"/>
      <c r="E17" s="56"/>
      <c r="F17" s="52"/>
      <c r="G17" s="52"/>
      <c r="H17" s="52"/>
      <c r="I17" s="52"/>
    </row>
    <row r="18" spans="2:9" s="51" customFormat="1" ht="33" x14ac:dyDescent="0.45">
      <c r="D18" s="56"/>
    </row>
    <row r="19" spans="2:9" s="51" customFormat="1" ht="18.75" x14ac:dyDescent="0.3">
      <c r="E19" s="57"/>
      <c r="I19" s="58"/>
    </row>
    <row r="20" spans="2:9" s="51" customFormat="1" x14ac:dyDescent="0.2"/>
    <row r="21" spans="2:9" s="51" customFormat="1" x14ac:dyDescent="0.2">
      <c r="E21" s="59"/>
    </row>
    <row r="22" spans="2:9" s="51" customFormat="1" ht="26.25" x14ac:dyDescent="0.4">
      <c r="E22" s="60"/>
    </row>
    <row r="23" spans="2:9" s="51" customFormat="1" x14ac:dyDescent="0.2"/>
    <row r="24" spans="2:9" s="51" customFormat="1" x14ac:dyDescent="0.2"/>
    <row r="25" spans="2:9" s="51" customFormat="1" ht="18.75" x14ac:dyDescent="0.3">
      <c r="E25" s="61"/>
    </row>
    <row r="26" spans="2:9" s="51" customFormat="1" ht="18.75" x14ac:dyDescent="0.3">
      <c r="E26" s="62"/>
    </row>
    <row r="27" spans="2:9" s="51" customFormat="1" x14ac:dyDescent="0.2"/>
    <row r="28" spans="2:9" s="51" customFormat="1" x14ac:dyDescent="0.2"/>
    <row r="29" spans="2:9" s="51" customFormat="1" x14ac:dyDescent="0.2"/>
    <row r="30" spans="2:9" s="51" customFormat="1" x14ac:dyDescent="0.2"/>
    <row r="31" spans="2:9" s="51" customFormat="1" x14ac:dyDescent="0.2"/>
    <row r="32" spans="2:9" s="51" customFormat="1" x14ac:dyDescent="0.2"/>
    <row r="33" spans="1:9" s="51" customFormat="1" ht="35.25" x14ac:dyDescent="0.2">
      <c r="A33" s="63"/>
    </row>
    <row r="34" spans="1:9" s="51" customFormat="1" x14ac:dyDescent="0.2"/>
    <row r="35" spans="1:9" s="51" customFormat="1" x14ac:dyDescent="0.2"/>
    <row r="36" spans="1:9" s="51" customFormat="1" ht="33" x14ac:dyDescent="0.2">
      <c r="B36" s="64"/>
    </row>
    <row r="37" spans="1:9" s="51" customFormat="1" x14ac:dyDescent="0.2"/>
    <row r="38" spans="1:9" s="51" customFormat="1" x14ac:dyDescent="0.2"/>
    <row r="39" spans="1:9" s="51" customFormat="1" ht="18" x14ac:dyDescent="0.25">
      <c r="B39" s="65"/>
    </row>
    <row r="40" spans="1:9" s="51" customFormat="1" x14ac:dyDescent="0.2"/>
    <row r="41" spans="1:9" s="51" customFormat="1" ht="18.75" x14ac:dyDescent="0.3">
      <c r="I41" s="66"/>
    </row>
    <row r="42" spans="1:9" s="51" customFormat="1" x14ac:dyDescent="0.2"/>
    <row r="43" spans="1:9" s="51" customFormat="1" ht="18.75" x14ac:dyDescent="0.3">
      <c r="B43" s="702"/>
      <c r="C43" s="702"/>
      <c r="D43" s="702"/>
    </row>
    <row r="44" spans="1:9" s="51" customFormat="1" x14ac:dyDescent="0.2"/>
    <row r="45" spans="1:9" s="51" customFormat="1" x14ac:dyDescent="0.2"/>
    <row r="46" spans="1:9" s="51" customFormat="1" x14ac:dyDescent="0.2"/>
    <row r="47" spans="1:9" s="51" customFormat="1" x14ac:dyDescent="0.2"/>
    <row r="48" spans="1:9"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Q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6" x14ac:dyDescent="0.2">
      <c r="A1" s="171" t="s">
        <v>131</v>
      </c>
      <c r="B1" s="699"/>
      <c r="C1" s="244" t="s">
        <v>123</v>
      </c>
      <c r="D1" s="26"/>
      <c r="E1" s="26"/>
      <c r="F1" s="26"/>
      <c r="G1" s="26"/>
      <c r="H1" s="26"/>
      <c r="I1" s="26"/>
      <c r="J1" s="26"/>
      <c r="K1" s="26"/>
      <c r="L1" s="26"/>
      <c r="M1" s="26"/>
    </row>
    <row r="2" spans="1:16" ht="15.75" x14ac:dyDescent="0.25">
      <c r="A2" s="164" t="s">
        <v>28</v>
      </c>
      <c r="B2" s="729"/>
      <c r="C2" s="729"/>
      <c r="D2" s="729"/>
      <c r="E2" s="292"/>
      <c r="F2" s="729"/>
      <c r="G2" s="729"/>
      <c r="H2" s="729"/>
      <c r="I2" s="292"/>
      <c r="J2" s="729"/>
      <c r="K2" s="729"/>
      <c r="L2" s="729"/>
      <c r="M2" s="292"/>
    </row>
    <row r="3" spans="1:16" ht="15.75" x14ac:dyDescent="0.25">
      <c r="A3" s="162"/>
      <c r="B3" s="292"/>
      <c r="C3" s="292"/>
      <c r="D3" s="292"/>
      <c r="E3" s="292"/>
      <c r="F3" s="292"/>
      <c r="G3" s="292"/>
      <c r="H3" s="292"/>
      <c r="I3" s="292"/>
      <c r="J3" s="292"/>
      <c r="K3" s="292"/>
      <c r="L3" s="292"/>
      <c r="M3" s="292"/>
    </row>
    <row r="4" spans="1:16" x14ac:dyDescent="0.2">
      <c r="A4" s="144"/>
      <c r="B4" s="725" t="s">
        <v>0</v>
      </c>
      <c r="C4" s="726"/>
      <c r="D4" s="726"/>
      <c r="E4" s="294"/>
      <c r="F4" s="725" t="s">
        <v>1</v>
      </c>
      <c r="G4" s="726"/>
      <c r="H4" s="726"/>
      <c r="I4" s="297"/>
      <c r="J4" s="725" t="s">
        <v>2</v>
      </c>
      <c r="K4" s="726"/>
      <c r="L4" s="726"/>
      <c r="M4" s="297"/>
    </row>
    <row r="5" spans="1:16"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6" x14ac:dyDescent="0.2">
      <c r="A6" s="700"/>
      <c r="B6" s="155"/>
      <c r="C6" s="155"/>
      <c r="D6" s="242" t="s">
        <v>4</v>
      </c>
      <c r="E6" s="155" t="s">
        <v>30</v>
      </c>
      <c r="F6" s="160"/>
      <c r="G6" s="160"/>
      <c r="H6" s="241" t="s">
        <v>4</v>
      </c>
      <c r="I6" s="155" t="s">
        <v>30</v>
      </c>
      <c r="J6" s="160"/>
      <c r="K6" s="160"/>
      <c r="L6" s="241" t="s">
        <v>4</v>
      </c>
      <c r="M6" s="155" t="s">
        <v>30</v>
      </c>
    </row>
    <row r="7" spans="1:16" ht="15.75" x14ac:dyDescent="0.2">
      <c r="A7" s="14" t="s">
        <v>23</v>
      </c>
      <c r="B7" s="299">
        <v>77701</v>
      </c>
      <c r="C7" s="300">
        <v>71554</v>
      </c>
      <c r="D7" s="340">
        <f>IF(B7=0, "    ---- ", IF(ABS(ROUND(100/B7*C7-100,1))&lt;999,ROUND(100/B7*C7-100,1),IF(ROUND(100/B7*C7-100,1)&gt;999,999,-999)))</f>
        <v>-7.9</v>
      </c>
      <c r="E7" s="11">
        <f>IFERROR(100/'Skjema total MA'!C7*C7,0)</f>
        <v>4.1274732949867783</v>
      </c>
      <c r="F7" s="299">
        <v>145281.44618</v>
      </c>
      <c r="G7" s="300">
        <v>130706.09391</v>
      </c>
      <c r="H7" s="340">
        <f>IF(F7=0, "    ---- ", IF(ABS(ROUND(100/F7*G7-100,1))&lt;999,ROUND(100/F7*G7-100,1),IF(ROUND(100/F7*G7-100,1)&gt;999,999,-999)))</f>
        <v>-10</v>
      </c>
      <c r="I7" s="159">
        <f>IFERROR(100/'Skjema total MA'!F7*G7,0)</f>
        <v>3.8051028755697387</v>
      </c>
      <c r="J7" s="301">
        <f t="shared" ref="J7:K12" si="0">SUM(B7,F7)</f>
        <v>222982.44618</v>
      </c>
      <c r="K7" s="302">
        <f t="shared" si="0"/>
        <v>202260.09391</v>
      </c>
      <c r="L7" s="413">
        <f>IF(J7=0, "    ---- ", IF(ABS(ROUND(100/J7*K7-100,1))&lt;999,ROUND(100/J7*K7-100,1),IF(ROUND(100/J7*K7-100,1)&gt;999,999,-999)))</f>
        <v>-9.3000000000000007</v>
      </c>
      <c r="M7" s="11">
        <f>IFERROR(100/'Skjema total MA'!I7*K7,0)</f>
        <v>3.9132288081741566</v>
      </c>
    </row>
    <row r="8" spans="1:16" ht="15.75" x14ac:dyDescent="0.2">
      <c r="A8" s="21" t="s">
        <v>25</v>
      </c>
      <c r="B8" s="277">
        <v>9551.3739999999998</v>
      </c>
      <c r="C8" s="278">
        <v>7648.2505375000001</v>
      </c>
      <c r="D8" s="165">
        <f t="shared" ref="D8:D12" si="1">IF(B8=0, "    ---- ", IF(ABS(ROUND(100/B8*C8-100,1))&lt;999,ROUND(100/B8*C8-100,1),IF(ROUND(100/B8*C8-100,1)&gt;999,999,-999)))</f>
        <v>-19.899999999999999</v>
      </c>
      <c r="E8" s="27">
        <f>IFERROR(100/'Skjema total MA'!C8*C8,0)</f>
        <v>0.65763303169210408</v>
      </c>
      <c r="F8" s="281"/>
      <c r="G8" s="282"/>
      <c r="H8" s="165"/>
      <c r="I8" s="174"/>
      <c r="J8" s="230">
        <f t="shared" si="0"/>
        <v>9551.3739999999998</v>
      </c>
      <c r="K8" s="283">
        <f t="shared" si="0"/>
        <v>7648.2505375000001</v>
      </c>
      <c r="L8" s="165">
        <f t="shared" ref="L8:L9" si="2">IF(J8=0, "    ---- ", IF(ABS(ROUND(100/J8*K8-100,1))&lt;999,ROUND(100/J8*K8-100,1),IF(ROUND(100/J8*K8-100,1)&gt;999,999,-999)))</f>
        <v>-19.899999999999999</v>
      </c>
      <c r="M8" s="27">
        <f>IFERROR(100/'Skjema total MA'!I8*K8,0)</f>
        <v>0.65763303169210408</v>
      </c>
    </row>
    <row r="9" spans="1:16" ht="15.75" x14ac:dyDescent="0.2">
      <c r="A9" s="21" t="s">
        <v>24</v>
      </c>
      <c r="B9" s="277">
        <v>5853.4560000000001</v>
      </c>
      <c r="C9" s="278">
        <v>5128.0784949999997</v>
      </c>
      <c r="D9" s="165">
        <f t="shared" si="1"/>
        <v>-12.4</v>
      </c>
      <c r="E9" s="27">
        <f>IFERROR(100/'Skjema total MA'!C9*C9,0)</f>
        <v>1.4179160048768136</v>
      </c>
      <c r="F9" s="281"/>
      <c r="G9" s="282"/>
      <c r="H9" s="165"/>
      <c r="I9" s="174"/>
      <c r="J9" s="230">
        <f t="shared" si="0"/>
        <v>5853.4560000000001</v>
      </c>
      <c r="K9" s="283">
        <f t="shared" si="0"/>
        <v>5128.0784949999997</v>
      </c>
      <c r="L9" s="165">
        <f t="shared" si="2"/>
        <v>-12.4</v>
      </c>
      <c r="M9" s="27">
        <f>IFERROR(100/'Skjema total MA'!I9*K9,0)</f>
        <v>1.4179160048768136</v>
      </c>
    </row>
    <row r="10" spans="1:16" ht="15.75" x14ac:dyDescent="0.2">
      <c r="A10" s="13" t="s">
        <v>359</v>
      </c>
      <c r="B10" s="303">
        <v>11290371</v>
      </c>
      <c r="C10" s="304">
        <v>9919922</v>
      </c>
      <c r="D10" s="170">
        <f t="shared" si="1"/>
        <v>-12.1</v>
      </c>
      <c r="E10" s="11">
        <f>IFERROR(100/'Skjema total MA'!C10*C10,0)</f>
        <v>60.464834721116645</v>
      </c>
      <c r="F10" s="303">
        <v>7128051.2844805997</v>
      </c>
      <c r="G10" s="304">
        <v>7458151.0310000004</v>
      </c>
      <c r="H10" s="170">
        <f t="shared" ref="H10:H12" si="3">IF(F10=0, "    ---- ", IF(ABS(ROUND(100/F10*G10-100,1))&lt;999,ROUND(100/F10*G10-100,1),IF(ROUND(100/F10*G10-100,1)&gt;999,999,-999)))</f>
        <v>4.5999999999999996</v>
      </c>
      <c r="I10" s="159">
        <f>IFERROR(100/'Skjema total MA'!F10*G10,0)</f>
        <v>9.9535919547296903</v>
      </c>
      <c r="J10" s="301">
        <f t="shared" si="0"/>
        <v>18418422.284480602</v>
      </c>
      <c r="K10" s="302">
        <f t="shared" si="0"/>
        <v>17378073.030999999</v>
      </c>
      <c r="L10" s="414">
        <f t="shared" ref="L10:L12" si="4">IF(J10=0, "    ---- ", IF(ABS(ROUND(100/J10*K10-100,1))&lt;999,ROUND(100/J10*K10-100,1),IF(ROUND(100/J10*K10-100,1)&gt;999,999,-999)))</f>
        <v>-5.6</v>
      </c>
      <c r="M10" s="11">
        <f>IFERROR(100/'Skjema total MA'!I10*K10,0)</f>
        <v>19.026668496055109</v>
      </c>
      <c r="P10" s="149"/>
    </row>
    <row r="11" spans="1:16" s="43" customFormat="1" ht="15.75" x14ac:dyDescent="0.2">
      <c r="A11" s="13" t="s">
        <v>360</v>
      </c>
      <c r="B11" s="303">
        <v>8831</v>
      </c>
      <c r="C11" s="304">
        <v>16931.237000000001</v>
      </c>
      <c r="D11" s="170">
        <f t="shared" si="1"/>
        <v>91.7</v>
      </c>
      <c r="E11" s="11">
        <f>IFERROR(100/'Skjema total MA'!C11*C11,0)</f>
        <v>100</v>
      </c>
      <c r="F11" s="303">
        <v>18964</v>
      </c>
      <c r="G11" s="304">
        <v>8263.7929999999997</v>
      </c>
      <c r="H11" s="170">
        <f t="shared" si="3"/>
        <v>-56.4</v>
      </c>
      <c r="I11" s="159">
        <f>IFERROR(100/'Skjema total MA'!F11*G11,0)</f>
        <v>2.7580661518204512</v>
      </c>
      <c r="J11" s="301">
        <f t="shared" si="0"/>
        <v>27795</v>
      </c>
      <c r="K11" s="302">
        <f t="shared" si="0"/>
        <v>25195.03</v>
      </c>
      <c r="L11" s="414">
        <f t="shared" si="4"/>
        <v>-9.4</v>
      </c>
      <c r="M11" s="11">
        <f>IFERROR(100/'Skjema total MA'!I11*K11,0)</f>
        <v>7.9591579676932875</v>
      </c>
      <c r="N11" s="143"/>
    </row>
    <row r="12" spans="1:16" s="43" customFormat="1" ht="15.75" x14ac:dyDescent="0.2">
      <c r="A12" s="41" t="s">
        <v>361</v>
      </c>
      <c r="B12" s="305">
        <v>3501</v>
      </c>
      <c r="C12" s="306">
        <v>1556.90915</v>
      </c>
      <c r="D12" s="168">
        <f t="shared" si="1"/>
        <v>-55.5</v>
      </c>
      <c r="E12" s="36">
        <f>IFERROR(100/'Skjema total MA'!C12*C12,0)</f>
        <v>100.00000000000001</v>
      </c>
      <c r="F12" s="305">
        <v>11995</v>
      </c>
      <c r="G12" s="306">
        <v>6604.6350000000002</v>
      </c>
      <c r="H12" s="168">
        <f t="shared" si="3"/>
        <v>-44.9</v>
      </c>
      <c r="I12" s="168">
        <f>IFERROR(100/'Skjema total MA'!F12*G12,0)</f>
        <v>12.236966557761015</v>
      </c>
      <c r="J12" s="307">
        <f t="shared" si="0"/>
        <v>15496</v>
      </c>
      <c r="K12" s="308">
        <f t="shared" si="0"/>
        <v>8161.5441499999997</v>
      </c>
      <c r="L12" s="415">
        <f t="shared" si="4"/>
        <v>-47.3</v>
      </c>
      <c r="M12" s="36">
        <f>IFERROR(100/'Skjema total MA'!I12*K12,0)</f>
        <v>14.697614046309376</v>
      </c>
      <c r="N12" s="143"/>
      <c r="P12" s="143"/>
    </row>
    <row r="13" spans="1:16" s="43" customFormat="1" x14ac:dyDescent="0.2">
      <c r="A13" s="167"/>
      <c r="B13" s="145"/>
      <c r="C13" s="33"/>
      <c r="D13" s="158"/>
      <c r="E13" s="158"/>
      <c r="F13" s="145"/>
      <c r="G13" s="33"/>
      <c r="H13" s="158"/>
      <c r="I13" s="158"/>
      <c r="J13" s="48"/>
      <c r="K13" s="48"/>
      <c r="L13" s="158"/>
      <c r="M13" s="158"/>
      <c r="N13" s="143"/>
    </row>
    <row r="14" spans="1:16" x14ac:dyDescent="0.2">
      <c r="A14" s="152" t="s">
        <v>269</v>
      </c>
      <c r="B14" s="26"/>
    </row>
    <row r="15" spans="1:16" x14ac:dyDescent="0.2">
      <c r="F15" s="146"/>
      <c r="G15" s="146"/>
      <c r="H15" s="146"/>
      <c r="I15" s="146"/>
      <c r="J15" s="146"/>
      <c r="K15" s="146"/>
      <c r="L15" s="146"/>
      <c r="M15" s="146"/>
    </row>
    <row r="16" spans="1:16"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292"/>
      <c r="F18" s="724"/>
      <c r="G18" s="724"/>
      <c r="H18" s="724"/>
      <c r="I18" s="292"/>
      <c r="J18" s="724"/>
      <c r="K18" s="724"/>
      <c r="L18" s="724"/>
      <c r="M18" s="292"/>
    </row>
    <row r="19" spans="1:14" x14ac:dyDescent="0.2">
      <c r="A19" s="144"/>
      <c r="B19" s="725" t="s">
        <v>0</v>
      </c>
      <c r="C19" s="726"/>
      <c r="D19" s="726"/>
      <c r="E19" s="294"/>
      <c r="F19" s="725" t="s">
        <v>1</v>
      </c>
      <c r="G19" s="726"/>
      <c r="H19" s="726"/>
      <c r="I19" s="297"/>
      <c r="J19" s="725" t="s">
        <v>2</v>
      </c>
      <c r="K19" s="726"/>
      <c r="L19" s="726"/>
      <c r="M19" s="297"/>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303">
        <v>93926.115739999994</v>
      </c>
      <c r="C22" s="303">
        <v>79752</v>
      </c>
      <c r="D22" s="340">
        <f t="shared" ref="D22:D39" si="5">IF(B22=0, "    ---- ", IF(ABS(ROUND(100/B22*C22-100,1))&lt;999,ROUND(100/B22*C22-100,1),IF(ROUND(100/B22*C22-100,1)&gt;999,999,-999)))</f>
        <v>-15.1</v>
      </c>
      <c r="E22" s="11">
        <f>IFERROR(100/'Skjema total MA'!C22*C22,0)</f>
        <v>10.477959668156892</v>
      </c>
      <c r="F22" s="311">
        <v>59206.292070000003</v>
      </c>
      <c r="G22" s="311">
        <v>6009.6191900000003</v>
      </c>
      <c r="H22" s="340">
        <f t="shared" ref="H22:H35" si="6">IF(F22=0, "    ---- ", IF(ABS(ROUND(100/F22*G22-100,1))&lt;999,ROUND(100/F22*G22-100,1),IF(ROUND(100/F22*G22-100,1)&gt;999,999,-999)))</f>
        <v>-89.8</v>
      </c>
      <c r="I22" s="11">
        <f>IFERROR(100/'Skjema total MA'!F22*G22,0)</f>
        <v>2.1982175311210459</v>
      </c>
      <c r="J22" s="309">
        <f t="shared" ref="J22:K35" si="7">SUM(B22,F22)</f>
        <v>153132.40781</v>
      </c>
      <c r="K22" s="309">
        <f t="shared" si="7"/>
        <v>85761.619189999998</v>
      </c>
      <c r="L22" s="413">
        <f t="shared" ref="L22:L35" si="8">IF(J22=0, "    ---- ", IF(ABS(ROUND(100/J22*K22-100,1))&lt;999,ROUND(100/J22*K22-100,1),IF(ROUND(100/J22*K22-100,1)&gt;999,999,-999)))</f>
        <v>-44</v>
      </c>
      <c r="M22" s="24">
        <f>IFERROR(100/'Skjema total MA'!I22*K22,0)</f>
        <v>8.2899388397129723</v>
      </c>
    </row>
    <row r="23" spans="1:14" ht="15.75" x14ac:dyDescent="0.2">
      <c r="A23" s="555" t="s">
        <v>362</v>
      </c>
      <c r="B23" s="277">
        <v>78605.428969515997</v>
      </c>
      <c r="C23" s="277">
        <v>68924.632817934194</v>
      </c>
      <c r="D23" s="165">
        <f t="shared" si="5"/>
        <v>-12.3</v>
      </c>
      <c r="E23" s="11">
        <f>IFERROR(100/'Skjema total MA'!C23*C23,0)</f>
        <v>19.097956368734685</v>
      </c>
      <c r="F23" s="286">
        <v>56689.705320000001</v>
      </c>
      <c r="G23" s="286">
        <v>3871.1759999999999</v>
      </c>
      <c r="H23" s="165">
        <f t="shared" si="6"/>
        <v>-93.2</v>
      </c>
      <c r="I23" s="403">
        <f>IFERROR(100/'Skjema total MA'!F23*G23,0)</f>
        <v>20.233026071456855</v>
      </c>
      <c r="J23" s="286">
        <f t="shared" ref="J23:J25" si="9">SUM(B23,F23)</f>
        <v>135295.13428951599</v>
      </c>
      <c r="K23" s="286">
        <f t="shared" ref="K23:K25" si="10">SUM(C23,G23)</f>
        <v>72795.808817934201</v>
      </c>
      <c r="L23" s="165">
        <f t="shared" si="8"/>
        <v>-46.2</v>
      </c>
      <c r="M23" s="23">
        <f>IFERROR(100/'Skjema total MA'!I23*K23,0)</f>
        <v>19.155101955886316</v>
      </c>
    </row>
    <row r="24" spans="1:14" ht="15.75" x14ac:dyDescent="0.2">
      <c r="A24" s="555" t="s">
        <v>363</v>
      </c>
      <c r="B24" s="277">
        <v>5570.0829661856396</v>
      </c>
      <c r="C24" s="277">
        <v>3331.1557685989201</v>
      </c>
      <c r="D24" s="165">
        <f t="shared" si="5"/>
        <v>-40.200000000000003</v>
      </c>
      <c r="E24" s="11">
        <f>IFERROR(100/'Skjema total MA'!C24*C24,0)</f>
        <v>68.066913041416527</v>
      </c>
      <c r="F24" s="286">
        <v>6.8077500000000004</v>
      </c>
      <c r="G24" s="286">
        <v>6.7541900000000004</v>
      </c>
      <c r="H24" s="165">
        <f t="shared" si="6"/>
        <v>-0.8</v>
      </c>
      <c r="I24" s="403">
        <f>IFERROR(100/'Skjema total MA'!F24*G24,0)</f>
        <v>3.9516297615462714</v>
      </c>
      <c r="J24" s="286">
        <f t="shared" si="9"/>
        <v>5576.8907161856396</v>
      </c>
      <c r="K24" s="286">
        <f t="shared" si="10"/>
        <v>3337.9099585989202</v>
      </c>
      <c r="L24" s="165">
        <f t="shared" si="8"/>
        <v>-40.1</v>
      </c>
      <c r="M24" s="23">
        <f>IFERROR(100/'Skjema total MA'!I24*K24,0)</f>
        <v>65.90324431039609</v>
      </c>
    </row>
    <row r="25" spans="1:14" ht="15.75" x14ac:dyDescent="0.2">
      <c r="A25" s="555" t="s">
        <v>364</v>
      </c>
      <c r="B25" s="277">
        <v>9750.6038042984001</v>
      </c>
      <c r="C25" s="277">
        <v>7496.21141346685</v>
      </c>
      <c r="D25" s="165">
        <f t="shared" si="5"/>
        <v>-23.1</v>
      </c>
      <c r="E25" s="11">
        <f>IFERROR(100/'Skjema total MA'!C25*C25,0)</f>
        <v>100</v>
      </c>
      <c r="F25" s="286">
        <v>2509.779</v>
      </c>
      <c r="G25" s="286">
        <v>2131.6889999999999</v>
      </c>
      <c r="H25" s="165">
        <f t="shared" si="6"/>
        <v>-15.1</v>
      </c>
      <c r="I25" s="403">
        <f>IFERROR(100/'Skjema total MA'!F25*G25,0)</f>
        <v>46.888715733620884</v>
      </c>
      <c r="J25" s="286">
        <f t="shared" si="9"/>
        <v>12260.382804298401</v>
      </c>
      <c r="K25" s="286">
        <f t="shared" si="10"/>
        <v>9627.9004134668503</v>
      </c>
      <c r="L25" s="165">
        <f t="shared" si="8"/>
        <v>-21.5</v>
      </c>
      <c r="M25" s="23">
        <f>IFERROR(100/'Skjema total MA'!I25*K25,0)</f>
        <v>79.949453309442561</v>
      </c>
    </row>
    <row r="26" spans="1:14" ht="15.75" x14ac:dyDescent="0.2">
      <c r="A26" s="555" t="s">
        <v>365</v>
      </c>
      <c r="B26" s="277"/>
      <c r="C26" s="277"/>
      <c r="D26" s="165"/>
      <c r="E26" s="11"/>
      <c r="F26" s="286"/>
      <c r="G26" s="286"/>
      <c r="H26" s="165"/>
      <c r="I26" s="403"/>
      <c r="J26" s="286"/>
      <c r="K26" s="286"/>
      <c r="L26" s="165"/>
      <c r="M26" s="23"/>
    </row>
    <row r="27" spans="1:14" x14ac:dyDescent="0.2">
      <c r="A27" s="555" t="s">
        <v>11</v>
      </c>
      <c r="B27" s="277"/>
      <c r="C27" s="277"/>
      <c r="D27" s="165"/>
      <c r="E27" s="11"/>
      <c r="F27" s="286"/>
      <c r="G27" s="286"/>
      <c r="H27" s="165"/>
      <c r="I27" s="403"/>
      <c r="J27" s="286"/>
      <c r="K27" s="286"/>
      <c r="L27" s="165"/>
      <c r="M27" s="23"/>
    </row>
    <row r="28" spans="1:14" ht="15.75" x14ac:dyDescent="0.2">
      <c r="A28" s="49" t="s">
        <v>270</v>
      </c>
      <c r="B28" s="44">
        <v>28850.674999999999</v>
      </c>
      <c r="C28" s="283">
        <v>26744.271895000002</v>
      </c>
      <c r="D28" s="165">
        <f t="shared" si="5"/>
        <v>-7.3</v>
      </c>
      <c r="E28" s="11">
        <f>IFERROR(100/'Skjema total MA'!C28*C28,0)</f>
        <v>3.1882429688797127</v>
      </c>
      <c r="F28" s="230"/>
      <c r="G28" s="283"/>
      <c r="H28" s="165"/>
      <c r="I28" s="27"/>
      <c r="J28" s="44">
        <f t="shared" si="7"/>
        <v>28850.674999999999</v>
      </c>
      <c r="K28" s="44">
        <f t="shared" si="7"/>
        <v>26744.271895000002</v>
      </c>
      <c r="L28" s="250">
        <f t="shared" si="8"/>
        <v>-7.3</v>
      </c>
      <c r="M28" s="23">
        <f>IFERROR(100/'Skjema total MA'!I28*K28,0)</f>
        <v>3.1882429688797127</v>
      </c>
    </row>
    <row r="29" spans="1:14" s="3" customFormat="1" ht="15.75" x14ac:dyDescent="0.2">
      <c r="A29" s="13" t="s">
        <v>359</v>
      </c>
      <c r="B29" s="232">
        <v>23346872</v>
      </c>
      <c r="C29" s="232">
        <v>22491824.427455701</v>
      </c>
      <c r="D29" s="170">
        <f t="shared" si="5"/>
        <v>-3.7</v>
      </c>
      <c r="E29" s="11">
        <f>IFERROR(100/'Skjema total MA'!C29*C29,0)</f>
        <v>49.498085435796561</v>
      </c>
      <c r="F29" s="301">
        <v>5937063.0000893902</v>
      </c>
      <c r="G29" s="301">
        <v>4720149.1440000003</v>
      </c>
      <c r="H29" s="170">
        <f t="shared" si="6"/>
        <v>-20.5</v>
      </c>
      <c r="I29" s="11">
        <f>IFERROR(100/'Skjema total MA'!F29*G29,0)</f>
        <v>18.681145058793867</v>
      </c>
      <c r="J29" s="232">
        <f t="shared" si="7"/>
        <v>29283935.000089392</v>
      </c>
      <c r="K29" s="232">
        <f t="shared" si="7"/>
        <v>27211973.571455702</v>
      </c>
      <c r="L29" s="414">
        <f t="shared" si="8"/>
        <v>-7.1</v>
      </c>
      <c r="M29" s="24">
        <f>IFERROR(100/'Skjema total MA'!I29*K29,0)</f>
        <v>38.485706051864526</v>
      </c>
      <c r="N29" s="148"/>
    </row>
    <row r="30" spans="1:14" s="3" customFormat="1" ht="15.75" x14ac:dyDescent="0.2">
      <c r="A30" s="555" t="s">
        <v>362</v>
      </c>
      <c r="B30" s="277">
        <v>9279046.1264142208</v>
      </c>
      <c r="C30" s="277">
        <v>5622051</v>
      </c>
      <c r="D30" s="165">
        <f t="shared" si="5"/>
        <v>-39.4</v>
      </c>
      <c r="E30" s="11">
        <f>IFERROR(100/'Skjema total MA'!C30*C30,0)</f>
        <v>55.313417028997875</v>
      </c>
      <c r="F30" s="286">
        <v>2357951.28339</v>
      </c>
      <c r="G30" s="286">
        <v>1469347.6029999999</v>
      </c>
      <c r="H30" s="165">
        <f t="shared" si="6"/>
        <v>-37.700000000000003</v>
      </c>
      <c r="I30" s="403">
        <f>IFERROR(100/'Skjema total MA'!F30*G30,0)</f>
        <v>38.553651226420193</v>
      </c>
      <c r="J30" s="286">
        <f t="shared" ref="J30:J32" si="11">SUM(B30,F30)</f>
        <v>11636997.409804221</v>
      </c>
      <c r="K30" s="286">
        <f t="shared" ref="K30:K32" si="12">SUM(C30,G30)</f>
        <v>7091398.6030000001</v>
      </c>
      <c r="L30" s="165">
        <f t="shared" si="8"/>
        <v>-39.1</v>
      </c>
      <c r="M30" s="23">
        <f>IFERROR(100/'Skjema total MA'!I30*K30,0)</f>
        <v>50.74285138765763</v>
      </c>
      <c r="N30" s="148"/>
    </row>
    <row r="31" spans="1:14" s="3" customFormat="1" ht="15.75" x14ac:dyDescent="0.2">
      <c r="A31" s="555" t="s">
        <v>363</v>
      </c>
      <c r="B31" s="277">
        <v>11671588.1901944</v>
      </c>
      <c r="C31" s="277">
        <v>15120001</v>
      </c>
      <c r="D31" s="165">
        <f t="shared" si="5"/>
        <v>29.5</v>
      </c>
      <c r="E31" s="11">
        <f>IFERROR(100/'Skjema total MA'!C31*C31,0)</f>
        <v>58.089406457270499</v>
      </c>
      <c r="F31" s="286">
        <v>3074585.9263493898</v>
      </c>
      <c r="G31" s="286">
        <v>2750585.9190000002</v>
      </c>
      <c r="H31" s="165">
        <f t="shared" si="6"/>
        <v>-10.5</v>
      </c>
      <c r="I31" s="403">
        <f>IFERROR(100/'Skjema total MA'!F31*G31,0)</f>
        <v>31.864525331399712</v>
      </c>
      <c r="J31" s="286">
        <f t="shared" si="11"/>
        <v>14746174.11654379</v>
      </c>
      <c r="K31" s="286">
        <f t="shared" si="12"/>
        <v>17870586.919</v>
      </c>
      <c r="L31" s="165">
        <f t="shared" si="8"/>
        <v>21.2</v>
      </c>
      <c r="M31" s="23">
        <f>IFERROR(100/'Skjema total MA'!I31*K31,0)</f>
        <v>51.558242599091372</v>
      </c>
      <c r="N31" s="148"/>
    </row>
    <row r="32" spans="1:14" ht="15.75" x14ac:dyDescent="0.2">
      <c r="A32" s="555" t="s">
        <v>364</v>
      </c>
      <c r="B32" s="277">
        <v>2396237.6833913601</v>
      </c>
      <c r="C32" s="277">
        <v>1749772.42745572</v>
      </c>
      <c r="D32" s="165">
        <f t="shared" si="5"/>
        <v>-27</v>
      </c>
      <c r="E32" s="11">
        <f>IFERROR(100/'Skjema total MA'!C32*C32,0)</f>
        <v>72.207490084049269</v>
      </c>
      <c r="F32" s="286">
        <v>504525.79035000002</v>
      </c>
      <c r="G32" s="286">
        <v>500215.62199999997</v>
      </c>
      <c r="H32" s="165">
        <f t="shared" si="6"/>
        <v>-0.9</v>
      </c>
      <c r="I32" s="403">
        <f>IFERROR(100/'Skjema total MA'!F32*G32,0)</f>
        <v>8.8656681964180919</v>
      </c>
      <c r="J32" s="286">
        <f t="shared" si="11"/>
        <v>2900763.47374136</v>
      </c>
      <c r="K32" s="286">
        <f t="shared" si="12"/>
        <v>2249988.04945572</v>
      </c>
      <c r="L32" s="165">
        <f t="shared" si="8"/>
        <v>-22.4</v>
      </c>
      <c r="M32" s="23">
        <f>IFERROR(100/'Skjema total MA'!I32*K32,0)</f>
        <v>27.896721484847113</v>
      </c>
    </row>
    <row r="33" spans="1:14" ht="15.75" x14ac:dyDescent="0.2">
      <c r="A33" s="555" t="s">
        <v>365</v>
      </c>
      <c r="B33" s="277"/>
      <c r="C33" s="277"/>
      <c r="D33" s="165"/>
      <c r="E33" s="11"/>
      <c r="F33" s="286"/>
      <c r="G33" s="286"/>
      <c r="H33" s="165"/>
      <c r="I33" s="403"/>
      <c r="J33" s="286"/>
      <c r="K33" s="286"/>
      <c r="L33" s="165"/>
      <c r="M33" s="23"/>
    </row>
    <row r="34" spans="1:14" ht="15.75" x14ac:dyDescent="0.2">
      <c r="A34" s="13" t="s">
        <v>360</v>
      </c>
      <c r="B34" s="232">
        <v>-211</v>
      </c>
      <c r="C34" s="302">
        <v>3511.23405</v>
      </c>
      <c r="D34" s="170">
        <f t="shared" si="5"/>
        <v>-999</v>
      </c>
      <c r="E34" s="11">
        <f>IFERROR(100/'Skjema total MA'!C34*C34,0)</f>
        <v>57.159291163421415</v>
      </c>
      <c r="F34" s="301">
        <v>-48757</v>
      </c>
      <c r="G34" s="302">
        <v>-345.51600000000099</v>
      </c>
      <c r="H34" s="170">
        <f t="shared" si="6"/>
        <v>-99.3</v>
      </c>
      <c r="I34" s="11">
        <f>IFERROR(100/'Skjema total MA'!F34*G34,0)</f>
        <v>-1.4708753375655876</v>
      </c>
      <c r="J34" s="232">
        <f t="shared" si="7"/>
        <v>-48968</v>
      </c>
      <c r="K34" s="232">
        <f t="shared" si="7"/>
        <v>3165.718049999999</v>
      </c>
      <c r="L34" s="414">
        <f t="shared" si="8"/>
        <v>-106.5</v>
      </c>
      <c r="M34" s="24">
        <f>IFERROR(100/'Skjema total MA'!I34*K34,0)</f>
        <v>10.682940860537673</v>
      </c>
    </row>
    <row r="35" spans="1:14" ht="15.75" x14ac:dyDescent="0.2">
      <c r="A35" s="13" t="s">
        <v>361</v>
      </c>
      <c r="B35" s="232">
        <v>-51891</v>
      </c>
      <c r="C35" s="302">
        <v>-467.99632000000003</v>
      </c>
      <c r="D35" s="170">
        <f t="shared" si="5"/>
        <v>-99.1</v>
      </c>
      <c r="E35" s="11">
        <f>IFERROR(100/'Skjema total MA'!C35*C35,0)</f>
        <v>105.3657502468516</v>
      </c>
      <c r="F35" s="301">
        <v>12002</v>
      </c>
      <c r="G35" s="302">
        <v>2743.4409999999998</v>
      </c>
      <c r="H35" s="170">
        <f t="shared" si="6"/>
        <v>-77.099999999999994</v>
      </c>
      <c r="I35" s="11">
        <f>IFERROR(100/'Skjema total MA'!F35*G35,0)</f>
        <v>10.941339122683145</v>
      </c>
      <c r="J35" s="232">
        <f t="shared" si="7"/>
        <v>-39889</v>
      </c>
      <c r="K35" s="232">
        <f t="shared" si="7"/>
        <v>2275.4446799999996</v>
      </c>
      <c r="L35" s="414">
        <f t="shared" si="8"/>
        <v>-105.7</v>
      </c>
      <c r="M35" s="24">
        <f>IFERROR(100/'Skjema total MA'!I35*K35,0)</f>
        <v>9.2385370087609893</v>
      </c>
    </row>
    <row r="36" spans="1:14" ht="15.75" x14ac:dyDescent="0.2">
      <c r="A36" s="12" t="s">
        <v>278</v>
      </c>
      <c r="B36" s="232">
        <v>958</v>
      </c>
      <c r="C36" s="302">
        <v>1004.7054000000001</v>
      </c>
      <c r="D36" s="170">
        <f t="shared" si="5"/>
        <v>4.9000000000000004</v>
      </c>
      <c r="E36" s="11">
        <f>IFERROR(100/'Skjema total MA'!C36*C36,0)</f>
        <v>96.631245338940417</v>
      </c>
      <c r="F36" s="312"/>
      <c r="G36" s="313"/>
      <c r="H36" s="170"/>
      <c r="I36" s="420"/>
      <c r="J36" s="232">
        <f t="shared" ref="J36:J39" si="13">SUM(B36,F36)</f>
        <v>958</v>
      </c>
      <c r="K36" s="232">
        <f t="shared" ref="K36:K39" si="14">SUM(C36,G36)</f>
        <v>1004.7054000000001</v>
      </c>
      <c r="L36" s="414"/>
      <c r="M36" s="24">
        <f>IFERROR(100/'Skjema total MA'!I36*K36,0)</f>
        <v>96.631245338940417</v>
      </c>
    </row>
    <row r="37" spans="1:14" ht="15.75" x14ac:dyDescent="0.2">
      <c r="A37" s="12" t="s">
        <v>367</v>
      </c>
      <c r="B37" s="232">
        <v>2896004</v>
      </c>
      <c r="C37" s="302">
        <v>2673642</v>
      </c>
      <c r="D37" s="170">
        <f t="shared" si="5"/>
        <v>-7.7</v>
      </c>
      <c r="E37" s="11">
        <f>IFERROR(100/'Skjema total MA'!C37*C37,0)</f>
        <v>85.849121569935846</v>
      </c>
      <c r="F37" s="312"/>
      <c r="G37" s="314"/>
      <c r="H37" s="170"/>
      <c r="I37" s="420"/>
      <c r="J37" s="232">
        <f t="shared" si="13"/>
        <v>2896004</v>
      </c>
      <c r="K37" s="232">
        <f t="shared" si="14"/>
        <v>2673642</v>
      </c>
      <c r="L37" s="414"/>
      <c r="M37" s="24">
        <f>IFERROR(100/'Skjema total MA'!I37*K37,0)</f>
        <v>85.849121569935846</v>
      </c>
    </row>
    <row r="38" spans="1:14" ht="15.75" x14ac:dyDescent="0.2">
      <c r="A38" s="12" t="s">
        <v>368</v>
      </c>
      <c r="B38" s="232"/>
      <c r="C38" s="302"/>
      <c r="D38" s="170"/>
      <c r="E38" s="24"/>
      <c r="F38" s="312"/>
      <c r="G38" s="313"/>
      <c r="H38" s="170"/>
      <c r="I38" s="420"/>
      <c r="J38" s="232"/>
      <c r="K38" s="232"/>
      <c r="L38" s="414"/>
      <c r="M38" s="24"/>
    </row>
    <row r="39" spans="1:14" ht="15.75" x14ac:dyDescent="0.2">
      <c r="A39" s="18" t="s">
        <v>369</v>
      </c>
      <c r="B39" s="272">
        <v>2</v>
      </c>
      <c r="C39" s="308">
        <v>2</v>
      </c>
      <c r="D39" s="168">
        <f t="shared" si="5"/>
        <v>0</v>
      </c>
      <c r="E39" s="36">
        <f>IFERROR(100/'Skjema total MA'!C38*C39,0)</f>
        <v>0</v>
      </c>
      <c r="F39" s="315"/>
      <c r="G39" s="316"/>
      <c r="H39" s="168"/>
      <c r="I39" s="36"/>
      <c r="J39" s="232">
        <f t="shared" si="13"/>
        <v>2</v>
      </c>
      <c r="K39" s="232">
        <f t="shared" si="14"/>
        <v>2</v>
      </c>
      <c r="L39" s="415"/>
      <c r="M39" s="36">
        <f>IFERROR(100/'Skjema total MA'!I39*K39,0)</f>
        <v>100</v>
      </c>
    </row>
    <row r="40" spans="1:14" ht="15.75" x14ac:dyDescent="0.25">
      <c r="A40" s="47"/>
      <c r="B40" s="249"/>
      <c r="C40" s="249"/>
      <c r="D40" s="728"/>
      <c r="E40" s="728"/>
      <c r="F40" s="728"/>
      <c r="G40" s="728"/>
      <c r="H40" s="728"/>
      <c r="I40" s="728"/>
      <c r="J40" s="728"/>
      <c r="K40" s="728"/>
      <c r="L40" s="728"/>
      <c r="M40" s="295"/>
    </row>
    <row r="41" spans="1:14" x14ac:dyDescent="0.2">
      <c r="A41" s="154"/>
    </row>
    <row r="42" spans="1:14" ht="15.75" x14ac:dyDescent="0.25">
      <c r="A42" s="147" t="s">
        <v>267</v>
      </c>
      <c r="B42" s="729"/>
      <c r="C42" s="729"/>
      <c r="D42" s="729"/>
      <c r="E42" s="292"/>
      <c r="F42" s="730"/>
      <c r="G42" s="730"/>
      <c r="H42" s="730"/>
      <c r="I42" s="295"/>
      <c r="J42" s="730"/>
      <c r="K42" s="730"/>
      <c r="L42" s="730"/>
      <c r="M42" s="295"/>
    </row>
    <row r="43" spans="1:14" ht="15.75" x14ac:dyDescent="0.25">
      <c r="A43" s="162"/>
      <c r="B43" s="296"/>
      <c r="C43" s="296"/>
      <c r="D43" s="296"/>
      <c r="E43" s="296"/>
      <c r="F43" s="295"/>
      <c r="G43" s="295"/>
      <c r="H43" s="295"/>
      <c r="I43" s="295"/>
      <c r="J43" s="295"/>
      <c r="K43" s="295"/>
      <c r="L43" s="295"/>
      <c r="M43" s="295"/>
    </row>
    <row r="44" spans="1:14" ht="15.75" x14ac:dyDescent="0.25">
      <c r="A44" s="243"/>
      <c r="B44" s="725" t="s">
        <v>0</v>
      </c>
      <c r="C44" s="726"/>
      <c r="D44" s="726"/>
      <c r="E44" s="239"/>
      <c r="F44" s="295"/>
      <c r="G44" s="295"/>
      <c r="H44" s="295"/>
      <c r="I44" s="295"/>
      <c r="J44" s="295"/>
      <c r="K44" s="295"/>
      <c r="L44" s="295"/>
      <c r="M44" s="295"/>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v>276364</v>
      </c>
      <c r="C47" s="304">
        <v>324006.49099999998</v>
      </c>
      <c r="D47" s="413">
        <f t="shared" ref="D47:D57" si="15">IF(B47=0, "    ---- ", IF(ABS(ROUND(100/B47*C47-100,1))&lt;999,ROUND(100/B47*C47-100,1),IF(ROUND(100/B47*C47-100,1)&gt;999,999,-999)))</f>
        <v>17.2</v>
      </c>
      <c r="E47" s="11">
        <f>IFERROR(100/'Skjema total MA'!C47*C47,0)</f>
        <v>9.3765686495712668</v>
      </c>
      <c r="F47" s="145"/>
      <c r="G47" s="33"/>
      <c r="H47" s="158"/>
      <c r="I47" s="158"/>
      <c r="J47" s="37"/>
      <c r="K47" s="37"/>
      <c r="L47" s="158"/>
      <c r="M47" s="158"/>
      <c r="N47" s="148"/>
    </row>
    <row r="48" spans="1:14" s="3" customFormat="1" ht="15.75" x14ac:dyDescent="0.2">
      <c r="A48" s="38" t="s">
        <v>370</v>
      </c>
      <c r="B48" s="277">
        <v>276364</v>
      </c>
      <c r="C48" s="278">
        <v>324006.49099999998</v>
      </c>
      <c r="D48" s="250">
        <f t="shared" si="15"/>
        <v>17.2</v>
      </c>
      <c r="E48" s="27">
        <f>IFERROR(100/'Skjema total MA'!C48*C48,0)</f>
        <v>17.145843035261748</v>
      </c>
      <c r="F48" s="145"/>
      <c r="G48" s="33"/>
      <c r="H48" s="145"/>
      <c r="I48" s="145"/>
      <c r="J48" s="33"/>
      <c r="K48" s="33"/>
      <c r="L48" s="158"/>
      <c r="M48" s="158"/>
      <c r="N48" s="148"/>
    </row>
    <row r="49" spans="1:14" s="3" customFormat="1" ht="15.75" x14ac:dyDescent="0.2">
      <c r="A49" s="38" t="s">
        <v>371</v>
      </c>
      <c r="B49" s="44"/>
      <c r="C49" s="283"/>
      <c r="D49" s="250"/>
      <c r="E49" s="27"/>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v>14900</v>
      </c>
      <c r="C53" s="304">
        <v>4800</v>
      </c>
      <c r="D53" s="414">
        <f t="shared" si="15"/>
        <v>-67.8</v>
      </c>
      <c r="E53" s="11">
        <f>IFERROR(100/'Skjema total MA'!C53*C53,0)</f>
        <v>4.487174267723308</v>
      </c>
      <c r="F53" s="145"/>
      <c r="G53" s="33"/>
      <c r="H53" s="145"/>
      <c r="I53" s="145"/>
      <c r="J53" s="33"/>
      <c r="K53" s="33"/>
      <c r="L53" s="158"/>
      <c r="M53" s="158"/>
      <c r="N53" s="148"/>
    </row>
    <row r="54" spans="1:14" s="3" customFormat="1" ht="15.75" x14ac:dyDescent="0.2">
      <c r="A54" s="38" t="s">
        <v>370</v>
      </c>
      <c r="B54" s="277">
        <v>14900</v>
      </c>
      <c r="C54" s="278">
        <v>4800</v>
      </c>
      <c r="D54" s="250">
        <f t="shared" si="15"/>
        <v>-67.8</v>
      </c>
      <c r="E54" s="27">
        <f>IFERROR(100/'Skjema total MA'!C54*C54,0)</f>
        <v>5.1600389853845448</v>
      </c>
      <c r="F54" s="145"/>
      <c r="G54" s="33"/>
      <c r="H54" s="145"/>
      <c r="I54" s="145"/>
      <c r="J54" s="33"/>
      <c r="K54" s="33"/>
      <c r="L54" s="158"/>
      <c r="M54" s="158"/>
      <c r="N54" s="148"/>
    </row>
    <row r="55" spans="1:14" s="3" customFormat="1" ht="15.75" x14ac:dyDescent="0.2">
      <c r="A55" s="38" t="s">
        <v>371</v>
      </c>
      <c r="B55" s="277"/>
      <c r="C55" s="278"/>
      <c r="D55" s="250"/>
      <c r="E55" s="27"/>
      <c r="F55" s="145"/>
      <c r="G55" s="33"/>
      <c r="H55" s="145"/>
      <c r="I55" s="145"/>
      <c r="J55" s="33"/>
      <c r="K55" s="33"/>
      <c r="L55" s="158"/>
      <c r="M55" s="158"/>
      <c r="N55" s="148"/>
    </row>
    <row r="56" spans="1:14" s="3" customFormat="1" ht="15.75" x14ac:dyDescent="0.2">
      <c r="A56" s="39" t="s">
        <v>373</v>
      </c>
      <c r="B56" s="303">
        <v>12348</v>
      </c>
      <c r="C56" s="304">
        <v>18000</v>
      </c>
      <c r="D56" s="414">
        <f t="shared" si="15"/>
        <v>45.8</v>
      </c>
      <c r="E56" s="11">
        <f>IFERROR(100/'Skjema total MA'!C56*C56,0)</f>
        <v>30.435555627699099</v>
      </c>
      <c r="F56" s="145"/>
      <c r="G56" s="33"/>
      <c r="H56" s="145"/>
      <c r="I56" s="145"/>
      <c r="J56" s="33"/>
      <c r="K56" s="33"/>
      <c r="L56" s="158"/>
      <c r="M56" s="158"/>
      <c r="N56" s="148"/>
    </row>
    <row r="57" spans="1:14" s="3" customFormat="1" ht="15.75" x14ac:dyDescent="0.2">
      <c r="A57" s="38" t="s">
        <v>370</v>
      </c>
      <c r="B57" s="277">
        <v>12348</v>
      </c>
      <c r="C57" s="278">
        <v>18000</v>
      </c>
      <c r="D57" s="250">
        <f t="shared" si="15"/>
        <v>45.8</v>
      </c>
      <c r="E57" s="27">
        <f>IFERROR(100/'Skjema total MA'!C57*C57,0)</f>
        <v>30.435555627699099</v>
      </c>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292"/>
      <c r="F62" s="724"/>
      <c r="G62" s="724"/>
      <c r="H62" s="724"/>
      <c r="I62" s="292"/>
      <c r="J62" s="724"/>
      <c r="K62" s="724"/>
      <c r="L62" s="724"/>
      <c r="M62" s="292"/>
    </row>
    <row r="63" spans="1:14" x14ac:dyDescent="0.2">
      <c r="A63" s="144"/>
      <c r="B63" s="725" t="s">
        <v>0</v>
      </c>
      <c r="C63" s="726"/>
      <c r="D63" s="727"/>
      <c r="E63" s="293"/>
      <c r="F63" s="726" t="s">
        <v>1</v>
      </c>
      <c r="G63" s="726"/>
      <c r="H63" s="726"/>
      <c r="I63" s="297"/>
      <c r="J63" s="725" t="s">
        <v>2</v>
      </c>
      <c r="K63" s="726"/>
      <c r="L63" s="726"/>
      <c r="M63" s="297"/>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7" x14ac:dyDescent="0.2">
      <c r="A65" s="701"/>
      <c r="B65" s="155"/>
      <c r="C65" s="155"/>
      <c r="D65" s="242" t="s">
        <v>4</v>
      </c>
      <c r="E65" s="155" t="s">
        <v>30</v>
      </c>
      <c r="F65" s="160"/>
      <c r="G65" s="160"/>
      <c r="H65" s="241" t="s">
        <v>4</v>
      </c>
      <c r="I65" s="155" t="s">
        <v>30</v>
      </c>
      <c r="J65" s="160"/>
      <c r="K65" s="202"/>
      <c r="L65" s="155" t="s">
        <v>4</v>
      </c>
      <c r="M65" s="155" t="s">
        <v>30</v>
      </c>
    </row>
    <row r="66" spans="1:17" ht="15.75" x14ac:dyDescent="0.2">
      <c r="A66" s="14" t="s">
        <v>23</v>
      </c>
      <c r="B66" s="343">
        <v>894626.75300000003</v>
      </c>
      <c r="C66" s="343">
        <v>765374.07400000002</v>
      </c>
      <c r="D66" s="340">
        <f t="shared" ref="D66:D111" si="16">IF(B66=0, "    ---- ", IF(ABS(ROUND(100/B66*C66-100,1))&lt;999,ROUND(100/B66*C66-100,1),IF(ROUND(100/B66*C66-100,1)&gt;999,999,-999)))</f>
        <v>-14.4</v>
      </c>
      <c r="E66" s="11">
        <f>IFERROR(100/'Skjema total MA'!C66*C66,0)</f>
        <v>28.850185159468275</v>
      </c>
      <c r="F66" s="342">
        <v>2659565.7910000002</v>
      </c>
      <c r="G66" s="342">
        <v>2769132.2969999998</v>
      </c>
      <c r="H66" s="340">
        <f t="shared" ref="H66:H111" si="17">IF(F66=0, "    ---- ", IF(ABS(ROUND(100/F66*G66-100,1))&lt;999,ROUND(100/F66*G66-100,1),IF(ROUND(100/F66*G66-100,1)&gt;999,999,-999)))</f>
        <v>4.0999999999999996</v>
      </c>
      <c r="I66" s="11">
        <f>IFERROR(100/'Skjema total MA'!F66*G66,0)</f>
        <v>27.987520847397565</v>
      </c>
      <c r="J66" s="302">
        <f t="shared" ref="J66:K86" si="18">SUM(B66,F66)</f>
        <v>3554192.5440000002</v>
      </c>
      <c r="K66" s="309">
        <f t="shared" si="18"/>
        <v>3534506.3709999998</v>
      </c>
      <c r="L66" s="414">
        <f t="shared" ref="L66:L111" si="19">IF(J66=0, "    ---- ", IF(ABS(ROUND(100/J66*K66-100,1))&lt;999,ROUND(100/J66*K66-100,1),IF(ROUND(100/J66*K66-100,1)&gt;999,999,-999)))</f>
        <v>-0.6</v>
      </c>
      <c r="M66" s="11">
        <f>IFERROR(100/'Skjema total MA'!I66*K66,0)</f>
        <v>28.169920423822365</v>
      </c>
      <c r="P66" s="149"/>
      <c r="Q66" s="149"/>
    </row>
    <row r="67" spans="1:17" x14ac:dyDescent="0.2">
      <c r="A67" s="21" t="s">
        <v>9</v>
      </c>
      <c r="B67" s="44">
        <v>820449</v>
      </c>
      <c r="C67" s="145">
        <v>684376</v>
      </c>
      <c r="D67" s="165">
        <f t="shared" si="16"/>
        <v>-16.600000000000001</v>
      </c>
      <c r="E67" s="27">
        <f>IFERROR(100/'Skjema total MA'!C67*C67,0)</f>
        <v>35.11764002099811</v>
      </c>
      <c r="F67" s="230"/>
      <c r="G67" s="145"/>
      <c r="H67" s="165"/>
      <c r="I67" s="27"/>
      <c r="J67" s="283">
        <f t="shared" si="18"/>
        <v>820449</v>
      </c>
      <c r="K67" s="44">
        <f t="shared" si="18"/>
        <v>684376</v>
      </c>
      <c r="L67" s="250">
        <f t="shared" si="19"/>
        <v>-16.600000000000001</v>
      </c>
      <c r="M67" s="27">
        <f>IFERROR(100/'Skjema total MA'!I67*K67,0)</f>
        <v>35.11764002099811</v>
      </c>
    </row>
    <row r="68" spans="1:17" x14ac:dyDescent="0.2">
      <c r="A68" s="21" t="s">
        <v>10</v>
      </c>
      <c r="B68" s="287"/>
      <c r="C68" s="288"/>
      <c r="D68" s="165"/>
      <c r="E68" s="27"/>
      <c r="F68" s="287">
        <v>2659565.7910000002</v>
      </c>
      <c r="G68" s="288">
        <v>2769132.2969999998</v>
      </c>
      <c r="H68" s="165">
        <f t="shared" si="17"/>
        <v>4.0999999999999996</v>
      </c>
      <c r="I68" s="27">
        <f>IFERROR(100/'Skjema total MA'!F68*G68,0)</f>
        <v>29.153077209992947</v>
      </c>
      <c r="J68" s="283">
        <f t="shared" si="18"/>
        <v>2659565.7910000002</v>
      </c>
      <c r="K68" s="44">
        <f t="shared" si="18"/>
        <v>2769132.2969999998</v>
      </c>
      <c r="L68" s="250">
        <f t="shared" si="19"/>
        <v>4.0999999999999996</v>
      </c>
      <c r="M68" s="27">
        <f>IFERROR(100/'Skjema total MA'!I68*K68,0)</f>
        <v>29.121189870120165</v>
      </c>
    </row>
    <row r="69" spans="1:17" ht="15.75" x14ac:dyDescent="0.2">
      <c r="A69" s="289" t="s">
        <v>374</v>
      </c>
      <c r="B69" s="312"/>
      <c r="C69" s="312"/>
      <c r="D69" s="165"/>
      <c r="E69" s="403"/>
      <c r="F69" s="312"/>
      <c r="G69" s="312"/>
      <c r="H69" s="165"/>
      <c r="I69" s="403"/>
      <c r="J69" s="312"/>
      <c r="K69" s="312"/>
      <c r="L69" s="165"/>
      <c r="M69" s="23"/>
    </row>
    <row r="70" spans="1:17" x14ac:dyDescent="0.2">
      <c r="A70" s="289" t="s">
        <v>12</v>
      </c>
      <c r="B70" s="312"/>
      <c r="C70" s="312"/>
      <c r="D70" s="165"/>
      <c r="E70" s="403"/>
      <c r="F70" s="312"/>
      <c r="G70" s="312"/>
      <c r="H70" s="165"/>
      <c r="I70" s="403"/>
      <c r="J70" s="312"/>
      <c r="K70" s="312"/>
      <c r="L70" s="165"/>
      <c r="M70" s="23"/>
    </row>
    <row r="71" spans="1:17" x14ac:dyDescent="0.2">
      <c r="A71" s="289" t="s">
        <v>13</v>
      </c>
      <c r="B71" s="312"/>
      <c r="C71" s="312"/>
      <c r="D71" s="165"/>
      <c r="E71" s="403"/>
      <c r="F71" s="312"/>
      <c r="G71" s="312"/>
      <c r="H71" s="165"/>
      <c r="I71" s="403"/>
      <c r="J71" s="312"/>
      <c r="K71" s="312"/>
      <c r="L71" s="165"/>
      <c r="M71" s="23"/>
    </row>
    <row r="72" spans="1:17" ht="15.75" x14ac:dyDescent="0.2">
      <c r="A72" s="289" t="s">
        <v>375</v>
      </c>
      <c r="B72" s="312"/>
      <c r="C72" s="312"/>
      <c r="D72" s="165"/>
      <c r="E72" s="403"/>
      <c r="F72" s="312"/>
      <c r="G72" s="312"/>
      <c r="H72" s="165"/>
      <c r="I72" s="403"/>
      <c r="J72" s="312"/>
      <c r="K72" s="312"/>
      <c r="L72" s="165"/>
      <c r="M72" s="23"/>
    </row>
    <row r="73" spans="1:17" x14ac:dyDescent="0.2">
      <c r="A73" s="289" t="s">
        <v>12</v>
      </c>
      <c r="B73" s="231"/>
      <c r="C73" s="285"/>
      <c r="D73" s="165"/>
      <c r="E73" s="403"/>
      <c r="F73" s="312"/>
      <c r="G73" s="312"/>
      <c r="H73" s="165"/>
      <c r="I73" s="403"/>
      <c r="J73" s="312"/>
      <c r="K73" s="312"/>
      <c r="L73" s="165"/>
      <c r="M73" s="23"/>
    </row>
    <row r="74" spans="1:17" s="3" customFormat="1" x14ac:dyDescent="0.2">
      <c r="A74" s="289" t="s">
        <v>13</v>
      </c>
      <c r="B74" s="231"/>
      <c r="C74" s="285"/>
      <c r="D74" s="165"/>
      <c r="E74" s="403"/>
      <c r="F74" s="312"/>
      <c r="G74" s="312"/>
      <c r="H74" s="165"/>
      <c r="I74" s="403"/>
      <c r="J74" s="312"/>
      <c r="K74" s="312"/>
      <c r="L74" s="165"/>
      <c r="M74" s="23"/>
      <c r="N74" s="148"/>
    </row>
    <row r="75" spans="1:17" s="3" customFormat="1" x14ac:dyDescent="0.2">
      <c r="A75" s="21" t="s">
        <v>344</v>
      </c>
      <c r="B75" s="230"/>
      <c r="C75" s="145"/>
      <c r="D75" s="165"/>
      <c r="E75" s="27"/>
      <c r="F75" s="230"/>
      <c r="G75" s="145"/>
      <c r="H75" s="165"/>
      <c r="I75" s="27"/>
      <c r="J75" s="283"/>
      <c r="K75" s="44"/>
      <c r="L75" s="250"/>
      <c r="M75" s="27"/>
      <c r="N75" s="148"/>
    </row>
    <row r="76" spans="1:17" s="3" customFormat="1" x14ac:dyDescent="0.2">
      <c r="A76" s="21" t="s">
        <v>343</v>
      </c>
      <c r="B76" s="230">
        <v>74177.752999999997</v>
      </c>
      <c r="C76" s="145">
        <v>80998.073999999993</v>
      </c>
      <c r="D76" s="165">
        <f t="shared" ref="D76" si="20">IF(B76=0, "    ---- ", IF(ABS(ROUND(100/B76*C76-100,1))&lt;999,ROUND(100/B76*C76-100,1),IF(ROUND(100/B76*C76-100,1)&gt;999,999,-999)))</f>
        <v>9.1999999999999993</v>
      </c>
      <c r="E76" s="27">
        <f>IFERROR(100/'Skjema total MA'!C76*C76,0)</f>
        <v>14.71595324152783</v>
      </c>
      <c r="F76" s="230"/>
      <c r="G76" s="145"/>
      <c r="H76" s="165"/>
      <c r="I76" s="27"/>
      <c r="J76" s="283">
        <f t="shared" ref="J76" si="21">SUM(B76,F76)</f>
        <v>74177.752999999997</v>
      </c>
      <c r="K76" s="44">
        <f t="shared" ref="K76" si="22">SUM(C76,G76)</f>
        <v>80998.073999999993</v>
      </c>
      <c r="L76" s="250">
        <f t="shared" ref="L76" si="23">IF(J76=0, "    ---- ", IF(ABS(ROUND(100/J76*K76-100,1))&lt;999,ROUND(100/J76*K76-100,1),IF(ROUND(100/J76*K76-100,1)&gt;999,999,-999)))</f>
        <v>9.1999999999999993</v>
      </c>
      <c r="M76" s="27">
        <f>IFERROR(100/'Skjema total MA'!I76*K76,0)</f>
        <v>14.71595324152783</v>
      </c>
      <c r="N76" s="148"/>
    </row>
    <row r="77" spans="1:17" ht="15.75" x14ac:dyDescent="0.2">
      <c r="A77" s="21" t="s">
        <v>376</v>
      </c>
      <c r="B77" s="230">
        <v>792224.902</v>
      </c>
      <c r="C77" s="230">
        <v>661214</v>
      </c>
      <c r="D77" s="165">
        <f t="shared" si="16"/>
        <v>-16.5</v>
      </c>
      <c r="E77" s="27">
        <f>IFERROR(100/'Skjema total MA'!C77*C77,0)</f>
        <v>35.476240035806391</v>
      </c>
      <c r="F77" s="230">
        <v>2659565.7910000002</v>
      </c>
      <c r="G77" s="145">
        <v>2769132.2969999998</v>
      </c>
      <c r="H77" s="165">
        <f t="shared" si="17"/>
        <v>4.0999999999999996</v>
      </c>
      <c r="I77" s="27">
        <f>IFERROR(100/'Skjema total MA'!F77*G77,0)</f>
        <v>29.164256717112718</v>
      </c>
      <c r="J77" s="283">
        <f t="shared" si="18"/>
        <v>3451790.693</v>
      </c>
      <c r="K77" s="44">
        <f t="shared" si="18"/>
        <v>3430346.2969999998</v>
      </c>
      <c r="L77" s="250">
        <f t="shared" si="19"/>
        <v>-0.6</v>
      </c>
      <c r="M77" s="27">
        <f>IFERROR(100/'Skjema total MA'!I77*K77,0)</f>
        <v>30.199968268573542</v>
      </c>
    </row>
    <row r="78" spans="1:17" x14ac:dyDescent="0.2">
      <c r="A78" s="21" t="s">
        <v>9</v>
      </c>
      <c r="B78" s="230">
        <v>792224.902</v>
      </c>
      <c r="C78" s="145">
        <v>661214</v>
      </c>
      <c r="D78" s="165">
        <f t="shared" si="16"/>
        <v>-16.5</v>
      </c>
      <c r="E78" s="27">
        <f>IFERROR(100/'Skjema total MA'!C78*C78,0)</f>
        <v>35.655433793734012</v>
      </c>
      <c r="F78" s="230"/>
      <c r="G78" s="145"/>
      <c r="H78" s="165"/>
      <c r="I78" s="27"/>
      <c r="J78" s="283">
        <f t="shared" si="18"/>
        <v>792224.902</v>
      </c>
      <c r="K78" s="44">
        <f t="shared" si="18"/>
        <v>661214</v>
      </c>
      <c r="L78" s="250">
        <f t="shared" si="19"/>
        <v>-16.5</v>
      </c>
      <c r="M78" s="27">
        <f>IFERROR(100/'Skjema total MA'!I78*K78,0)</f>
        <v>35.655433793734012</v>
      </c>
    </row>
    <row r="79" spans="1:17" x14ac:dyDescent="0.2">
      <c r="A79" s="38" t="s">
        <v>413</v>
      </c>
      <c r="B79" s="287"/>
      <c r="C79" s="288"/>
      <c r="D79" s="165"/>
      <c r="E79" s="27"/>
      <c r="F79" s="287">
        <v>2659565.7910000002</v>
      </c>
      <c r="G79" s="288">
        <v>2769132.2969999998</v>
      </c>
      <c r="H79" s="165">
        <f t="shared" si="17"/>
        <v>4.0999999999999996</v>
      </c>
      <c r="I79" s="27">
        <f>IFERROR(100/'Skjema total MA'!F79*G79,0)</f>
        <v>29.164256717112718</v>
      </c>
      <c r="J79" s="283">
        <f t="shared" si="18"/>
        <v>2659565.7910000002</v>
      </c>
      <c r="K79" s="44">
        <f t="shared" si="18"/>
        <v>2769132.2969999998</v>
      </c>
      <c r="L79" s="250">
        <f t="shared" si="19"/>
        <v>4.0999999999999996</v>
      </c>
      <c r="M79" s="27">
        <f>IFERROR(100/'Skjema total MA'!I79*K79,0)</f>
        <v>29.13551375671771</v>
      </c>
    </row>
    <row r="80" spans="1:17"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v>28224.098000000002</v>
      </c>
      <c r="C86" s="145">
        <v>23162.027999999998</v>
      </c>
      <c r="D86" s="165">
        <f t="shared" si="16"/>
        <v>-17.899999999999999</v>
      </c>
      <c r="E86" s="27">
        <f>IFERROR(100/'Skjema total MA'!C86*C86,0)</f>
        <v>24.281770685549603</v>
      </c>
      <c r="F86" s="230"/>
      <c r="G86" s="145"/>
      <c r="H86" s="165"/>
      <c r="I86" s="27"/>
      <c r="J86" s="283">
        <f t="shared" si="18"/>
        <v>28224.098000000002</v>
      </c>
      <c r="K86" s="44">
        <f t="shared" si="18"/>
        <v>23162.027999999998</v>
      </c>
      <c r="L86" s="250">
        <f t="shared" si="19"/>
        <v>-17.899999999999999</v>
      </c>
      <c r="M86" s="27">
        <f>IFERROR(100/'Skjema total MA'!I86*K86,0)</f>
        <v>23.388987030489336</v>
      </c>
    </row>
    <row r="87" spans="1:13" ht="15.75" x14ac:dyDescent="0.2">
      <c r="A87" s="13" t="s">
        <v>359</v>
      </c>
      <c r="B87" s="343">
        <v>159056891.16999999</v>
      </c>
      <c r="C87" s="343">
        <v>157529240.91411</v>
      </c>
      <c r="D87" s="170">
        <f t="shared" si="16"/>
        <v>-1</v>
      </c>
      <c r="E87" s="11">
        <f>IFERROR(100/'Skjema total MA'!C87*C87,0)</f>
        <v>38.939248420549042</v>
      </c>
      <c r="F87" s="342">
        <v>109594324.941726</v>
      </c>
      <c r="G87" s="342">
        <v>125182460.16500001</v>
      </c>
      <c r="H87" s="170">
        <f t="shared" si="17"/>
        <v>14.2</v>
      </c>
      <c r="I87" s="11">
        <f>IFERROR(100/'Skjema total MA'!F87*G87,0)</f>
        <v>28.250217117029184</v>
      </c>
      <c r="J87" s="302">
        <f t="shared" ref="J87:K111" si="24">SUM(B87,F87)</f>
        <v>268651216.11172599</v>
      </c>
      <c r="K87" s="232">
        <f t="shared" si="24"/>
        <v>282711701.07911003</v>
      </c>
      <c r="L87" s="414">
        <f t="shared" si="19"/>
        <v>5.2</v>
      </c>
      <c r="M87" s="11">
        <f>IFERROR(100/'Skjema total MA'!I87*K87,0)</f>
        <v>33.351557475534833</v>
      </c>
    </row>
    <row r="88" spans="1:13" x14ac:dyDescent="0.2">
      <c r="A88" s="21" t="s">
        <v>9</v>
      </c>
      <c r="B88" s="230">
        <v>158916476</v>
      </c>
      <c r="C88" s="145">
        <v>157386198</v>
      </c>
      <c r="D88" s="165">
        <f t="shared" si="16"/>
        <v>-1</v>
      </c>
      <c r="E88" s="27">
        <f>IFERROR(100/'Skjema total MA'!C88*C88,0)</f>
        <v>40.327215771202766</v>
      </c>
      <c r="F88" s="230"/>
      <c r="G88" s="145"/>
      <c r="H88" s="165"/>
      <c r="I88" s="27"/>
      <c r="J88" s="283">
        <f t="shared" si="24"/>
        <v>158916476</v>
      </c>
      <c r="K88" s="44">
        <f t="shared" si="24"/>
        <v>157386198</v>
      </c>
      <c r="L88" s="250">
        <f t="shared" si="19"/>
        <v>-1</v>
      </c>
      <c r="M88" s="27">
        <f>IFERROR(100/'Skjema total MA'!I88*K88,0)</f>
        <v>40.327215771202766</v>
      </c>
    </row>
    <row r="89" spans="1:13" x14ac:dyDescent="0.2">
      <c r="A89" s="21" t="s">
        <v>10</v>
      </c>
      <c r="B89" s="230">
        <v>96169</v>
      </c>
      <c r="C89" s="145">
        <v>90595</v>
      </c>
      <c r="D89" s="165">
        <f t="shared" si="16"/>
        <v>-5.8</v>
      </c>
      <c r="E89" s="27">
        <f>IFERROR(100/'Skjema total MA'!C89*C89,0)</f>
        <v>2.8668824146981673</v>
      </c>
      <c r="F89" s="230">
        <v>109594324.941726</v>
      </c>
      <c r="G89" s="145">
        <v>125182460.16500001</v>
      </c>
      <c r="H89" s="165">
        <f t="shared" si="17"/>
        <v>14.2</v>
      </c>
      <c r="I89" s="27">
        <f>IFERROR(100/'Skjema total MA'!F89*G89,0)</f>
        <v>28.570943270472824</v>
      </c>
      <c r="J89" s="283">
        <f t="shared" si="24"/>
        <v>109690493.941726</v>
      </c>
      <c r="K89" s="44">
        <f t="shared" si="24"/>
        <v>125273055.16500001</v>
      </c>
      <c r="L89" s="250">
        <f t="shared" si="19"/>
        <v>14.2</v>
      </c>
      <c r="M89" s="27">
        <f>IFERROR(100/'Skjema total MA'!I89*K89,0)</f>
        <v>28.386884653956365</v>
      </c>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v>44246.17</v>
      </c>
      <c r="C97" s="145">
        <v>52447.914109999998</v>
      </c>
      <c r="D97" s="165">
        <f t="shared" ref="D97" si="25">IF(B97=0, "    ---- ", IF(ABS(ROUND(100/B97*C97-100,1))&lt;999,ROUND(100/B97*C97-100,1),IF(ROUND(100/B97*C97-100,1)&gt;999,999,-999)))</f>
        <v>18.5</v>
      </c>
      <c r="E97" s="27">
        <f>IFERROR(100/'Skjema total MA'!C97*C97,0)</f>
        <v>0.6514461776924042</v>
      </c>
      <c r="F97" s="230"/>
      <c r="G97" s="145"/>
      <c r="H97" s="165"/>
      <c r="I97" s="27"/>
      <c r="J97" s="283">
        <f t="shared" ref="J97" si="26">SUM(B97,F97)</f>
        <v>44246.17</v>
      </c>
      <c r="K97" s="44">
        <f t="shared" ref="K97" si="27">SUM(C97,G97)</f>
        <v>52447.914109999998</v>
      </c>
      <c r="L97" s="250">
        <f t="shared" ref="L97" si="28">IF(J97=0, "    ---- ", IF(ABS(ROUND(100/J97*K97-100,1))&lt;999,ROUND(100/J97*K97-100,1),IF(ROUND(100/J97*K97-100,1)&gt;999,999,-999)))</f>
        <v>18.5</v>
      </c>
      <c r="M97" s="27">
        <f>IFERROR(100/'Skjema total MA'!I97*K97,0)</f>
        <v>0.6514461776924042</v>
      </c>
    </row>
    <row r="98" spans="1:13" ht="15.75" x14ac:dyDescent="0.2">
      <c r="A98" s="21" t="s">
        <v>376</v>
      </c>
      <c r="B98" s="230">
        <v>157845699.179616</v>
      </c>
      <c r="C98" s="230">
        <v>156345865.03589001</v>
      </c>
      <c r="D98" s="165">
        <f t="shared" si="16"/>
        <v>-1</v>
      </c>
      <c r="E98" s="27">
        <f>IFERROR(100/'Skjema total MA'!C98*C98,0)</f>
        <v>40.197797127743655</v>
      </c>
      <c r="F98" s="287">
        <v>109493592.616396</v>
      </c>
      <c r="G98" s="287">
        <v>125087950.20999999</v>
      </c>
      <c r="H98" s="165">
        <f t="shared" si="17"/>
        <v>14.2</v>
      </c>
      <c r="I98" s="27">
        <f>IFERROR(100/'Skjema total MA'!F98*G98,0)</f>
        <v>28.606404855085561</v>
      </c>
      <c r="J98" s="283">
        <f t="shared" si="24"/>
        <v>267339291.79601198</v>
      </c>
      <c r="K98" s="44">
        <f t="shared" si="24"/>
        <v>281433815.24589002</v>
      </c>
      <c r="L98" s="250">
        <f t="shared" si="19"/>
        <v>5.3</v>
      </c>
      <c r="M98" s="27">
        <f>IFERROR(100/'Skjema total MA'!I98*K98,0)</f>
        <v>34.063069315419931</v>
      </c>
    </row>
    <row r="99" spans="1:13" x14ac:dyDescent="0.2">
      <c r="A99" s="21" t="s">
        <v>9</v>
      </c>
      <c r="B99" s="287">
        <v>157749530.179616</v>
      </c>
      <c r="C99" s="288">
        <v>156255270.03589001</v>
      </c>
      <c r="D99" s="165">
        <f t="shared" si="16"/>
        <v>-0.9</v>
      </c>
      <c r="E99" s="27">
        <f>IFERROR(100/'Skjema total MA'!C99*C99,0)</f>
        <v>40.503586074100205</v>
      </c>
      <c r="F99" s="230"/>
      <c r="G99" s="145"/>
      <c r="H99" s="165"/>
      <c r="I99" s="27"/>
      <c r="J99" s="283">
        <f t="shared" si="24"/>
        <v>157749530.179616</v>
      </c>
      <c r="K99" s="44">
        <f t="shared" si="24"/>
        <v>156255270.03589001</v>
      </c>
      <c r="L99" s="250">
        <f t="shared" si="19"/>
        <v>-0.9</v>
      </c>
      <c r="M99" s="27">
        <f>IFERROR(100/'Skjema total MA'!I99*K99,0)</f>
        <v>40.503586074100205</v>
      </c>
    </row>
    <row r="100" spans="1:13" x14ac:dyDescent="0.2">
      <c r="A100" s="38" t="s">
        <v>413</v>
      </c>
      <c r="B100" s="287">
        <v>96169</v>
      </c>
      <c r="C100" s="288">
        <v>90595</v>
      </c>
      <c r="D100" s="165">
        <f t="shared" si="16"/>
        <v>-5.8</v>
      </c>
      <c r="E100" s="27">
        <f>IFERROR(100/'Skjema total MA'!C100*C100,0)</f>
        <v>2.8668824146981673</v>
      </c>
      <c r="F100" s="230">
        <v>109493592.616396</v>
      </c>
      <c r="G100" s="230">
        <v>125087950.20999999</v>
      </c>
      <c r="H100" s="165">
        <f t="shared" si="17"/>
        <v>14.2</v>
      </c>
      <c r="I100" s="27">
        <f>IFERROR(100/'Skjema total MA'!F100*G100,0)</f>
        <v>28.606404855085561</v>
      </c>
      <c r="J100" s="283">
        <f t="shared" si="24"/>
        <v>109589761.616396</v>
      </c>
      <c r="K100" s="44">
        <f t="shared" si="24"/>
        <v>125178545.20999999</v>
      </c>
      <c r="L100" s="250">
        <f t="shared" si="19"/>
        <v>14.2</v>
      </c>
      <c r="M100" s="27">
        <f>IFERROR(100/'Skjema total MA'!I100*K100,0)</f>
        <v>28.421726756942309</v>
      </c>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v>1166946</v>
      </c>
      <c r="C107" s="145">
        <v>1130928.05</v>
      </c>
      <c r="D107" s="165">
        <f t="shared" si="16"/>
        <v>-3.1</v>
      </c>
      <c r="E107" s="27">
        <f>IFERROR(100/'Skjema total MA'!C107*C107,0)</f>
        <v>25.178811727545337</v>
      </c>
      <c r="F107" s="230">
        <v>100732.32533000001</v>
      </c>
      <c r="G107" s="145">
        <v>94509.953999999998</v>
      </c>
      <c r="H107" s="165">
        <f t="shared" si="17"/>
        <v>-6.2</v>
      </c>
      <c r="I107" s="27">
        <f>IFERROR(100/'Skjema total MA'!F107*G107,0)</f>
        <v>10.819402391829762</v>
      </c>
      <c r="J107" s="283">
        <f t="shared" si="24"/>
        <v>1267678.3253299999</v>
      </c>
      <c r="K107" s="44">
        <f t="shared" si="24"/>
        <v>1225438.004</v>
      </c>
      <c r="L107" s="250">
        <f t="shared" si="19"/>
        <v>-3.3</v>
      </c>
      <c r="M107" s="27">
        <f>IFERROR(100/'Skjema total MA'!I107*K107,0)</f>
        <v>22.840877475028456</v>
      </c>
    </row>
    <row r="108" spans="1:13" ht="15.75" x14ac:dyDescent="0.2">
      <c r="A108" s="21" t="s">
        <v>378</v>
      </c>
      <c r="B108" s="230">
        <v>138703474</v>
      </c>
      <c r="C108" s="230">
        <v>138270107</v>
      </c>
      <c r="D108" s="165">
        <f t="shared" si="16"/>
        <v>-0.3</v>
      </c>
      <c r="E108" s="27">
        <f>IFERROR(100/'Skjema total MA'!C108*C108,0)</f>
        <v>41.260098089198301</v>
      </c>
      <c r="F108" s="230">
        <v>769903.375</v>
      </c>
      <c r="G108" s="230">
        <v>886319.29399999999</v>
      </c>
      <c r="H108" s="165">
        <f t="shared" si="17"/>
        <v>15.1</v>
      </c>
      <c r="I108" s="27">
        <f>IFERROR(100/'Skjema total MA'!F108*G108,0)</f>
        <v>4.3486153414650044</v>
      </c>
      <c r="J108" s="283">
        <f t="shared" si="24"/>
        <v>139473377.375</v>
      </c>
      <c r="K108" s="44">
        <f t="shared" si="24"/>
        <v>139156426.294</v>
      </c>
      <c r="L108" s="250">
        <f t="shared" si="19"/>
        <v>-0.2</v>
      </c>
      <c r="M108" s="27">
        <f>IFERROR(100/'Skjema total MA'!I108*K108,0)</f>
        <v>39.143875917714311</v>
      </c>
    </row>
    <row r="109" spans="1:13" ht="15.6" customHeight="1" x14ac:dyDescent="0.2">
      <c r="A109" s="21" t="s">
        <v>430</v>
      </c>
      <c r="B109" s="230">
        <v>96169</v>
      </c>
      <c r="C109" s="230">
        <v>90595</v>
      </c>
      <c r="D109" s="165">
        <f t="shared" si="16"/>
        <v>-5.8</v>
      </c>
      <c r="E109" s="27">
        <f>IFERROR(100/'Skjema total MA'!C109*C109,0)</f>
        <v>4.921294952016412</v>
      </c>
      <c r="F109" s="230">
        <v>39598724.325000003</v>
      </c>
      <c r="G109" s="230">
        <v>41997129</v>
      </c>
      <c r="H109" s="165">
        <f t="shared" si="17"/>
        <v>6.1</v>
      </c>
      <c r="I109" s="27">
        <f>IFERROR(100/'Skjema total MA'!F109*G109,0)</f>
        <v>27.117903569022772</v>
      </c>
      <c r="J109" s="283">
        <f t="shared" si="24"/>
        <v>39694893.325000003</v>
      </c>
      <c r="K109" s="44">
        <f t="shared" si="24"/>
        <v>42087724</v>
      </c>
      <c r="L109" s="250">
        <f t="shared" si="19"/>
        <v>6</v>
      </c>
      <c r="M109" s="27">
        <f>IFERROR(100/'Skjema total MA'!I109*K109,0)</f>
        <v>26.857158514166318</v>
      </c>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v>564444</v>
      </c>
      <c r="C111" s="158">
        <v>84456.405899999998</v>
      </c>
      <c r="D111" s="170">
        <f t="shared" si="16"/>
        <v>-85</v>
      </c>
      <c r="E111" s="11">
        <f>IFERROR(100/'Skjema total MA'!C111*C111,0)</f>
        <v>24.523330611815673</v>
      </c>
      <c r="F111" s="301">
        <v>3534325</v>
      </c>
      <c r="G111" s="158">
        <v>4025404.95</v>
      </c>
      <c r="H111" s="170">
        <f t="shared" si="17"/>
        <v>13.9</v>
      </c>
      <c r="I111" s="11">
        <f>IFERROR(100/'Skjema total MA'!F111*G111,0)</f>
        <v>35.597972538114838</v>
      </c>
      <c r="J111" s="302">
        <f t="shared" si="24"/>
        <v>4098769</v>
      </c>
      <c r="K111" s="232">
        <f t="shared" si="24"/>
        <v>4109861.3559000003</v>
      </c>
      <c r="L111" s="414">
        <f t="shared" si="19"/>
        <v>0.3</v>
      </c>
      <c r="M111" s="11">
        <f>IFERROR(100/'Skjema total MA'!I111*K111,0)</f>
        <v>35.270655064746833</v>
      </c>
    </row>
    <row r="112" spans="1:13" x14ac:dyDescent="0.2">
      <c r="A112" s="21" t="s">
        <v>9</v>
      </c>
      <c r="B112" s="230">
        <v>564444</v>
      </c>
      <c r="C112" s="145">
        <v>84456.405899999998</v>
      </c>
      <c r="D112" s="165">
        <f t="shared" ref="D112:D126" si="29">IF(B112=0, "    ---- ", IF(ABS(ROUND(100/B112*C112-100,1))&lt;999,ROUND(100/B112*C112-100,1),IF(ROUND(100/B112*C112-100,1)&gt;999,999,-999)))</f>
        <v>-85</v>
      </c>
      <c r="E112" s="27">
        <f>IFERROR(100/'Skjema total MA'!C112*C112,0)</f>
        <v>56.549273111750843</v>
      </c>
      <c r="F112" s="230"/>
      <c r="G112" s="145"/>
      <c r="H112" s="165"/>
      <c r="I112" s="27"/>
      <c r="J112" s="283">
        <f t="shared" ref="J112:K126" si="30">SUM(B112,F112)</f>
        <v>564444</v>
      </c>
      <c r="K112" s="44">
        <f t="shared" si="30"/>
        <v>84456.405899999998</v>
      </c>
      <c r="L112" s="250">
        <f t="shared" ref="L112:L126" si="31">IF(J112=0, "    ---- ", IF(ABS(ROUND(100/J112*K112-100,1))&lt;999,ROUND(100/J112*K112-100,1),IF(ROUND(100/J112*K112-100,1)&gt;999,999,-999)))</f>
        <v>-85</v>
      </c>
      <c r="M112" s="27">
        <f>IFERROR(100/'Skjema total MA'!I112*K112,0)</f>
        <v>56.481598113023871</v>
      </c>
    </row>
    <row r="113" spans="1:14" x14ac:dyDescent="0.2">
      <c r="A113" s="21" t="s">
        <v>10</v>
      </c>
      <c r="B113" s="230"/>
      <c r="C113" s="145"/>
      <c r="D113" s="165"/>
      <c r="E113" s="27"/>
      <c r="F113" s="230">
        <v>3534325</v>
      </c>
      <c r="G113" s="145">
        <v>4025404.95</v>
      </c>
      <c r="H113" s="165">
        <f t="shared" ref="H112:H126" si="32">IF(F113=0, "    ---- ", IF(ABS(ROUND(100/F113*G113-100,1))&lt;999,ROUND(100/F113*G113-100,1),IF(ROUND(100/F113*G113-100,1)&gt;999,999,-999)))</f>
        <v>13.9</v>
      </c>
      <c r="I113" s="27">
        <f>IFERROR(100/'Skjema total MA'!F113*G113,0)</f>
        <v>35.598535883411415</v>
      </c>
      <c r="J113" s="283">
        <f t="shared" si="30"/>
        <v>3534325</v>
      </c>
      <c r="K113" s="44">
        <f t="shared" si="30"/>
        <v>4025404.95</v>
      </c>
      <c r="L113" s="250">
        <f t="shared" si="31"/>
        <v>13.9</v>
      </c>
      <c r="M113" s="27">
        <f>IFERROR(100/'Skjema total MA'!I113*K113,0)</f>
        <v>35.598535883411415</v>
      </c>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v>19999.750520000001</v>
      </c>
      <c r="C116" s="230">
        <v>15255</v>
      </c>
      <c r="D116" s="165">
        <f t="shared" si="29"/>
        <v>-23.7</v>
      </c>
      <c r="E116" s="27">
        <f>IFERROR(100/'Skjema total MA'!C116*C116,0)</f>
        <v>35.190059089320251</v>
      </c>
      <c r="F116" s="230"/>
      <c r="G116" s="230"/>
      <c r="H116" s="165"/>
      <c r="I116" s="27"/>
      <c r="J116" s="283">
        <f t="shared" si="30"/>
        <v>19999.750520000001</v>
      </c>
      <c r="K116" s="44">
        <f t="shared" si="30"/>
        <v>15255</v>
      </c>
      <c r="L116" s="250">
        <f t="shared" si="31"/>
        <v>-23.7</v>
      </c>
      <c r="M116" s="27">
        <f>IFERROR(100/'Skjema total MA'!I116*K116,0)</f>
        <v>35.045393389473112</v>
      </c>
    </row>
    <row r="117" spans="1:14" ht="15.6" customHeight="1" x14ac:dyDescent="0.2">
      <c r="A117" s="21" t="s">
        <v>430</v>
      </c>
      <c r="B117" s="230"/>
      <c r="C117" s="230"/>
      <c r="D117" s="165"/>
      <c r="E117" s="27"/>
      <c r="F117" s="230">
        <v>233449</v>
      </c>
      <c r="G117" s="230">
        <v>2413180.0789999999</v>
      </c>
      <c r="H117" s="165">
        <f t="shared" si="32"/>
        <v>933.7</v>
      </c>
      <c r="I117" s="27">
        <f>IFERROR(100/'Skjema total MA'!F117*G117,0)</f>
        <v>41.934980230921965</v>
      </c>
      <c r="J117" s="283">
        <f t="shared" si="30"/>
        <v>233449</v>
      </c>
      <c r="K117" s="44">
        <f t="shared" si="30"/>
        <v>2413180.0789999999</v>
      </c>
      <c r="L117" s="250">
        <f t="shared" si="31"/>
        <v>933.7</v>
      </c>
      <c r="M117" s="27">
        <f>IFERROR(100/'Skjema total MA'!I117*K117,0)</f>
        <v>41.934980230921965</v>
      </c>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v>32894</v>
      </c>
      <c r="C119" s="158">
        <v>56235.062449999998</v>
      </c>
      <c r="D119" s="170">
        <f t="shared" si="29"/>
        <v>71</v>
      </c>
      <c r="E119" s="11">
        <f>IFERROR(100/'Skjema total MA'!C119*C119,0)</f>
        <v>15.817753972291346</v>
      </c>
      <c r="F119" s="301">
        <v>4175522</v>
      </c>
      <c r="G119" s="158">
        <v>3921453.2820000001</v>
      </c>
      <c r="H119" s="170">
        <f t="shared" si="32"/>
        <v>-6.1</v>
      </c>
      <c r="I119" s="11">
        <f>IFERROR(100/'Skjema total MA'!F119*G119,0)</f>
        <v>32.349772202269875</v>
      </c>
      <c r="J119" s="302">
        <f t="shared" si="30"/>
        <v>4208416</v>
      </c>
      <c r="K119" s="232">
        <f t="shared" si="30"/>
        <v>3977688.3444500002</v>
      </c>
      <c r="L119" s="414">
        <f t="shared" si="31"/>
        <v>-5.5</v>
      </c>
      <c r="M119" s="11">
        <f>IFERROR(100/'Skjema total MA'!I119*K119,0)</f>
        <v>31.878731409887145</v>
      </c>
    </row>
    <row r="120" spans="1:14" x14ac:dyDescent="0.2">
      <c r="A120" s="21" t="s">
        <v>9</v>
      </c>
      <c r="B120" s="230">
        <v>32894</v>
      </c>
      <c r="C120" s="145">
        <v>56235.062449999998</v>
      </c>
      <c r="D120" s="165">
        <f t="shared" si="29"/>
        <v>71</v>
      </c>
      <c r="E120" s="27">
        <f>IFERROR(100/'Skjema total MA'!C120*C120,0)</f>
        <v>64.834646141341153</v>
      </c>
      <c r="F120" s="230"/>
      <c r="G120" s="145"/>
      <c r="H120" s="165"/>
      <c r="I120" s="27"/>
      <c r="J120" s="283">
        <f t="shared" si="30"/>
        <v>32894</v>
      </c>
      <c r="K120" s="44">
        <f t="shared" si="30"/>
        <v>56235.062449999998</v>
      </c>
      <c r="L120" s="250">
        <f t="shared" si="31"/>
        <v>71</v>
      </c>
      <c r="M120" s="27">
        <f>IFERROR(100/'Skjema total MA'!I120*K120,0)</f>
        <v>64.834646141341153</v>
      </c>
    </row>
    <row r="121" spans="1:14" x14ac:dyDescent="0.2">
      <c r="A121" s="21" t="s">
        <v>10</v>
      </c>
      <c r="B121" s="230"/>
      <c r="C121" s="145"/>
      <c r="D121" s="165"/>
      <c r="E121" s="27"/>
      <c r="F121" s="230">
        <v>4175522</v>
      </c>
      <c r="G121" s="145">
        <v>3921453.2820000001</v>
      </c>
      <c r="H121" s="165">
        <f t="shared" si="32"/>
        <v>-6.1</v>
      </c>
      <c r="I121" s="27">
        <f>IFERROR(100/'Skjema total MA'!F121*G121,0)</f>
        <v>32.349772202269875</v>
      </c>
      <c r="J121" s="283">
        <f t="shared" si="30"/>
        <v>4175522</v>
      </c>
      <c r="K121" s="44">
        <f t="shared" si="30"/>
        <v>3921453.2820000001</v>
      </c>
      <c r="L121" s="250">
        <f t="shared" si="31"/>
        <v>-6.1</v>
      </c>
      <c r="M121" s="27">
        <f>IFERROR(100/'Skjema total MA'!I121*K121,0)</f>
        <v>32.336123647933668</v>
      </c>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v>8940.4760000000006</v>
      </c>
      <c r="C124" s="230">
        <v>15087.207</v>
      </c>
      <c r="D124" s="165">
        <f t="shared" si="29"/>
        <v>68.8</v>
      </c>
      <c r="E124" s="27">
        <f>IFERROR(100/'Skjema total MA'!C124*C124,0)</f>
        <v>96.745014497125197</v>
      </c>
      <c r="F124" s="230"/>
      <c r="G124" s="230"/>
      <c r="H124" s="165"/>
      <c r="I124" s="27"/>
      <c r="J124" s="283">
        <f t="shared" si="30"/>
        <v>8940.4760000000006</v>
      </c>
      <c r="K124" s="44">
        <f t="shared" si="30"/>
        <v>15087.207</v>
      </c>
      <c r="L124" s="250">
        <f t="shared" si="31"/>
        <v>68.8</v>
      </c>
      <c r="M124" s="27">
        <f>IFERROR(100/'Skjema total MA'!I124*K124,0)</f>
        <v>79.579320378614497</v>
      </c>
    </row>
    <row r="125" spans="1:14" ht="16.149999999999999" customHeight="1" x14ac:dyDescent="0.2">
      <c r="A125" s="21" t="s">
        <v>430</v>
      </c>
      <c r="B125" s="230"/>
      <c r="C125" s="230"/>
      <c r="D125" s="165"/>
      <c r="E125" s="27"/>
      <c r="F125" s="230">
        <v>317883</v>
      </c>
      <c r="G125" s="230">
        <v>2353168.73</v>
      </c>
      <c r="H125" s="165">
        <f t="shared" si="32"/>
        <v>640.29999999999995</v>
      </c>
      <c r="I125" s="27">
        <f>IFERROR(100/'Skjema total MA'!F125*G125,0)</f>
        <v>41.400236854396795</v>
      </c>
      <c r="J125" s="283">
        <f t="shared" si="30"/>
        <v>317883</v>
      </c>
      <c r="K125" s="44">
        <f t="shared" si="30"/>
        <v>2353168.73</v>
      </c>
      <c r="L125" s="250">
        <f t="shared" si="31"/>
        <v>640.29999999999995</v>
      </c>
      <c r="M125" s="27">
        <f>IFERROR(100/'Skjema total MA'!I125*K125,0)</f>
        <v>41.400117583350983</v>
      </c>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292"/>
      <c r="F130" s="724"/>
      <c r="G130" s="724"/>
      <c r="H130" s="724"/>
      <c r="I130" s="292"/>
      <c r="J130" s="724"/>
      <c r="K130" s="724"/>
      <c r="L130" s="724"/>
      <c r="M130" s="292"/>
    </row>
    <row r="131" spans="1:14" s="3" customFormat="1" x14ac:dyDescent="0.2">
      <c r="A131" s="144"/>
      <c r="B131" s="725" t="s">
        <v>0</v>
      </c>
      <c r="C131" s="726"/>
      <c r="D131" s="726"/>
      <c r="E131" s="294"/>
      <c r="F131" s="725" t="s">
        <v>1</v>
      </c>
      <c r="G131" s="726"/>
      <c r="H131" s="726"/>
      <c r="I131" s="297"/>
      <c r="J131" s="725" t="s">
        <v>2</v>
      </c>
      <c r="K131" s="726"/>
      <c r="L131" s="726"/>
      <c r="M131" s="297"/>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c r="C134" s="302"/>
      <c r="D134" s="340"/>
      <c r="E134" s="11"/>
      <c r="F134" s="309"/>
      <c r="G134" s="310"/>
      <c r="H134" s="417"/>
      <c r="I134" s="24"/>
      <c r="J134" s="311"/>
      <c r="K134" s="311"/>
      <c r="L134" s="413"/>
      <c r="M134" s="11"/>
      <c r="N134" s="148"/>
    </row>
    <row r="135" spans="1:14" s="3" customFormat="1" ht="15.75" x14ac:dyDescent="0.2">
      <c r="A135" s="13" t="s">
        <v>386</v>
      </c>
      <c r="B135" s="232"/>
      <c r="C135" s="302"/>
      <c r="D135" s="170"/>
      <c r="E135" s="11"/>
      <c r="F135" s="232"/>
      <c r="G135" s="302"/>
      <c r="H135" s="418"/>
      <c r="I135" s="24"/>
      <c r="J135" s="301"/>
      <c r="K135" s="301"/>
      <c r="L135" s="414"/>
      <c r="M135" s="11"/>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405" priority="12">
      <formula>kvartal &lt; 4</formula>
    </cfRule>
  </conditionalFormatting>
  <conditionalFormatting sqref="A69:A74">
    <cfRule type="expression" dxfId="404" priority="10">
      <formula>kvartal &lt; 4</formula>
    </cfRule>
  </conditionalFormatting>
  <conditionalFormatting sqref="A80:A85">
    <cfRule type="expression" dxfId="403" priority="9">
      <formula>kvartal &lt; 4</formula>
    </cfRule>
  </conditionalFormatting>
  <conditionalFormatting sqref="A90:A95">
    <cfRule type="expression" dxfId="402" priority="6">
      <formula>kvartal &lt; 4</formula>
    </cfRule>
  </conditionalFormatting>
  <conditionalFormatting sqref="A101:A106">
    <cfRule type="expression" dxfId="401" priority="5">
      <formula>kvartal &lt; 4</formula>
    </cfRule>
  </conditionalFormatting>
  <conditionalFormatting sqref="A115">
    <cfRule type="expression" dxfId="400" priority="4">
      <formula>kvartal &lt; 4</formula>
    </cfRule>
  </conditionalFormatting>
  <conditionalFormatting sqref="A123">
    <cfRule type="expression" dxfId="399" priority="3">
      <formula>kvartal &lt; 4</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N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244" t="s">
        <v>85</v>
      </c>
      <c r="D1" s="26"/>
      <c r="E1" s="26"/>
      <c r="F1" s="26"/>
      <c r="G1" s="26"/>
      <c r="H1" s="26"/>
      <c r="I1" s="26"/>
      <c r="J1" s="26"/>
      <c r="K1" s="26"/>
      <c r="L1" s="26"/>
      <c r="M1" s="26"/>
    </row>
    <row r="2" spans="1:14" ht="15.75" x14ac:dyDescent="0.25">
      <c r="A2" s="164" t="s">
        <v>28</v>
      </c>
      <c r="B2" s="729"/>
      <c r="C2" s="729"/>
      <c r="D2" s="729"/>
      <c r="E2" s="292"/>
      <c r="F2" s="729"/>
      <c r="G2" s="729"/>
      <c r="H2" s="729"/>
      <c r="I2" s="292"/>
      <c r="J2" s="729"/>
      <c r="K2" s="729"/>
      <c r="L2" s="729"/>
      <c r="M2" s="292"/>
    </row>
    <row r="3" spans="1:14" ht="15.75" x14ac:dyDescent="0.25">
      <c r="A3" s="162"/>
      <c r="B3" s="292"/>
      <c r="C3" s="292"/>
      <c r="D3" s="292"/>
      <c r="E3" s="292"/>
      <c r="F3" s="292"/>
      <c r="G3" s="292"/>
      <c r="H3" s="292"/>
      <c r="I3" s="292"/>
      <c r="J3" s="292"/>
      <c r="K3" s="292"/>
      <c r="L3" s="292"/>
      <c r="M3" s="292"/>
    </row>
    <row r="4" spans="1:14" x14ac:dyDescent="0.2">
      <c r="A4" s="144"/>
      <c r="B4" s="725" t="s">
        <v>0</v>
      </c>
      <c r="C4" s="726"/>
      <c r="D4" s="726"/>
      <c r="E4" s="294"/>
      <c r="F4" s="725" t="s">
        <v>1</v>
      </c>
      <c r="G4" s="726"/>
      <c r="H4" s="726"/>
      <c r="I4" s="297"/>
      <c r="J4" s="725" t="s">
        <v>2</v>
      </c>
      <c r="K4" s="726"/>
      <c r="L4" s="726"/>
      <c r="M4" s="297"/>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v>86830</v>
      </c>
      <c r="C7" s="300">
        <v>92020</v>
      </c>
      <c r="D7" s="340">
        <f>IF(B7=0, "    ---- ", IF(ABS(ROUND(100/B7*C7-100,1))&lt;999,ROUND(100/B7*C7-100,1),IF(ROUND(100/B7*C7-100,1)&gt;999,999,-999)))</f>
        <v>6</v>
      </c>
      <c r="E7" s="11">
        <f>IFERROR(100/'Skjema total MA'!C7*C7,0)</f>
        <v>5.308020412621004</v>
      </c>
      <c r="F7" s="299"/>
      <c r="G7" s="300"/>
      <c r="H7" s="340"/>
      <c r="I7" s="159"/>
      <c r="J7" s="301">
        <f t="shared" ref="J7:K9" si="0">SUM(B7,F7)</f>
        <v>86830</v>
      </c>
      <c r="K7" s="302">
        <f t="shared" si="0"/>
        <v>92020</v>
      </c>
      <c r="L7" s="413">
        <f>IF(J7=0, "    ---- ", IF(ABS(ROUND(100/J7*K7-100,1))&lt;999,ROUND(100/J7*K7-100,1),IF(ROUND(100/J7*K7-100,1)&gt;999,999,-999)))</f>
        <v>6</v>
      </c>
      <c r="M7" s="11">
        <f>IFERROR(100/'Skjema total MA'!I7*K7,0)</f>
        <v>1.7803576967012489</v>
      </c>
    </row>
    <row r="8" spans="1:14" ht="15.75" x14ac:dyDescent="0.2">
      <c r="A8" s="21" t="s">
        <v>25</v>
      </c>
      <c r="B8" s="277">
        <v>42218</v>
      </c>
      <c r="C8" s="278">
        <v>44299</v>
      </c>
      <c r="D8" s="165">
        <f t="shared" ref="D8:D9" si="1">IF(B8=0, "    ---- ", IF(ABS(ROUND(100/B8*C8-100,1))&lt;999,ROUND(100/B8*C8-100,1),IF(ROUND(100/B8*C8-100,1)&gt;999,999,-999)))</f>
        <v>4.9000000000000004</v>
      </c>
      <c r="E8" s="27">
        <f>IFERROR(100/'Skjema total MA'!C8*C8,0)</f>
        <v>3.8090391427542221</v>
      </c>
      <c r="F8" s="281"/>
      <c r="G8" s="282"/>
      <c r="H8" s="165"/>
      <c r="I8" s="174"/>
      <c r="J8" s="230">
        <f t="shared" si="0"/>
        <v>42218</v>
      </c>
      <c r="K8" s="283">
        <f t="shared" si="0"/>
        <v>44299</v>
      </c>
      <c r="L8" s="165">
        <f t="shared" ref="L8:L9" si="2">IF(J8=0, "    ---- ", IF(ABS(ROUND(100/J8*K8-100,1))&lt;999,ROUND(100/J8*K8-100,1),IF(ROUND(100/J8*K8-100,1)&gt;999,999,-999)))</f>
        <v>4.9000000000000004</v>
      </c>
      <c r="M8" s="27">
        <f>IFERROR(100/'Skjema total MA'!I8*K8,0)</f>
        <v>3.8090391427542221</v>
      </c>
    </row>
    <row r="9" spans="1:14" ht="15.75" x14ac:dyDescent="0.2">
      <c r="A9" s="21" t="s">
        <v>24</v>
      </c>
      <c r="B9" s="277">
        <v>44612</v>
      </c>
      <c r="C9" s="278">
        <v>47721</v>
      </c>
      <c r="D9" s="165">
        <f t="shared" si="1"/>
        <v>7</v>
      </c>
      <c r="E9" s="27">
        <f>IFERROR(100/'Skjema total MA'!C9*C9,0)</f>
        <v>13.19487791278952</v>
      </c>
      <c r="F9" s="281"/>
      <c r="G9" s="282"/>
      <c r="H9" s="165"/>
      <c r="I9" s="174"/>
      <c r="J9" s="230">
        <f t="shared" si="0"/>
        <v>44612</v>
      </c>
      <c r="K9" s="283">
        <f t="shared" si="0"/>
        <v>47721</v>
      </c>
      <c r="L9" s="165">
        <f t="shared" si="2"/>
        <v>7</v>
      </c>
      <c r="M9" s="27">
        <f>IFERROR(100/'Skjema total MA'!I9*K9,0)</f>
        <v>13.19487791278952</v>
      </c>
    </row>
    <row r="10" spans="1:14" ht="15.75" x14ac:dyDescent="0.2">
      <c r="A10" s="13" t="s">
        <v>359</v>
      </c>
      <c r="B10" s="303"/>
      <c r="C10" s="304"/>
      <c r="D10" s="170"/>
      <c r="E10" s="11"/>
      <c r="F10" s="303"/>
      <c r="G10" s="304"/>
      <c r="H10" s="170"/>
      <c r="I10" s="159"/>
      <c r="J10" s="301"/>
      <c r="K10" s="302"/>
      <c r="L10" s="414"/>
      <c r="M10" s="11"/>
    </row>
    <row r="11" spans="1:14" s="43" customFormat="1" ht="15.75" x14ac:dyDescent="0.2">
      <c r="A11" s="13" t="s">
        <v>360</v>
      </c>
      <c r="B11" s="303"/>
      <c r="C11" s="304"/>
      <c r="D11" s="170"/>
      <c r="E11" s="11"/>
      <c r="F11" s="303"/>
      <c r="G11" s="304"/>
      <c r="H11" s="170"/>
      <c r="I11" s="159"/>
      <c r="J11" s="301"/>
      <c r="K11" s="302"/>
      <c r="L11" s="414"/>
      <c r="M11" s="11"/>
      <c r="N11" s="143"/>
    </row>
    <row r="12" spans="1:14" s="43" customFormat="1" ht="15.75" x14ac:dyDescent="0.2">
      <c r="A12" s="41" t="s">
        <v>361</v>
      </c>
      <c r="B12" s="305"/>
      <c r="C12" s="306"/>
      <c r="D12" s="168"/>
      <c r="E12" s="36"/>
      <c r="F12" s="305"/>
      <c r="G12" s="306"/>
      <c r="H12" s="168"/>
      <c r="I12" s="168"/>
      <c r="J12" s="307"/>
      <c r="K12" s="308"/>
      <c r="L12" s="415"/>
      <c r="M12" s="36"/>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292"/>
      <c r="F18" s="724"/>
      <c r="G18" s="724"/>
      <c r="H18" s="724"/>
      <c r="I18" s="292"/>
      <c r="J18" s="724"/>
      <c r="K18" s="724"/>
      <c r="L18" s="724"/>
      <c r="M18" s="292"/>
    </row>
    <row r="19" spans="1:14" x14ac:dyDescent="0.2">
      <c r="A19" s="144"/>
      <c r="B19" s="725" t="s">
        <v>0</v>
      </c>
      <c r="C19" s="726"/>
      <c r="D19" s="726"/>
      <c r="E19" s="294"/>
      <c r="F19" s="725" t="s">
        <v>1</v>
      </c>
      <c r="G19" s="726"/>
      <c r="H19" s="726"/>
      <c r="I19" s="297"/>
      <c r="J19" s="725" t="s">
        <v>2</v>
      </c>
      <c r="K19" s="726"/>
      <c r="L19" s="726"/>
      <c r="M19" s="297"/>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303"/>
      <c r="C22" s="303"/>
      <c r="D22" s="340"/>
      <c r="E22" s="11"/>
      <c r="F22" s="311"/>
      <c r="G22" s="311"/>
      <c r="H22" s="340"/>
      <c r="I22" s="11"/>
      <c r="J22" s="309"/>
      <c r="K22" s="309"/>
      <c r="L22" s="413"/>
      <c r="M22" s="24"/>
    </row>
    <row r="23" spans="1:14" ht="15.75" x14ac:dyDescent="0.2">
      <c r="A23" s="555" t="s">
        <v>362</v>
      </c>
      <c r="B23" s="277"/>
      <c r="C23" s="277"/>
      <c r="D23" s="165"/>
      <c r="E23" s="11"/>
      <c r="F23" s="286"/>
      <c r="G23" s="286"/>
      <c r="H23" s="165"/>
      <c r="I23" s="403"/>
      <c r="J23" s="286"/>
      <c r="K23" s="286"/>
      <c r="L23" s="165"/>
      <c r="M23" s="23"/>
    </row>
    <row r="24" spans="1:14" ht="15.75" x14ac:dyDescent="0.2">
      <c r="A24" s="555" t="s">
        <v>363</v>
      </c>
      <c r="B24" s="277"/>
      <c r="C24" s="277"/>
      <c r="D24" s="165"/>
      <c r="E24" s="11"/>
      <c r="F24" s="286"/>
      <c r="G24" s="286"/>
      <c r="H24" s="165"/>
      <c r="I24" s="403"/>
      <c r="J24" s="286"/>
      <c r="K24" s="286"/>
      <c r="L24" s="165"/>
      <c r="M24" s="23"/>
    </row>
    <row r="25" spans="1:14" ht="15.75" x14ac:dyDescent="0.2">
      <c r="A25" s="555" t="s">
        <v>364</v>
      </c>
      <c r="B25" s="277"/>
      <c r="C25" s="277"/>
      <c r="D25" s="165"/>
      <c r="E25" s="11"/>
      <c r="F25" s="286"/>
      <c r="G25" s="286"/>
      <c r="H25" s="165"/>
      <c r="I25" s="403"/>
      <c r="J25" s="286"/>
      <c r="K25" s="286"/>
      <c r="L25" s="165"/>
      <c r="M25" s="23"/>
    </row>
    <row r="26" spans="1:14" ht="15.75" x14ac:dyDescent="0.2">
      <c r="A26" s="555" t="s">
        <v>365</v>
      </c>
      <c r="B26" s="277"/>
      <c r="C26" s="277"/>
      <c r="D26" s="165"/>
      <c r="E26" s="11"/>
      <c r="F26" s="286"/>
      <c r="G26" s="286"/>
      <c r="H26" s="165"/>
      <c r="I26" s="403"/>
      <c r="J26" s="286"/>
      <c r="K26" s="286"/>
      <c r="L26" s="165"/>
      <c r="M26" s="23"/>
    </row>
    <row r="27" spans="1:14" x14ac:dyDescent="0.2">
      <c r="A27" s="555" t="s">
        <v>11</v>
      </c>
      <c r="B27" s="277"/>
      <c r="C27" s="277"/>
      <c r="D27" s="165"/>
      <c r="E27" s="11"/>
      <c r="F27" s="286"/>
      <c r="G27" s="286"/>
      <c r="H27" s="165"/>
      <c r="I27" s="403"/>
      <c r="J27" s="286"/>
      <c r="K27" s="286"/>
      <c r="L27" s="165"/>
      <c r="M27" s="23"/>
    </row>
    <row r="28" spans="1:14" ht="15.75" x14ac:dyDescent="0.2">
      <c r="A28" s="49" t="s">
        <v>270</v>
      </c>
      <c r="B28" s="44"/>
      <c r="C28" s="283"/>
      <c r="D28" s="165"/>
      <c r="E28" s="11"/>
      <c r="F28" s="230"/>
      <c r="G28" s="283"/>
      <c r="H28" s="165"/>
      <c r="I28" s="27"/>
      <c r="J28" s="44"/>
      <c r="K28" s="44"/>
      <c r="L28" s="250"/>
      <c r="M28" s="23"/>
    </row>
    <row r="29" spans="1:14" s="3" customFormat="1" ht="15.75" x14ac:dyDescent="0.2">
      <c r="A29" s="13" t="s">
        <v>359</v>
      </c>
      <c r="B29" s="232"/>
      <c r="C29" s="232"/>
      <c r="D29" s="170"/>
      <c r="E29" s="11"/>
      <c r="F29" s="301"/>
      <c r="G29" s="301"/>
      <c r="H29" s="170"/>
      <c r="I29" s="11"/>
      <c r="J29" s="232"/>
      <c r="K29" s="232"/>
      <c r="L29" s="414"/>
      <c r="M29" s="24"/>
      <c r="N29" s="148"/>
    </row>
    <row r="30" spans="1:14" s="3" customFormat="1" ht="15.75" x14ac:dyDescent="0.2">
      <c r="A30" s="555" t="s">
        <v>362</v>
      </c>
      <c r="B30" s="277"/>
      <c r="C30" s="277"/>
      <c r="D30" s="165"/>
      <c r="E30" s="11"/>
      <c r="F30" s="286"/>
      <c r="G30" s="286"/>
      <c r="H30" s="165"/>
      <c r="I30" s="403"/>
      <c r="J30" s="286"/>
      <c r="K30" s="286"/>
      <c r="L30" s="165"/>
      <c r="M30" s="23"/>
      <c r="N30" s="148"/>
    </row>
    <row r="31" spans="1:14" s="3" customFormat="1" ht="15.75" x14ac:dyDescent="0.2">
      <c r="A31" s="555" t="s">
        <v>363</v>
      </c>
      <c r="B31" s="277"/>
      <c r="C31" s="277"/>
      <c r="D31" s="165"/>
      <c r="E31" s="11"/>
      <c r="F31" s="286"/>
      <c r="G31" s="286"/>
      <c r="H31" s="165"/>
      <c r="I31" s="403"/>
      <c r="J31" s="286"/>
      <c r="K31" s="286"/>
      <c r="L31" s="165"/>
      <c r="M31" s="23"/>
      <c r="N31" s="148"/>
    </row>
    <row r="32" spans="1:14" ht="15.75" x14ac:dyDescent="0.2">
      <c r="A32" s="555" t="s">
        <v>364</v>
      </c>
      <c r="B32" s="277"/>
      <c r="C32" s="277"/>
      <c r="D32" s="165"/>
      <c r="E32" s="11"/>
      <c r="F32" s="286"/>
      <c r="G32" s="286"/>
      <c r="H32" s="165"/>
      <c r="I32" s="403"/>
      <c r="J32" s="286"/>
      <c r="K32" s="286"/>
      <c r="L32" s="165"/>
      <c r="M32" s="23"/>
    </row>
    <row r="33" spans="1:14" ht="15.75" x14ac:dyDescent="0.2">
      <c r="A33" s="555" t="s">
        <v>365</v>
      </c>
      <c r="B33" s="277"/>
      <c r="C33" s="277"/>
      <c r="D33" s="165"/>
      <c r="E33" s="11"/>
      <c r="F33" s="286"/>
      <c r="G33" s="286"/>
      <c r="H33" s="165"/>
      <c r="I33" s="403"/>
      <c r="J33" s="286"/>
      <c r="K33" s="286"/>
      <c r="L33" s="165"/>
      <c r="M33" s="23"/>
    </row>
    <row r="34" spans="1:14" ht="15.75" x14ac:dyDescent="0.2">
      <c r="A34" s="13" t="s">
        <v>360</v>
      </c>
      <c r="B34" s="232"/>
      <c r="C34" s="302"/>
      <c r="D34" s="170"/>
      <c r="E34" s="11"/>
      <c r="F34" s="301"/>
      <c r="G34" s="302"/>
      <c r="H34" s="170"/>
      <c r="I34" s="11"/>
      <c r="J34" s="232"/>
      <c r="K34" s="232"/>
      <c r="L34" s="414"/>
      <c r="M34" s="24"/>
    </row>
    <row r="35" spans="1:14" ht="15.75" x14ac:dyDescent="0.2">
      <c r="A35" s="13" t="s">
        <v>361</v>
      </c>
      <c r="B35" s="232"/>
      <c r="C35" s="302"/>
      <c r="D35" s="170"/>
      <c r="E35" s="11"/>
      <c r="F35" s="301"/>
      <c r="G35" s="302"/>
      <c r="H35" s="170"/>
      <c r="I35" s="11"/>
      <c r="J35" s="232"/>
      <c r="K35" s="232"/>
      <c r="L35" s="414"/>
      <c r="M35" s="24"/>
    </row>
    <row r="36" spans="1:14" ht="15.75" x14ac:dyDescent="0.2">
      <c r="A36" s="12" t="s">
        <v>278</v>
      </c>
      <c r="B36" s="232"/>
      <c r="C36" s="302"/>
      <c r="D36" s="170"/>
      <c r="E36" s="11"/>
      <c r="F36" s="312"/>
      <c r="G36" s="313"/>
      <c r="H36" s="170"/>
      <c r="I36" s="420"/>
      <c r="J36" s="232"/>
      <c r="K36" s="232"/>
      <c r="L36" s="414"/>
      <c r="M36" s="24"/>
    </row>
    <row r="37" spans="1:14" ht="15.75" x14ac:dyDescent="0.2">
      <c r="A37" s="12" t="s">
        <v>367</v>
      </c>
      <c r="B37" s="232"/>
      <c r="C37" s="302"/>
      <c r="D37" s="170"/>
      <c r="E37" s="11"/>
      <c r="F37" s="312"/>
      <c r="G37" s="314"/>
      <c r="H37" s="170"/>
      <c r="I37" s="420"/>
      <c r="J37" s="232"/>
      <c r="K37" s="232"/>
      <c r="L37" s="414"/>
      <c r="M37" s="24"/>
    </row>
    <row r="38" spans="1:14" ht="15.75" x14ac:dyDescent="0.2">
      <c r="A38" s="12" t="s">
        <v>368</v>
      </c>
      <c r="B38" s="232"/>
      <c r="C38" s="302"/>
      <c r="D38" s="170"/>
      <c r="E38" s="24"/>
      <c r="F38" s="312"/>
      <c r="G38" s="313"/>
      <c r="H38" s="170"/>
      <c r="I38" s="420"/>
      <c r="J38" s="232"/>
      <c r="K38" s="232"/>
      <c r="L38" s="414"/>
      <c r="M38" s="24"/>
    </row>
    <row r="39" spans="1:14" ht="15.75" x14ac:dyDescent="0.2">
      <c r="A39" s="18" t="s">
        <v>369</v>
      </c>
      <c r="B39" s="272"/>
      <c r="C39" s="308"/>
      <c r="D39" s="168"/>
      <c r="E39" s="36"/>
      <c r="F39" s="315"/>
      <c r="G39" s="316"/>
      <c r="H39" s="168"/>
      <c r="I39" s="36"/>
      <c r="J39" s="232"/>
      <c r="K39" s="232"/>
      <c r="L39" s="415"/>
      <c r="M39" s="36"/>
    </row>
    <row r="40" spans="1:14" ht="15.75" x14ac:dyDescent="0.25">
      <c r="A40" s="47"/>
      <c r="B40" s="249"/>
      <c r="C40" s="249"/>
      <c r="D40" s="728"/>
      <c r="E40" s="728"/>
      <c r="F40" s="728"/>
      <c r="G40" s="728"/>
      <c r="H40" s="728"/>
      <c r="I40" s="728"/>
      <c r="J40" s="728"/>
      <c r="K40" s="728"/>
      <c r="L40" s="728"/>
      <c r="M40" s="295"/>
    </row>
    <row r="41" spans="1:14" x14ac:dyDescent="0.2">
      <c r="A41" s="154"/>
    </row>
    <row r="42" spans="1:14" ht="15.75" x14ac:dyDescent="0.25">
      <c r="A42" s="147" t="s">
        <v>267</v>
      </c>
      <c r="B42" s="729"/>
      <c r="C42" s="729"/>
      <c r="D42" s="729"/>
      <c r="E42" s="292"/>
      <c r="F42" s="730"/>
      <c r="G42" s="730"/>
      <c r="H42" s="730"/>
      <c r="I42" s="295"/>
      <c r="J42" s="730"/>
      <c r="K42" s="730"/>
      <c r="L42" s="730"/>
      <c r="M42" s="295"/>
    </row>
    <row r="43" spans="1:14" ht="15.75" x14ac:dyDescent="0.25">
      <c r="A43" s="162"/>
      <c r="B43" s="296"/>
      <c r="C43" s="296"/>
      <c r="D43" s="296"/>
      <c r="E43" s="296"/>
      <c r="F43" s="295"/>
      <c r="G43" s="295"/>
      <c r="H43" s="295"/>
      <c r="I43" s="295"/>
      <c r="J43" s="295"/>
      <c r="K43" s="295"/>
      <c r="L43" s="295"/>
      <c r="M43" s="295"/>
    </row>
    <row r="44" spans="1:14" ht="15.75" x14ac:dyDescent="0.25">
      <c r="A44" s="243"/>
      <c r="B44" s="725" t="s">
        <v>0</v>
      </c>
      <c r="C44" s="726"/>
      <c r="D44" s="726"/>
      <c r="E44" s="239"/>
      <c r="F44" s="295"/>
      <c r="G44" s="295"/>
      <c r="H44" s="295"/>
      <c r="I44" s="295"/>
      <c r="J44" s="295"/>
      <c r="K44" s="295"/>
      <c r="L44" s="295"/>
      <c r="M44" s="295"/>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c r="C47" s="304">
        <v>24583</v>
      </c>
      <c r="D47" s="413" t="str">
        <f t="shared" ref="D47:D48" si="3">IF(B47=0, "    ---- ", IF(ABS(ROUND(100/B47*C47-100,1))&lt;999,ROUND(100/B47*C47-100,1),IF(ROUND(100/B47*C47-100,1)&gt;999,999,-999)))</f>
        <v xml:space="preserve">    ---- </v>
      </c>
      <c r="E47" s="11">
        <f>IFERROR(100/'Skjema total MA'!C47*C47,0)</f>
        <v>0.71141842375130215</v>
      </c>
      <c r="F47" s="145"/>
      <c r="G47" s="33"/>
      <c r="H47" s="158"/>
      <c r="I47" s="158"/>
      <c r="J47" s="37"/>
      <c r="K47" s="37"/>
      <c r="L47" s="158"/>
      <c r="M47" s="158"/>
      <c r="N47" s="148"/>
    </row>
    <row r="48" spans="1:14" s="3" customFormat="1" ht="15.75" x14ac:dyDescent="0.2">
      <c r="A48" s="38" t="s">
        <v>370</v>
      </c>
      <c r="B48" s="277"/>
      <c r="C48" s="278">
        <v>24583</v>
      </c>
      <c r="D48" s="250" t="str">
        <f t="shared" si="3"/>
        <v xml:space="preserve">    ---- </v>
      </c>
      <c r="E48" s="27">
        <f>IFERROR(100/'Skjema total MA'!C48*C48,0)</f>
        <v>1.3008883187338354</v>
      </c>
      <c r="F48" s="145"/>
      <c r="G48" s="33"/>
      <c r="H48" s="145"/>
      <c r="I48" s="145"/>
      <c r="J48" s="33"/>
      <c r="K48" s="33"/>
      <c r="L48" s="158"/>
      <c r="M48" s="158"/>
      <c r="N48" s="148"/>
    </row>
    <row r="49" spans="1:14" s="3" customFormat="1" ht="15.75" x14ac:dyDescent="0.2">
      <c r="A49" s="38" t="s">
        <v>371</v>
      </c>
      <c r="B49" s="44"/>
      <c r="C49" s="283"/>
      <c r="D49" s="250"/>
      <c r="E49" s="27"/>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c r="C53" s="304"/>
      <c r="D53" s="414"/>
      <c r="E53" s="11"/>
      <c r="F53" s="145"/>
      <c r="G53" s="33"/>
      <c r="H53" s="145"/>
      <c r="I53" s="145"/>
      <c r="J53" s="33"/>
      <c r="K53" s="33"/>
      <c r="L53" s="158"/>
      <c r="M53" s="158"/>
      <c r="N53" s="148"/>
    </row>
    <row r="54" spans="1:14" s="3" customFormat="1" ht="15.75" x14ac:dyDescent="0.2">
      <c r="A54" s="38" t="s">
        <v>370</v>
      </c>
      <c r="B54" s="277"/>
      <c r="C54" s="278"/>
      <c r="D54" s="250"/>
      <c r="E54" s="27"/>
      <c r="F54" s="145"/>
      <c r="G54" s="33"/>
      <c r="H54" s="145"/>
      <c r="I54" s="145"/>
      <c r="J54" s="33"/>
      <c r="K54" s="33"/>
      <c r="L54" s="158"/>
      <c r="M54" s="158"/>
      <c r="N54" s="148"/>
    </row>
    <row r="55" spans="1:14" s="3" customFormat="1" ht="15.75" x14ac:dyDescent="0.2">
      <c r="A55" s="38" t="s">
        <v>371</v>
      </c>
      <c r="B55" s="277"/>
      <c r="C55" s="278"/>
      <c r="D55" s="250"/>
      <c r="E55" s="27"/>
      <c r="F55" s="145"/>
      <c r="G55" s="33"/>
      <c r="H55" s="145"/>
      <c r="I55" s="145"/>
      <c r="J55" s="33"/>
      <c r="K55" s="33"/>
      <c r="L55" s="158"/>
      <c r="M55" s="158"/>
      <c r="N55" s="148"/>
    </row>
    <row r="56" spans="1:14" s="3" customFormat="1" ht="15.75" x14ac:dyDescent="0.2">
      <c r="A56" s="39" t="s">
        <v>373</v>
      </c>
      <c r="B56" s="303"/>
      <c r="C56" s="304"/>
      <c r="D56" s="414"/>
      <c r="E56" s="11"/>
      <c r="F56" s="145"/>
      <c r="G56" s="33"/>
      <c r="H56" s="145"/>
      <c r="I56" s="145"/>
      <c r="J56" s="33"/>
      <c r="K56" s="33"/>
      <c r="L56" s="158"/>
      <c r="M56" s="158"/>
      <c r="N56" s="148"/>
    </row>
    <row r="57" spans="1:14" s="3" customFormat="1" ht="15.75" x14ac:dyDescent="0.2">
      <c r="A57" s="38" t="s">
        <v>370</v>
      </c>
      <c r="B57" s="277"/>
      <c r="C57" s="278"/>
      <c r="D57" s="250"/>
      <c r="E57" s="27"/>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292"/>
      <c r="F62" s="724"/>
      <c r="G62" s="724"/>
      <c r="H62" s="724"/>
      <c r="I62" s="292"/>
      <c r="J62" s="724"/>
      <c r="K62" s="724"/>
      <c r="L62" s="724"/>
      <c r="M62" s="292"/>
    </row>
    <row r="63" spans="1:14" x14ac:dyDescent="0.2">
      <c r="A63" s="144"/>
      <c r="B63" s="725" t="s">
        <v>0</v>
      </c>
      <c r="C63" s="726"/>
      <c r="D63" s="727"/>
      <c r="E63" s="293"/>
      <c r="F63" s="726" t="s">
        <v>1</v>
      </c>
      <c r="G63" s="726"/>
      <c r="H63" s="726"/>
      <c r="I63" s="297"/>
      <c r="J63" s="725" t="s">
        <v>2</v>
      </c>
      <c r="K63" s="726"/>
      <c r="L63" s="726"/>
      <c r="M63" s="297"/>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c r="C66" s="343"/>
      <c r="D66" s="340"/>
      <c r="E66" s="11"/>
      <c r="F66" s="342"/>
      <c r="G66" s="342"/>
      <c r="H66" s="340"/>
      <c r="I66" s="11"/>
      <c r="J66" s="302"/>
      <c r="K66" s="309"/>
      <c r="L66" s="414"/>
      <c r="M66" s="11"/>
    </row>
    <row r="67" spans="1:14" x14ac:dyDescent="0.2">
      <c r="A67" s="405" t="s">
        <v>9</v>
      </c>
      <c r="B67" s="44"/>
      <c r="C67" s="145"/>
      <c r="D67" s="165"/>
      <c r="E67" s="27"/>
      <c r="F67" s="230"/>
      <c r="G67" s="145"/>
      <c r="H67" s="165"/>
      <c r="I67" s="27"/>
      <c r="J67" s="283"/>
      <c r="K67" s="44"/>
      <c r="L67" s="250"/>
      <c r="M67" s="27"/>
    </row>
    <row r="68" spans="1:14" x14ac:dyDescent="0.2">
      <c r="A68" s="21" t="s">
        <v>10</v>
      </c>
      <c r="B68" s="287"/>
      <c r="C68" s="288"/>
      <c r="D68" s="165"/>
      <c r="E68" s="27"/>
      <c r="F68" s="287"/>
      <c r="G68" s="288"/>
      <c r="H68" s="165"/>
      <c r="I68" s="27"/>
      <c r="J68" s="283"/>
      <c r="K68" s="44"/>
      <c r="L68" s="250"/>
      <c r="M68" s="27"/>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c r="C75" s="145"/>
      <c r="D75" s="165"/>
      <c r="E75" s="27"/>
      <c r="F75" s="230"/>
      <c r="G75" s="145"/>
      <c r="H75" s="165"/>
      <c r="I75" s="27"/>
      <c r="J75" s="283"/>
      <c r="K75" s="44"/>
      <c r="L75" s="250"/>
      <c r="M75" s="27"/>
      <c r="N75" s="148"/>
    </row>
    <row r="76" spans="1:14" s="3" customFormat="1" x14ac:dyDescent="0.2">
      <c r="A76" s="21" t="s">
        <v>343</v>
      </c>
      <c r="B76" s="230"/>
      <c r="C76" s="145"/>
      <c r="D76" s="165"/>
      <c r="E76" s="27"/>
      <c r="F76" s="230"/>
      <c r="G76" s="145"/>
      <c r="H76" s="165"/>
      <c r="I76" s="27"/>
      <c r="J76" s="283"/>
      <c r="K76" s="44"/>
      <c r="L76" s="250"/>
      <c r="M76" s="27"/>
      <c r="N76" s="148"/>
    </row>
    <row r="77" spans="1:14" ht="15.75" x14ac:dyDescent="0.2">
      <c r="A77" s="21" t="s">
        <v>376</v>
      </c>
      <c r="B77" s="230"/>
      <c r="C77" s="230"/>
      <c r="D77" s="165"/>
      <c r="E77" s="27"/>
      <c r="F77" s="230"/>
      <c r="G77" s="145"/>
      <c r="H77" s="165"/>
      <c r="I77" s="27"/>
      <c r="J77" s="283"/>
      <c r="K77" s="44"/>
      <c r="L77" s="250"/>
      <c r="M77" s="27"/>
    </row>
    <row r="78" spans="1:14" x14ac:dyDescent="0.2">
      <c r="A78" s="21" t="s">
        <v>9</v>
      </c>
      <c r="B78" s="230"/>
      <c r="C78" s="145"/>
      <c r="D78" s="165"/>
      <c r="E78" s="27"/>
      <c r="F78" s="230"/>
      <c r="G78" s="145"/>
      <c r="H78" s="165"/>
      <c r="I78" s="27"/>
      <c r="J78" s="283"/>
      <c r="K78" s="44"/>
      <c r="L78" s="250"/>
      <c r="M78" s="27"/>
    </row>
    <row r="79" spans="1:14" x14ac:dyDescent="0.2">
      <c r="A79" s="38" t="s">
        <v>413</v>
      </c>
      <c r="B79" s="287"/>
      <c r="C79" s="288"/>
      <c r="D79" s="165"/>
      <c r="E79" s="27"/>
      <c r="F79" s="287"/>
      <c r="G79" s="288"/>
      <c r="H79" s="165"/>
      <c r="I79" s="27"/>
      <c r="J79" s="283"/>
      <c r="K79" s="44"/>
      <c r="L79" s="250"/>
      <c r="M79" s="27"/>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c r="C86" s="145"/>
      <c r="D86" s="165"/>
      <c r="E86" s="27"/>
      <c r="F86" s="230"/>
      <c r="G86" s="145"/>
      <c r="H86" s="165"/>
      <c r="I86" s="27"/>
      <c r="J86" s="283"/>
      <c r="K86" s="44"/>
      <c r="L86" s="250"/>
      <c r="M86" s="27"/>
    </row>
    <row r="87" spans="1:13" ht="15.75" x14ac:dyDescent="0.2">
      <c r="A87" s="13" t="s">
        <v>359</v>
      </c>
      <c r="B87" s="343"/>
      <c r="C87" s="343"/>
      <c r="D87" s="170"/>
      <c r="E87" s="11"/>
      <c r="F87" s="342"/>
      <c r="G87" s="342"/>
      <c r="H87" s="170"/>
      <c r="I87" s="11"/>
      <c r="J87" s="302"/>
      <c r="K87" s="232"/>
      <c r="L87" s="414"/>
      <c r="M87" s="11"/>
    </row>
    <row r="88" spans="1:13" x14ac:dyDescent="0.2">
      <c r="A88" s="21" t="s">
        <v>9</v>
      </c>
      <c r="B88" s="230"/>
      <c r="C88" s="145"/>
      <c r="D88" s="165"/>
      <c r="E88" s="27"/>
      <c r="F88" s="230"/>
      <c r="G88" s="145"/>
      <c r="H88" s="165"/>
      <c r="I88" s="27"/>
      <c r="J88" s="283"/>
      <c r="K88" s="44"/>
      <c r="L88" s="250"/>
      <c r="M88" s="27"/>
    </row>
    <row r="89" spans="1:13" x14ac:dyDescent="0.2">
      <c r="A89" s="21" t="s">
        <v>10</v>
      </c>
      <c r="B89" s="230"/>
      <c r="C89" s="145"/>
      <c r="D89" s="165"/>
      <c r="E89" s="27"/>
      <c r="F89" s="230"/>
      <c r="G89" s="145"/>
      <c r="H89" s="165"/>
      <c r="I89" s="27"/>
      <c r="J89" s="283"/>
      <c r="K89" s="44"/>
      <c r="L89" s="250"/>
      <c r="M89" s="27"/>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c r="C97" s="145"/>
      <c r="D97" s="165"/>
      <c r="E97" s="27"/>
      <c r="F97" s="230"/>
      <c r="G97" s="145"/>
      <c r="H97" s="165"/>
      <c r="I97" s="27"/>
      <c r="J97" s="283"/>
      <c r="K97" s="44"/>
      <c r="L97" s="250"/>
      <c r="M97" s="27"/>
    </row>
    <row r="98" spans="1:13" ht="15.75" x14ac:dyDescent="0.2">
      <c r="A98" s="21" t="s">
        <v>376</v>
      </c>
      <c r="B98" s="230"/>
      <c r="C98" s="230"/>
      <c r="D98" s="165"/>
      <c r="E98" s="27"/>
      <c r="F98" s="287"/>
      <c r="G98" s="287"/>
      <c r="H98" s="165"/>
      <c r="I98" s="27"/>
      <c r="J98" s="283"/>
      <c r="K98" s="44"/>
      <c r="L98" s="250"/>
      <c r="M98" s="27"/>
    </row>
    <row r="99" spans="1:13" x14ac:dyDescent="0.2">
      <c r="A99" s="21" t="s">
        <v>9</v>
      </c>
      <c r="B99" s="287"/>
      <c r="C99" s="288"/>
      <c r="D99" s="165"/>
      <c r="E99" s="27"/>
      <c r="F99" s="230"/>
      <c r="G99" s="145"/>
      <c r="H99" s="165"/>
      <c r="I99" s="27"/>
      <c r="J99" s="283"/>
      <c r="K99" s="44"/>
      <c r="L99" s="250"/>
      <c r="M99" s="27"/>
    </row>
    <row r="100" spans="1:13" x14ac:dyDescent="0.2">
      <c r="A100" s="38" t="s">
        <v>413</v>
      </c>
      <c r="B100" s="287"/>
      <c r="C100" s="288"/>
      <c r="D100" s="165"/>
      <c r="E100" s="27"/>
      <c r="F100" s="230"/>
      <c r="G100" s="230"/>
      <c r="H100" s="165"/>
      <c r="I100" s="27"/>
      <c r="J100" s="283"/>
      <c r="K100" s="44"/>
      <c r="L100" s="250"/>
      <c r="M100" s="27"/>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c r="C107" s="145"/>
      <c r="D107" s="165"/>
      <c r="E107" s="27"/>
      <c r="F107" s="230"/>
      <c r="G107" s="145"/>
      <c r="H107" s="165"/>
      <c r="I107" s="27"/>
      <c r="J107" s="283"/>
      <c r="K107" s="44"/>
      <c r="L107" s="250"/>
      <c r="M107" s="27"/>
    </row>
    <row r="108" spans="1:13" ht="15.75" x14ac:dyDescent="0.2">
      <c r="A108" s="21" t="s">
        <v>378</v>
      </c>
      <c r="B108" s="230"/>
      <c r="C108" s="230"/>
      <c r="D108" s="165"/>
      <c r="E108" s="27"/>
      <c r="F108" s="230"/>
      <c r="G108" s="230"/>
      <c r="H108" s="165"/>
      <c r="I108" s="27"/>
      <c r="J108" s="283"/>
      <c r="K108" s="44"/>
      <c r="L108" s="250"/>
      <c r="M108" s="27"/>
    </row>
    <row r="109" spans="1:13" ht="15.6" customHeight="1" x14ac:dyDescent="0.2">
      <c r="A109" s="21" t="s">
        <v>430</v>
      </c>
      <c r="B109" s="230"/>
      <c r="C109" s="230"/>
      <c r="D109" s="165"/>
      <c r="E109" s="27"/>
      <c r="F109" s="230"/>
      <c r="G109" s="230"/>
      <c r="H109" s="165"/>
      <c r="I109" s="27"/>
      <c r="J109" s="283"/>
      <c r="K109" s="44"/>
      <c r="L109" s="250"/>
      <c r="M109" s="27"/>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c r="C111" s="158"/>
      <c r="D111" s="170"/>
      <c r="E111" s="11"/>
      <c r="F111" s="301"/>
      <c r="G111" s="158"/>
      <c r="H111" s="170"/>
      <c r="I111" s="11"/>
      <c r="J111" s="302"/>
      <c r="K111" s="232"/>
      <c r="L111" s="414"/>
      <c r="M111" s="11"/>
    </row>
    <row r="112" spans="1:13" x14ac:dyDescent="0.2">
      <c r="A112" s="21" t="s">
        <v>9</v>
      </c>
      <c r="B112" s="230"/>
      <c r="C112" s="145"/>
      <c r="D112" s="165"/>
      <c r="E112" s="27"/>
      <c r="F112" s="230"/>
      <c r="G112" s="145"/>
      <c r="H112" s="165"/>
      <c r="I112" s="27"/>
      <c r="J112" s="283"/>
      <c r="K112" s="44"/>
      <c r="L112" s="250"/>
      <c r="M112" s="27"/>
    </row>
    <row r="113" spans="1:14" x14ac:dyDescent="0.2">
      <c r="A113" s="21" t="s">
        <v>10</v>
      </c>
      <c r="B113" s="230"/>
      <c r="C113" s="145"/>
      <c r="D113" s="165"/>
      <c r="E113" s="27"/>
      <c r="F113" s="230"/>
      <c r="G113" s="145"/>
      <c r="H113" s="165"/>
      <c r="I113" s="27"/>
      <c r="J113" s="283"/>
      <c r="K113" s="44"/>
      <c r="L113" s="250"/>
      <c r="M113" s="27"/>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c r="C116" s="230"/>
      <c r="D116" s="165"/>
      <c r="E116" s="27"/>
      <c r="F116" s="230"/>
      <c r="G116" s="230"/>
      <c r="H116" s="165"/>
      <c r="I116" s="27"/>
      <c r="J116" s="283"/>
      <c r="K116" s="44"/>
      <c r="L116" s="250"/>
      <c r="M116" s="27"/>
    </row>
    <row r="117" spans="1:14" ht="15.6" customHeight="1" x14ac:dyDescent="0.2">
      <c r="A117" s="21" t="s">
        <v>430</v>
      </c>
      <c r="B117" s="230"/>
      <c r="C117" s="230"/>
      <c r="D117" s="165"/>
      <c r="E117" s="27"/>
      <c r="F117" s="230"/>
      <c r="G117" s="230"/>
      <c r="H117" s="165"/>
      <c r="I117" s="27"/>
      <c r="J117" s="283"/>
      <c r="K117" s="44"/>
      <c r="L117" s="250"/>
      <c r="M117" s="27"/>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c r="C119" s="158"/>
      <c r="D119" s="170"/>
      <c r="E119" s="11"/>
      <c r="F119" s="301"/>
      <c r="G119" s="158"/>
      <c r="H119" s="170"/>
      <c r="I119" s="11"/>
      <c r="J119" s="302"/>
      <c r="K119" s="232"/>
      <c r="L119" s="414"/>
      <c r="M119" s="11"/>
    </row>
    <row r="120" spans="1:14" x14ac:dyDescent="0.2">
      <c r="A120" s="21" t="s">
        <v>9</v>
      </c>
      <c r="B120" s="230"/>
      <c r="C120" s="145"/>
      <c r="D120" s="165"/>
      <c r="E120" s="27"/>
      <c r="F120" s="230"/>
      <c r="G120" s="145"/>
      <c r="H120" s="165"/>
      <c r="I120" s="27"/>
      <c r="J120" s="283"/>
      <c r="K120" s="44"/>
      <c r="L120" s="250"/>
      <c r="M120" s="27"/>
    </row>
    <row r="121" spans="1:14" x14ac:dyDescent="0.2">
      <c r="A121" s="21" t="s">
        <v>10</v>
      </c>
      <c r="B121" s="230"/>
      <c r="C121" s="145"/>
      <c r="D121" s="165"/>
      <c r="E121" s="27"/>
      <c r="F121" s="230"/>
      <c r="G121" s="145"/>
      <c r="H121" s="165"/>
      <c r="I121" s="27"/>
      <c r="J121" s="283"/>
      <c r="K121" s="44"/>
      <c r="L121" s="250"/>
      <c r="M121" s="27"/>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c r="C125" s="230"/>
      <c r="D125" s="165"/>
      <c r="E125" s="27"/>
      <c r="F125" s="230"/>
      <c r="G125" s="230"/>
      <c r="H125" s="165"/>
      <c r="I125" s="27"/>
      <c r="J125" s="283"/>
      <c r="K125" s="44"/>
      <c r="L125" s="250"/>
      <c r="M125" s="27"/>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292"/>
      <c r="F130" s="724"/>
      <c r="G130" s="724"/>
      <c r="H130" s="724"/>
      <c r="I130" s="292"/>
      <c r="J130" s="724"/>
      <c r="K130" s="724"/>
      <c r="L130" s="724"/>
      <c r="M130" s="292"/>
    </row>
    <row r="131" spans="1:14" s="3" customFormat="1" x14ac:dyDescent="0.2">
      <c r="A131" s="144"/>
      <c r="B131" s="725" t="s">
        <v>0</v>
      </c>
      <c r="C131" s="726"/>
      <c r="D131" s="726"/>
      <c r="E131" s="294"/>
      <c r="F131" s="725" t="s">
        <v>1</v>
      </c>
      <c r="G131" s="726"/>
      <c r="H131" s="726"/>
      <c r="I131" s="297"/>
      <c r="J131" s="725" t="s">
        <v>2</v>
      </c>
      <c r="K131" s="726"/>
      <c r="L131" s="726"/>
      <c r="M131" s="297"/>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c r="C134" s="302"/>
      <c r="D134" s="340"/>
      <c r="E134" s="11"/>
      <c r="F134" s="309"/>
      <c r="G134" s="310"/>
      <c r="H134" s="417"/>
      <c r="I134" s="24"/>
      <c r="J134" s="311"/>
      <c r="K134" s="311"/>
      <c r="L134" s="413"/>
      <c r="M134" s="11"/>
      <c r="N134" s="148"/>
    </row>
    <row r="135" spans="1:14" s="3" customFormat="1" ht="15.75" x14ac:dyDescent="0.2">
      <c r="A135" s="13" t="s">
        <v>386</v>
      </c>
      <c r="B135" s="232"/>
      <c r="C135" s="302"/>
      <c r="D135" s="170"/>
      <c r="E135" s="11"/>
      <c r="F135" s="232"/>
      <c r="G135" s="302"/>
      <c r="H135" s="418"/>
      <c r="I135" s="24"/>
      <c r="J135" s="301"/>
      <c r="K135" s="301"/>
      <c r="L135" s="414"/>
      <c r="M135" s="11"/>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98" priority="12">
      <formula>kvartal &lt; 4</formula>
    </cfRule>
  </conditionalFormatting>
  <conditionalFormatting sqref="A69:A74">
    <cfRule type="expression" dxfId="397" priority="10">
      <formula>kvartal &lt; 4</formula>
    </cfRule>
  </conditionalFormatting>
  <conditionalFormatting sqref="A80:A85">
    <cfRule type="expression" dxfId="396" priority="9">
      <formula>kvartal &lt; 4</formula>
    </cfRule>
  </conditionalFormatting>
  <conditionalFormatting sqref="A90:A95">
    <cfRule type="expression" dxfId="395" priority="6">
      <formula>kvartal &lt; 4</formula>
    </cfRule>
  </conditionalFormatting>
  <conditionalFormatting sqref="A101:A106">
    <cfRule type="expression" dxfId="394" priority="5">
      <formula>kvartal &lt; 4</formula>
    </cfRule>
  </conditionalFormatting>
  <conditionalFormatting sqref="A115">
    <cfRule type="expression" dxfId="393" priority="4">
      <formula>kvartal &lt; 4</formula>
    </cfRule>
  </conditionalFormatting>
  <conditionalFormatting sqref="A123">
    <cfRule type="expression" dxfId="392" priority="3">
      <formula>kvartal &lt; 4</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51DA9-89CE-4218-BAD2-ABC9A5D34523}">
  <dimension ref="A1:N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244" t="s">
        <v>412</v>
      </c>
      <c r="D1" s="26"/>
      <c r="E1" s="26"/>
      <c r="F1" s="26"/>
      <c r="G1" s="26"/>
      <c r="H1" s="26"/>
      <c r="I1" s="26"/>
      <c r="J1" s="26"/>
      <c r="K1" s="26"/>
      <c r="L1" s="26"/>
      <c r="M1" s="26"/>
    </row>
    <row r="2" spans="1:14" ht="15.75" x14ac:dyDescent="0.25">
      <c r="A2" s="164" t="s">
        <v>28</v>
      </c>
      <c r="B2" s="729"/>
      <c r="C2" s="729"/>
      <c r="D2" s="729"/>
      <c r="E2" s="629"/>
      <c r="F2" s="729"/>
      <c r="G2" s="729"/>
      <c r="H2" s="729"/>
      <c r="I2" s="629"/>
      <c r="J2" s="729"/>
      <c r="K2" s="729"/>
      <c r="L2" s="729"/>
      <c r="M2" s="629"/>
    </row>
    <row r="3" spans="1:14" ht="15.75" x14ac:dyDescent="0.25">
      <c r="A3" s="162"/>
      <c r="B3" s="629"/>
      <c r="C3" s="629"/>
      <c r="D3" s="629"/>
      <c r="E3" s="629"/>
      <c r="F3" s="629"/>
      <c r="G3" s="629"/>
      <c r="H3" s="629"/>
      <c r="I3" s="629"/>
      <c r="J3" s="629"/>
      <c r="K3" s="629"/>
      <c r="L3" s="629"/>
      <c r="M3" s="629"/>
    </row>
    <row r="4" spans="1:14" x14ac:dyDescent="0.2">
      <c r="A4" s="144"/>
      <c r="B4" s="725" t="s">
        <v>0</v>
      </c>
      <c r="C4" s="726"/>
      <c r="D4" s="726"/>
      <c r="E4" s="627"/>
      <c r="F4" s="725" t="s">
        <v>1</v>
      </c>
      <c r="G4" s="726"/>
      <c r="H4" s="726"/>
      <c r="I4" s="628"/>
      <c r="J4" s="725" t="s">
        <v>2</v>
      </c>
      <c r="K4" s="726"/>
      <c r="L4" s="726"/>
      <c r="M4" s="628"/>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c r="C7" s="300"/>
      <c r="D7" s="340"/>
      <c r="E7" s="11"/>
      <c r="F7" s="299"/>
      <c r="G7" s="300"/>
      <c r="H7" s="340"/>
      <c r="I7" s="159"/>
      <c r="J7" s="301"/>
      <c r="K7" s="302"/>
      <c r="L7" s="413"/>
      <c r="M7" s="11"/>
    </row>
    <row r="8" spans="1:14" ht="15.75" x14ac:dyDescent="0.2">
      <c r="A8" s="21" t="s">
        <v>25</v>
      </c>
      <c r="B8" s="277"/>
      <c r="C8" s="278"/>
      <c r="D8" s="165"/>
      <c r="E8" s="27"/>
      <c r="F8" s="281"/>
      <c r="G8" s="282"/>
      <c r="H8" s="165"/>
      <c r="I8" s="174"/>
      <c r="J8" s="230"/>
      <c r="K8" s="283"/>
      <c r="L8" s="165"/>
      <c r="M8" s="27"/>
    </row>
    <row r="9" spans="1:14" ht="15.75" x14ac:dyDescent="0.2">
      <c r="A9" s="21" t="s">
        <v>24</v>
      </c>
      <c r="B9" s="277"/>
      <c r="C9" s="278"/>
      <c r="D9" s="165"/>
      <c r="E9" s="27"/>
      <c r="F9" s="281"/>
      <c r="G9" s="282"/>
      <c r="H9" s="165"/>
      <c r="I9" s="174"/>
      <c r="J9" s="230"/>
      <c r="K9" s="283"/>
      <c r="L9" s="165"/>
      <c r="M9" s="27"/>
    </row>
    <row r="10" spans="1:14" ht="15.75" x14ac:dyDescent="0.2">
      <c r="A10" s="13" t="s">
        <v>359</v>
      </c>
      <c r="B10" s="303"/>
      <c r="C10" s="304"/>
      <c r="D10" s="170"/>
      <c r="E10" s="11"/>
      <c r="F10" s="303"/>
      <c r="G10" s="304"/>
      <c r="H10" s="170"/>
      <c r="I10" s="159"/>
      <c r="J10" s="301"/>
      <c r="K10" s="302"/>
      <c r="L10" s="414"/>
      <c r="M10" s="11"/>
    </row>
    <row r="11" spans="1:14" s="43" customFormat="1" ht="15.75" x14ac:dyDescent="0.2">
      <c r="A11" s="13" t="s">
        <v>360</v>
      </c>
      <c r="B11" s="303"/>
      <c r="C11" s="304"/>
      <c r="D11" s="170"/>
      <c r="E11" s="11"/>
      <c r="F11" s="303"/>
      <c r="G11" s="304"/>
      <c r="H11" s="170"/>
      <c r="I11" s="159"/>
      <c r="J11" s="301"/>
      <c r="K11" s="302"/>
      <c r="L11" s="414"/>
      <c r="M11" s="11"/>
      <c r="N11" s="143"/>
    </row>
    <row r="12" spans="1:14" s="43" customFormat="1" ht="15.75" x14ac:dyDescent="0.2">
      <c r="A12" s="41" t="s">
        <v>361</v>
      </c>
      <c r="B12" s="305"/>
      <c r="C12" s="306"/>
      <c r="D12" s="168"/>
      <c r="E12" s="36"/>
      <c r="F12" s="305"/>
      <c r="G12" s="306"/>
      <c r="H12" s="168"/>
      <c r="I12" s="168"/>
      <c r="J12" s="307"/>
      <c r="K12" s="308"/>
      <c r="L12" s="415"/>
      <c r="M12" s="36"/>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629"/>
      <c r="F18" s="724"/>
      <c r="G18" s="724"/>
      <c r="H18" s="724"/>
      <c r="I18" s="629"/>
      <c r="J18" s="724"/>
      <c r="K18" s="724"/>
      <c r="L18" s="724"/>
      <c r="M18" s="629"/>
    </row>
    <row r="19" spans="1:14" x14ac:dyDescent="0.2">
      <c r="A19" s="144"/>
      <c r="B19" s="725" t="s">
        <v>0</v>
      </c>
      <c r="C19" s="726"/>
      <c r="D19" s="726"/>
      <c r="E19" s="627"/>
      <c r="F19" s="725" t="s">
        <v>1</v>
      </c>
      <c r="G19" s="726"/>
      <c r="H19" s="726"/>
      <c r="I19" s="628"/>
      <c r="J19" s="725" t="s">
        <v>2</v>
      </c>
      <c r="K19" s="726"/>
      <c r="L19" s="726"/>
      <c r="M19" s="628"/>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402" t="s">
        <v>30</v>
      </c>
      <c r="F21" s="160"/>
      <c r="G21" s="160"/>
      <c r="H21" s="241" t="s">
        <v>4</v>
      </c>
      <c r="I21" s="155" t="s">
        <v>30</v>
      </c>
      <c r="J21" s="160"/>
      <c r="K21" s="160"/>
      <c r="L21" s="155" t="s">
        <v>4</v>
      </c>
      <c r="M21" s="155" t="s">
        <v>30</v>
      </c>
    </row>
    <row r="22" spans="1:14" ht="15.75" x14ac:dyDescent="0.2">
      <c r="A22" s="14" t="s">
        <v>23</v>
      </c>
      <c r="B22" s="303"/>
      <c r="C22" s="303"/>
      <c r="D22" s="340"/>
      <c r="E22" s="11"/>
      <c r="F22" s="311"/>
      <c r="G22" s="311"/>
      <c r="H22" s="340"/>
      <c r="I22" s="159"/>
      <c r="J22" s="309"/>
      <c r="K22" s="309"/>
      <c r="L22" s="413"/>
      <c r="M22" s="24"/>
    </row>
    <row r="23" spans="1:14" ht="15.75" x14ac:dyDescent="0.2">
      <c r="A23" s="555" t="s">
        <v>362</v>
      </c>
      <c r="B23" s="277"/>
      <c r="C23" s="277"/>
      <c r="D23" s="165"/>
      <c r="E23" s="11"/>
      <c r="F23" s="286"/>
      <c r="G23" s="286"/>
      <c r="H23" s="165"/>
      <c r="I23" s="236"/>
      <c r="J23" s="286"/>
      <c r="K23" s="286"/>
      <c r="L23" s="165"/>
      <c r="M23" s="23"/>
    </row>
    <row r="24" spans="1:14" ht="15.75" x14ac:dyDescent="0.2">
      <c r="A24" s="555" t="s">
        <v>363</v>
      </c>
      <c r="B24" s="277"/>
      <c r="C24" s="277"/>
      <c r="D24" s="165"/>
      <c r="E24" s="11"/>
      <c r="F24" s="286"/>
      <c r="G24" s="286"/>
      <c r="H24" s="165"/>
      <c r="I24" s="236"/>
      <c r="J24" s="286"/>
      <c r="K24" s="286"/>
      <c r="L24" s="165"/>
      <c r="M24" s="23"/>
    </row>
    <row r="25" spans="1:14" ht="15.75" x14ac:dyDescent="0.2">
      <c r="A25" s="555" t="s">
        <v>364</v>
      </c>
      <c r="B25" s="277"/>
      <c r="C25" s="277"/>
      <c r="D25" s="165"/>
      <c r="E25" s="11"/>
      <c r="F25" s="286"/>
      <c r="G25" s="286"/>
      <c r="H25" s="165"/>
      <c r="I25" s="236"/>
      <c r="J25" s="286"/>
      <c r="K25" s="286"/>
      <c r="L25" s="165"/>
      <c r="M25" s="23"/>
    </row>
    <row r="26" spans="1:14" ht="15.75" x14ac:dyDescent="0.2">
      <c r="A26" s="555" t="s">
        <v>365</v>
      </c>
      <c r="B26" s="277"/>
      <c r="C26" s="277"/>
      <c r="D26" s="165"/>
      <c r="E26" s="11"/>
      <c r="F26" s="286"/>
      <c r="G26" s="286"/>
      <c r="H26" s="165"/>
      <c r="I26" s="236"/>
      <c r="J26" s="286"/>
      <c r="K26" s="286"/>
      <c r="L26" s="165"/>
      <c r="M26" s="23"/>
    </row>
    <row r="27" spans="1:14" x14ac:dyDescent="0.2">
      <c r="A27" s="555" t="s">
        <v>11</v>
      </c>
      <c r="B27" s="277"/>
      <c r="C27" s="277"/>
      <c r="D27" s="165"/>
      <c r="E27" s="11"/>
      <c r="F27" s="286"/>
      <c r="G27" s="286"/>
      <c r="H27" s="165"/>
      <c r="I27" s="236"/>
      <c r="J27" s="286"/>
      <c r="K27" s="286"/>
      <c r="L27" s="165"/>
      <c r="M27" s="23"/>
    </row>
    <row r="28" spans="1:14" ht="15.75" x14ac:dyDescent="0.2">
      <c r="A28" s="49" t="s">
        <v>270</v>
      </c>
      <c r="B28" s="44"/>
      <c r="C28" s="283"/>
      <c r="D28" s="165"/>
      <c r="E28" s="11"/>
      <c r="F28" s="230"/>
      <c r="G28" s="283"/>
      <c r="H28" s="165"/>
      <c r="I28" s="174"/>
      <c r="J28" s="44"/>
      <c r="K28" s="44"/>
      <c r="L28" s="250"/>
      <c r="M28" s="23"/>
    </row>
    <row r="29" spans="1:14" s="3" customFormat="1" ht="15.75" x14ac:dyDescent="0.2">
      <c r="A29" s="13" t="s">
        <v>359</v>
      </c>
      <c r="B29" s="232"/>
      <c r="C29" s="232"/>
      <c r="D29" s="170"/>
      <c r="E29" s="11"/>
      <c r="F29" s="301"/>
      <c r="G29" s="301"/>
      <c r="H29" s="170"/>
      <c r="I29" s="159"/>
      <c r="J29" s="232"/>
      <c r="K29" s="232"/>
      <c r="L29" s="414"/>
      <c r="M29" s="24"/>
      <c r="N29" s="148"/>
    </row>
    <row r="30" spans="1:14" s="3" customFormat="1" ht="15.75" x14ac:dyDescent="0.2">
      <c r="A30" s="555" t="s">
        <v>362</v>
      </c>
      <c r="B30" s="277"/>
      <c r="C30" s="277"/>
      <c r="D30" s="165"/>
      <c r="E30" s="11"/>
      <c r="F30" s="286"/>
      <c r="G30" s="286"/>
      <c r="H30" s="165"/>
      <c r="I30" s="236"/>
      <c r="J30" s="286"/>
      <c r="K30" s="286"/>
      <c r="L30" s="165"/>
      <c r="M30" s="23"/>
      <c r="N30" s="148"/>
    </row>
    <row r="31" spans="1:14" s="3" customFormat="1" ht="15.75" x14ac:dyDescent="0.2">
      <c r="A31" s="555" t="s">
        <v>363</v>
      </c>
      <c r="B31" s="277"/>
      <c r="C31" s="277"/>
      <c r="D31" s="165"/>
      <c r="E31" s="11"/>
      <c r="F31" s="286"/>
      <c r="G31" s="286"/>
      <c r="H31" s="165"/>
      <c r="I31" s="236"/>
      <c r="J31" s="286"/>
      <c r="K31" s="286"/>
      <c r="L31" s="165"/>
      <c r="M31" s="23"/>
      <c r="N31" s="148"/>
    </row>
    <row r="32" spans="1:14" ht="15.75" x14ac:dyDescent="0.2">
      <c r="A32" s="555" t="s">
        <v>364</v>
      </c>
      <c r="B32" s="277"/>
      <c r="C32" s="277"/>
      <c r="D32" s="165"/>
      <c r="E32" s="11"/>
      <c r="F32" s="286"/>
      <c r="G32" s="286"/>
      <c r="H32" s="165"/>
      <c r="I32" s="236"/>
      <c r="J32" s="286"/>
      <c r="K32" s="286"/>
      <c r="L32" s="165"/>
      <c r="M32" s="23"/>
    </row>
    <row r="33" spans="1:14" ht="15.75" x14ac:dyDescent="0.2">
      <c r="A33" s="555" t="s">
        <v>365</v>
      </c>
      <c r="B33" s="277"/>
      <c r="C33" s="277"/>
      <c r="D33" s="165"/>
      <c r="E33" s="11"/>
      <c r="F33" s="286"/>
      <c r="G33" s="286"/>
      <c r="H33" s="165"/>
      <c r="I33" s="236"/>
      <c r="J33" s="286"/>
      <c r="K33" s="286"/>
      <c r="L33" s="165"/>
      <c r="M33" s="23"/>
    </row>
    <row r="34" spans="1:14" ht="15.75" x14ac:dyDescent="0.2">
      <c r="A34" s="13" t="s">
        <v>360</v>
      </c>
      <c r="B34" s="232"/>
      <c r="C34" s="302"/>
      <c r="D34" s="170"/>
      <c r="E34" s="11"/>
      <c r="F34" s="301"/>
      <c r="G34" s="302"/>
      <c r="H34" s="170"/>
      <c r="I34" s="159"/>
      <c r="J34" s="232"/>
      <c r="K34" s="232"/>
      <c r="L34" s="414"/>
      <c r="M34" s="24"/>
    </row>
    <row r="35" spans="1:14" ht="15.75" x14ac:dyDescent="0.2">
      <c r="A35" s="13" t="s">
        <v>361</v>
      </c>
      <c r="B35" s="232"/>
      <c r="C35" s="302"/>
      <c r="D35" s="170"/>
      <c r="E35" s="11"/>
      <c r="F35" s="301"/>
      <c r="G35" s="302"/>
      <c r="H35" s="170"/>
      <c r="I35" s="159"/>
      <c r="J35" s="232"/>
      <c r="K35" s="232"/>
      <c r="L35" s="414"/>
      <c r="M35" s="24"/>
    </row>
    <row r="36" spans="1:14" ht="15.75" x14ac:dyDescent="0.2">
      <c r="A36" s="12" t="s">
        <v>278</v>
      </c>
      <c r="B36" s="232"/>
      <c r="C36" s="302"/>
      <c r="D36" s="170"/>
      <c r="E36" s="11"/>
      <c r="F36" s="312"/>
      <c r="G36" s="313"/>
      <c r="H36" s="170"/>
      <c r="I36" s="416"/>
      <c r="J36" s="232"/>
      <c r="K36" s="232"/>
      <c r="L36" s="414"/>
      <c r="M36" s="24"/>
    </row>
    <row r="37" spans="1:14" ht="15.75" x14ac:dyDescent="0.2">
      <c r="A37" s="12" t="s">
        <v>367</v>
      </c>
      <c r="B37" s="232"/>
      <c r="C37" s="302"/>
      <c r="D37" s="170"/>
      <c r="E37" s="11"/>
      <c r="F37" s="312"/>
      <c r="G37" s="314"/>
      <c r="H37" s="170"/>
      <c r="I37" s="416"/>
      <c r="J37" s="232"/>
      <c r="K37" s="232"/>
      <c r="L37" s="414"/>
      <c r="M37" s="24"/>
    </row>
    <row r="38" spans="1:14" ht="15.75" x14ac:dyDescent="0.2">
      <c r="A38" s="12" t="s">
        <v>368</v>
      </c>
      <c r="B38" s="232"/>
      <c r="C38" s="302"/>
      <c r="D38" s="170"/>
      <c r="E38" s="24"/>
      <c r="F38" s="312"/>
      <c r="G38" s="313"/>
      <c r="H38" s="170"/>
      <c r="I38" s="416"/>
      <c r="J38" s="232"/>
      <c r="K38" s="232"/>
      <c r="L38" s="414"/>
      <c r="M38" s="24"/>
    </row>
    <row r="39" spans="1:14" ht="15.75" x14ac:dyDescent="0.2">
      <c r="A39" s="18" t="s">
        <v>369</v>
      </c>
      <c r="B39" s="272"/>
      <c r="C39" s="308"/>
      <c r="D39" s="168"/>
      <c r="E39" s="36"/>
      <c r="F39" s="315"/>
      <c r="G39" s="316"/>
      <c r="H39" s="168"/>
      <c r="I39" s="168"/>
      <c r="J39" s="232"/>
      <c r="K39" s="232"/>
      <c r="L39" s="415"/>
      <c r="M39" s="36"/>
    </row>
    <row r="40" spans="1:14" ht="15.75" x14ac:dyDescent="0.25">
      <c r="A40" s="47"/>
      <c r="B40" s="249"/>
      <c r="C40" s="249"/>
      <c r="D40" s="728"/>
      <c r="E40" s="728"/>
      <c r="F40" s="728"/>
      <c r="G40" s="728"/>
      <c r="H40" s="728"/>
      <c r="I40" s="728"/>
      <c r="J40" s="728"/>
      <c r="K40" s="728"/>
      <c r="L40" s="728"/>
      <c r="M40" s="630"/>
    </row>
    <row r="41" spans="1:14" x14ac:dyDescent="0.2">
      <c r="A41" s="154"/>
    </row>
    <row r="42" spans="1:14" ht="15.75" x14ac:dyDescent="0.25">
      <c r="A42" s="147" t="s">
        <v>267</v>
      </c>
      <c r="B42" s="729"/>
      <c r="C42" s="729"/>
      <c r="D42" s="729"/>
      <c r="E42" s="629"/>
      <c r="F42" s="730"/>
      <c r="G42" s="730"/>
      <c r="H42" s="730"/>
      <c r="I42" s="630"/>
      <c r="J42" s="730"/>
      <c r="K42" s="730"/>
      <c r="L42" s="730"/>
      <c r="M42" s="630"/>
    </row>
    <row r="43" spans="1:14" ht="15.75" x14ac:dyDescent="0.25">
      <c r="A43" s="162"/>
      <c r="B43" s="625"/>
      <c r="C43" s="625"/>
      <c r="D43" s="625"/>
      <c r="E43" s="625"/>
      <c r="F43" s="630"/>
      <c r="G43" s="630"/>
      <c r="H43" s="630"/>
      <c r="I43" s="630"/>
      <c r="J43" s="630"/>
      <c r="K43" s="630"/>
      <c r="L43" s="630"/>
      <c r="M43" s="630"/>
    </row>
    <row r="44" spans="1:14" ht="15.75" x14ac:dyDescent="0.25">
      <c r="A44" s="243"/>
      <c r="B44" s="725" t="s">
        <v>0</v>
      </c>
      <c r="C44" s="726"/>
      <c r="D44" s="726"/>
      <c r="E44" s="239"/>
      <c r="F44" s="630"/>
      <c r="G44" s="630"/>
      <c r="H44" s="630"/>
      <c r="I44" s="630"/>
      <c r="J44" s="630"/>
      <c r="K44" s="630"/>
      <c r="L44" s="630"/>
      <c r="M44" s="630"/>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v>8328</v>
      </c>
      <c r="C47" s="304">
        <v>22472</v>
      </c>
      <c r="D47" s="413">
        <f t="shared" ref="D47:D55" si="0">IF(B47=0, "    ---- ", IF(ABS(ROUND(100/B47*C47-100,1))&lt;999,ROUND(100/B47*C47-100,1),IF(ROUND(100/B47*C47-100,1)&gt;999,999,-999)))</f>
        <v>169.8</v>
      </c>
      <c r="E47" s="11">
        <f>IFERROR(100/'Skjema total MA'!C47*C47,0)</f>
        <v>0.65032725129314006</v>
      </c>
      <c r="F47" s="145"/>
      <c r="G47" s="33"/>
      <c r="H47" s="158"/>
      <c r="I47" s="158"/>
      <c r="J47" s="37"/>
      <c r="K47" s="37"/>
      <c r="L47" s="158"/>
      <c r="M47" s="158"/>
      <c r="N47" s="148"/>
    </row>
    <row r="48" spans="1:14" s="3" customFormat="1" ht="15.75" x14ac:dyDescent="0.2">
      <c r="A48" s="38" t="s">
        <v>370</v>
      </c>
      <c r="B48" s="277">
        <v>7387</v>
      </c>
      <c r="C48" s="278">
        <v>21523</v>
      </c>
      <c r="D48" s="250">
        <f t="shared" si="0"/>
        <v>191.4</v>
      </c>
      <c r="E48" s="27">
        <f>IFERROR(100/'Skjema total MA'!C48*C48,0)</f>
        <v>1.1389586008261132</v>
      </c>
      <c r="F48" s="145"/>
      <c r="G48" s="33"/>
      <c r="H48" s="145"/>
      <c r="I48" s="145"/>
      <c r="J48" s="33"/>
      <c r="K48" s="33"/>
      <c r="L48" s="158"/>
      <c r="M48" s="158"/>
      <c r="N48" s="148"/>
    </row>
    <row r="49" spans="1:14" s="3" customFormat="1" ht="15.75" x14ac:dyDescent="0.2">
      <c r="A49" s="38" t="s">
        <v>371</v>
      </c>
      <c r="B49" s="44">
        <v>941</v>
      </c>
      <c r="C49" s="283">
        <v>949</v>
      </c>
      <c r="D49" s="250">
        <f>IF(B49=0, "    ---- ", IF(ABS(ROUND(100/B49*C49-100,1))&lt;999,ROUND(100/B49*C49-100,1),IF(ROUND(100/B49*C49-100,1)&gt;999,999,-999)))</f>
        <v>0.9</v>
      </c>
      <c r="E49" s="27">
        <f>IFERROR(100/'Skjema total MA'!C49*C49,0)</f>
        <v>6.060867967631519E-2</v>
      </c>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v>8328</v>
      </c>
      <c r="C53" s="304">
        <v>22472</v>
      </c>
      <c r="D53" s="414">
        <f t="shared" si="0"/>
        <v>169.8</v>
      </c>
      <c r="E53" s="11">
        <f>IFERROR(100/'Skjema total MA'!C53*C53,0)</f>
        <v>21.00745419672462</v>
      </c>
      <c r="F53" s="145"/>
      <c r="G53" s="33"/>
      <c r="H53" s="145"/>
      <c r="I53" s="145"/>
      <c r="J53" s="33"/>
      <c r="K53" s="33"/>
      <c r="L53" s="158"/>
      <c r="M53" s="158"/>
      <c r="N53" s="148"/>
    </row>
    <row r="54" spans="1:14" s="3" customFormat="1" ht="15.75" x14ac:dyDescent="0.2">
      <c r="A54" s="38" t="s">
        <v>370</v>
      </c>
      <c r="B54" s="277">
        <v>7387</v>
      </c>
      <c r="C54" s="278">
        <v>21523</v>
      </c>
      <c r="D54" s="250">
        <f t="shared" si="0"/>
        <v>191.4</v>
      </c>
      <c r="E54" s="27">
        <f>IFERROR(100/'Skjema total MA'!C54*C54,0)</f>
        <v>23.137399808839906</v>
      </c>
      <c r="F54" s="145"/>
      <c r="G54" s="33"/>
      <c r="H54" s="145"/>
      <c r="I54" s="145"/>
      <c r="J54" s="33"/>
      <c r="K54" s="33"/>
      <c r="L54" s="158"/>
      <c r="M54" s="158"/>
      <c r="N54" s="148"/>
    </row>
    <row r="55" spans="1:14" s="3" customFormat="1" ht="15.75" x14ac:dyDescent="0.2">
      <c r="A55" s="38" t="s">
        <v>371</v>
      </c>
      <c r="B55" s="277">
        <v>941</v>
      </c>
      <c r="C55" s="278">
        <v>949</v>
      </c>
      <c r="D55" s="250">
        <f t="shared" si="0"/>
        <v>0.9</v>
      </c>
      <c r="E55" s="27">
        <f>IFERROR(100/'Skjema total MA'!C55*C55,0)</f>
        <v>6.8033550792171482</v>
      </c>
      <c r="F55" s="145"/>
      <c r="G55" s="33"/>
      <c r="H55" s="145"/>
      <c r="I55" s="145"/>
      <c r="J55" s="33"/>
      <c r="K55" s="33"/>
      <c r="L55" s="158"/>
      <c r="M55" s="158"/>
      <c r="N55" s="148"/>
    </row>
    <row r="56" spans="1:14" s="3" customFormat="1" ht="15.75" x14ac:dyDescent="0.2">
      <c r="A56" s="39" t="s">
        <v>373</v>
      </c>
      <c r="B56" s="303"/>
      <c r="C56" s="304"/>
      <c r="D56" s="414"/>
      <c r="E56" s="11"/>
      <c r="F56" s="145"/>
      <c r="G56" s="33"/>
      <c r="H56" s="145"/>
      <c r="I56" s="145"/>
      <c r="J56" s="33"/>
      <c r="K56" s="33"/>
      <c r="L56" s="158"/>
      <c r="M56" s="158"/>
      <c r="N56" s="148"/>
    </row>
    <row r="57" spans="1:14" s="3" customFormat="1" ht="15.75" x14ac:dyDescent="0.2">
      <c r="A57" s="38" t="s">
        <v>370</v>
      </c>
      <c r="B57" s="277"/>
      <c r="C57" s="278"/>
      <c r="D57" s="250"/>
      <c r="E57" s="27"/>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629"/>
      <c r="F62" s="724"/>
      <c r="G62" s="724"/>
      <c r="H62" s="724"/>
      <c r="I62" s="629"/>
      <c r="J62" s="724"/>
      <c r="K62" s="724"/>
      <c r="L62" s="724"/>
      <c r="M62" s="629"/>
    </row>
    <row r="63" spans="1:14" x14ac:dyDescent="0.2">
      <c r="A63" s="144"/>
      <c r="B63" s="725" t="s">
        <v>0</v>
      </c>
      <c r="C63" s="726"/>
      <c r="D63" s="727"/>
      <c r="E63" s="626"/>
      <c r="F63" s="726" t="s">
        <v>1</v>
      </c>
      <c r="G63" s="726"/>
      <c r="H63" s="726"/>
      <c r="I63" s="628"/>
      <c r="J63" s="725" t="s">
        <v>2</v>
      </c>
      <c r="K63" s="726"/>
      <c r="L63" s="726"/>
      <c r="M63" s="628"/>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c r="C66" s="343"/>
      <c r="D66" s="340"/>
      <c r="E66" s="11"/>
      <c r="F66" s="342"/>
      <c r="G66" s="342"/>
      <c r="H66" s="340"/>
      <c r="I66" s="11"/>
      <c r="J66" s="302"/>
      <c r="K66" s="309"/>
      <c r="L66" s="414"/>
      <c r="M66" s="11"/>
    </row>
    <row r="67" spans="1:14" x14ac:dyDescent="0.2">
      <c r="A67" s="21" t="s">
        <v>9</v>
      </c>
      <c r="B67" s="44"/>
      <c r="C67" s="145"/>
      <c r="D67" s="165"/>
      <c r="E67" s="27"/>
      <c r="F67" s="230"/>
      <c r="G67" s="145"/>
      <c r="H67" s="165"/>
      <c r="I67" s="27"/>
      <c r="J67" s="283"/>
      <c r="K67" s="44"/>
      <c r="L67" s="250"/>
      <c r="M67" s="27"/>
    </row>
    <row r="68" spans="1:14" x14ac:dyDescent="0.2">
      <c r="A68" s="21" t="s">
        <v>10</v>
      </c>
      <c r="B68" s="287"/>
      <c r="C68" s="288"/>
      <c r="D68" s="165"/>
      <c r="E68" s="27"/>
      <c r="F68" s="287"/>
      <c r="G68" s="288"/>
      <c r="H68" s="165"/>
      <c r="I68" s="27"/>
      <c r="J68" s="283"/>
      <c r="K68" s="44"/>
      <c r="L68" s="250"/>
      <c r="M68" s="27"/>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c r="C75" s="145"/>
      <c r="D75" s="165"/>
      <c r="E75" s="27"/>
      <c r="F75" s="230"/>
      <c r="G75" s="145"/>
      <c r="H75" s="165"/>
      <c r="I75" s="27"/>
      <c r="J75" s="283"/>
      <c r="K75" s="44"/>
      <c r="L75" s="250"/>
      <c r="M75" s="27"/>
      <c r="N75" s="148"/>
    </row>
    <row r="76" spans="1:14" s="3" customFormat="1" x14ac:dyDescent="0.2">
      <c r="A76" s="21" t="s">
        <v>343</v>
      </c>
      <c r="B76" s="230"/>
      <c r="C76" s="145"/>
      <c r="D76" s="165"/>
      <c r="E76" s="27"/>
      <c r="F76" s="230"/>
      <c r="G76" s="145"/>
      <c r="H76" s="165"/>
      <c r="I76" s="27"/>
      <c r="J76" s="283"/>
      <c r="K76" s="44"/>
      <c r="L76" s="250"/>
      <c r="M76" s="27"/>
      <c r="N76" s="148"/>
    </row>
    <row r="77" spans="1:14" ht="15.75" x14ac:dyDescent="0.2">
      <c r="A77" s="21" t="s">
        <v>376</v>
      </c>
      <c r="B77" s="230"/>
      <c r="C77" s="230"/>
      <c r="D77" s="165"/>
      <c r="E77" s="27"/>
      <c r="F77" s="230"/>
      <c r="G77" s="145"/>
      <c r="H77" s="165"/>
      <c r="I77" s="27"/>
      <c r="J77" s="283"/>
      <c r="K77" s="44"/>
      <c r="L77" s="250"/>
      <c r="M77" s="27"/>
    </row>
    <row r="78" spans="1:14" x14ac:dyDescent="0.2">
      <c r="A78" s="21" t="s">
        <v>9</v>
      </c>
      <c r="B78" s="230"/>
      <c r="C78" s="145"/>
      <c r="D78" s="165"/>
      <c r="E78" s="27"/>
      <c r="F78" s="230"/>
      <c r="G78" s="145"/>
      <c r="H78" s="165"/>
      <c r="I78" s="27"/>
      <c r="J78" s="283"/>
      <c r="K78" s="44"/>
      <c r="L78" s="250"/>
      <c r="M78" s="27"/>
    </row>
    <row r="79" spans="1:14" x14ac:dyDescent="0.2">
      <c r="A79" s="38" t="s">
        <v>413</v>
      </c>
      <c r="B79" s="287"/>
      <c r="C79" s="288"/>
      <c r="D79" s="165"/>
      <c r="E79" s="27"/>
      <c r="F79" s="287"/>
      <c r="G79" s="288"/>
      <c r="H79" s="165"/>
      <c r="I79" s="27"/>
      <c r="J79" s="283"/>
      <c r="K79" s="44"/>
      <c r="L79" s="250"/>
      <c r="M79" s="27"/>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c r="C86" s="145"/>
      <c r="D86" s="165"/>
      <c r="E86" s="27"/>
      <c r="F86" s="230"/>
      <c r="G86" s="145"/>
      <c r="H86" s="165"/>
      <c r="I86" s="27"/>
      <c r="J86" s="283"/>
      <c r="K86" s="44"/>
      <c r="L86" s="250"/>
      <c r="M86" s="27"/>
    </row>
    <row r="87" spans="1:13" ht="15.75" x14ac:dyDescent="0.2">
      <c r="A87" s="13" t="s">
        <v>359</v>
      </c>
      <c r="B87" s="343"/>
      <c r="C87" s="343"/>
      <c r="D87" s="170"/>
      <c r="E87" s="11"/>
      <c r="F87" s="342"/>
      <c r="G87" s="342"/>
      <c r="H87" s="170"/>
      <c r="I87" s="11"/>
      <c r="J87" s="302"/>
      <c r="K87" s="232"/>
      <c r="L87" s="414"/>
      <c r="M87" s="11"/>
    </row>
    <row r="88" spans="1:13" x14ac:dyDescent="0.2">
      <c r="A88" s="21" t="s">
        <v>9</v>
      </c>
      <c r="B88" s="230"/>
      <c r="C88" s="145"/>
      <c r="D88" s="165"/>
      <c r="E88" s="27"/>
      <c r="F88" s="230"/>
      <c r="G88" s="145"/>
      <c r="H88" s="165"/>
      <c r="I88" s="27"/>
      <c r="J88" s="283"/>
      <c r="K88" s="44"/>
      <c r="L88" s="250"/>
      <c r="M88" s="27"/>
    </row>
    <row r="89" spans="1:13" x14ac:dyDescent="0.2">
      <c r="A89" s="21" t="s">
        <v>10</v>
      </c>
      <c r="B89" s="230"/>
      <c r="C89" s="145"/>
      <c r="D89" s="165"/>
      <c r="E89" s="27"/>
      <c r="F89" s="230"/>
      <c r="G89" s="145"/>
      <c r="H89" s="165"/>
      <c r="I89" s="27"/>
      <c r="J89" s="283"/>
      <c r="K89" s="44"/>
      <c r="L89" s="250"/>
      <c r="M89" s="27"/>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c r="C97" s="145"/>
      <c r="D97" s="165"/>
      <c r="E97" s="27"/>
      <c r="F97" s="230"/>
      <c r="G97" s="145"/>
      <c r="H97" s="165"/>
      <c r="I97" s="27"/>
      <c r="J97" s="283"/>
      <c r="K97" s="44"/>
      <c r="L97" s="250"/>
      <c r="M97" s="27"/>
    </row>
    <row r="98" spans="1:13" ht="15.75" x14ac:dyDescent="0.2">
      <c r="A98" s="21" t="s">
        <v>376</v>
      </c>
      <c r="B98" s="230"/>
      <c r="C98" s="230"/>
      <c r="D98" s="165"/>
      <c r="E98" s="27"/>
      <c r="F98" s="287"/>
      <c r="G98" s="287"/>
      <c r="H98" s="165"/>
      <c r="I98" s="27"/>
      <c r="J98" s="283"/>
      <c r="K98" s="44"/>
      <c r="L98" s="250"/>
      <c r="M98" s="27"/>
    </row>
    <row r="99" spans="1:13" x14ac:dyDescent="0.2">
      <c r="A99" s="21" t="s">
        <v>9</v>
      </c>
      <c r="B99" s="287"/>
      <c r="C99" s="288"/>
      <c r="D99" s="165"/>
      <c r="E99" s="27"/>
      <c r="F99" s="230"/>
      <c r="G99" s="145"/>
      <c r="H99" s="165"/>
      <c r="I99" s="27"/>
      <c r="J99" s="283"/>
      <c r="K99" s="44"/>
      <c r="L99" s="250"/>
      <c r="M99" s="27"/>
    </row>
    <row r="100" spans="1:13" x14ac:dyDescent="0.2">
      <c r="A100" s="38" t="s">
        <v>413</v>
      </c>
      <c r="B100" s="287"/>
      <c r="C100" s="288"/>
      <c r="D100" s="165"/>
      <c r="E100" s="27"/>
      <c r="F100" s="230"/>
      <c r="G100" s="230"/>
      <c r="H100" s="165"/>
      <c r="I100" s="27"/>
      <c r="J100" s="283"/>
      <c r="K100" s="44"/>
      <c r="L100" s="250"/>
      <c r="M100" s="27"/>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c r="C107" s="145"/>
      <c r="D107" s="165"/>
      <c r="E107" s="27"/>
      <c r="F107" s="230"/>
      <c r="G107" s="145"/>
      <c r="H107" s="165"/>
      <c r="I107" s="27"/>
      <c r="J107" s="283"/>
      <c r="K107" s="44"/>
      <c r="L107" s="250"/>
      <c r="M107" s="27"/>
    </row>
    <row r="108" spans="1:13" ht="15.75" x14ac:dyDescent="0.2">
      <c r="A108" s="21" t="s">
        <v>378</v>
      </c>
      <c r="B108" s="230"/>
      <c r="C108" s="230"/>
      <c r="D108" s="165"/>
      <c r="E108" s="27"/>
      <c r="F108" s="230"/>
      <c r="G108" s="230"/>
      <c r="H108" s="165"/>
      <c r="I108" s="27"/>
      <c r="J108" s="283"/>
      <c r="K108" s="44"/>
      <c r="L108" s="250"/>
      <c r="M108" s="27"/>
    </row>
    <row r="109" spans="1:13" ht="15.6" customHeight="1" x14ac:dyDescent="0.2">
      <c r="A109" s="21" t="s">
        <v>430</v>
      </c>
      <c r="B109" s="230"/>
      <c r="C109" s="230"/>
      <c r="D109" s="165"/>
      <c r="E109" s="27"/>
      <c r="F109" s="230"/>
      <c r="G109" s="230"/>
      <c r="H109" s="165"/>
      <c r="I109" s="27"/>
      <c r="J109" s="283"/>
      <c r="K109" s="44"/>
      <c r="L109" s="250"/>
      <c r="M109" s="27"/>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c r="C111" s="158"/>
      <c r="D111" s="170"/>
      <c r="E111" s="11"/>
      <c r="F111" s="301"/>
      <c r="G111" s="158"/>
      <c r="H111" s="170"/>
      <c r="I111" s="11"/>
      <c r="J111" s="302"/>
      <c r="K111" s="232"/>
      <c r="L111" s="414"/>
      <c r="M111" s="11"/>
    </row>
    <row r="112" spans="1:13" x14ac:dyDescent="0.2">
      <c r="A112" s="21" t="s">
        <v>9</v>
      </c>
      <c r="B112" s="230"/>
      <c r="C112" s="145"/>
      <c r="D112" s="165"/>
      <c r="E112" s="27"/>
      <c r="F112" s="230"/>
      <c r="G112" s="145"/>
      <c r="H112" s="165"/>
      <c r="I112" s="27"/>
      <c r="J112" s="283"/>
      <c r="K112" s="44"/>
      <c r="L112" s="250"/>
      <c r="M112" s="27"/>
    </row>
    <row r="113" spans="1:14" x14ac:dyDescent="0.2">
      <c r="A113" s="21" t="s">
        <v>10</v>
      </c>
      <c r="B113" s="230"/>
      <c r="C113" s="145"/>
      <c r="D113" s="165"/>
      <c r="E113" s="27"/>
      <c r="F113" s="230"/>
      <c r="G113" s="145"/>
      <c r="H113" s="165"/>
      <c r="I113" s="27"/>
      <c r="J113" s="283"/>
      <c r="K113" s="44"/>
      <c r="L113" s="250"/>
      <c r="M113" s="27"/>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c r="C116" s="230"/>
      <c r="D116" s="165"/>
      <c r="E116" s="27"/>
      <c r="F116" s="230"/>
      <c r="G116" s="230"/>
      <c r="H116" s="165"/>
      <c r="I116" s="27"/>
      <c r="J116" s="283"/>
      <c r="K116" s="44"/>
      <c r="L116" s="250"/>
      <c r="M116" s="27"/>
    </row>
    <row r="117" spans="1:14" ht="15.6" customHeight="1" x14ac:dyDescent="0.2">
      <c r="A117" s="21" t="s">
        <v>430</v>
      </c>
      <c r="B117" s="230"/>
      <c r="C117" s="230"/>
      <c r="D117" s="165"/>
      <c r="E117" s="27"/>
      <c r="F117" s="230"/>
      <c r="G117" s="230"/>
      <c r="H117" s="165"/>
      <c r="I117" s="27"/>
      <c r="J117" s="283"/>
      <c r="K117" s="44"/>
      <c r="L117" s="250"/>
      <c r="M117" s="27"/>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c r="C119" s="158"/>
      <c r="D119" s="170"/>
      <c r="E119" s="11"/>
      <c r="F119" s="301"/>
      <c r="G119" s="158"/>
      <c r="H119" s="170"/>
      <c r="I119" s="11"/>
      <c r="J119" s="302"/>
      <c r="K119" s="232"/>
      <c r="L119" s="414"/>
      <c r="M119" s="11"/>
    </row>
    <row r="120" spans="1:14" x14ac:dyDescent="0.2">
      <c r="A120" s="21" t="s">
        <v>9</v>
      </c>
      <c r="B120" s="230"/>
      <c r="C120" s="145"/>
      <c r="D120" s="165"/>
      <c r="E120" s="27"/>
      <c r="F120" s="230"/>
      <c r="G120" s="145"/>
      <c r="H120" s="165"/>
      <c r="I120" s="27"/>
      <c r="J120" s="283"/>
      <c r="K120" s="44"/>
      <c r="L120" s="250"/>
      <c r="M120" s="27"/>
    </row>
    <row r="121" spans="1:14" x14ac:dyDescent="0.2">
      <c r="A121" s="21" t="s">
        <v>10</v>
      </c>
      <c r="B121" s="230"/>
      <c r="C121" s="145"/>
      <c r="D121" s="165"/>
      <c r="E121" s="27"/>
      <c r="F121" s="230"/>
      <c r="G121" s="145"/>
      <c r="H121" s="165"/>
      <c r="I121" s="27"/>
      <c r="J121" s="283"/>
      <c r="K121" s="44"/>
      <c r="L121" s="250"/>
      <c r="M121" s="27"/>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c r="C125" s="230"/>
      <c r="D125" s="165"/>
      <c r="E125" s="27"/>
      <c r="F125" s="230"/>
      <c r="G125" s="230"/>
      <c r="H125" s="165"/>
      <c r="I125" s="27"/>
      <c r="J125" s="283"/>
      <c r="K125" s="44"/>
      <c r="L125" s="250"/>
      <c r="M125" s="27"/>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629"/>
      <c r="F130" s="724"/>
      <c r="G130" s="724"/>
      <c r="H130" s="724"/>
      <c r="I130" s="629"/>
      <c r="J130" s="724"/>
      <c r="K130" s="724"/>
      <c r="L130" s="724"/>
      <c r="M130" s="629"/>
    </row>
    <row r="131" spans="1:14" s="3" customFormat="1" x14ac:dyDescent="0.2">
      <c r="A131" s="144"/>
      <c r="B131" s="725" t="s">
        <v>0</v>
      </c>
      <c r="C131" s="726"/>
      <c r="D131" s="726"/>
      <c r="E131" s="627"/>
      <c r="F131" s="725" t="s">
        <v>1</v>
      </c>
      <c r="G131" s="726"/>
      <c r="H131" s="726"/>
      <c r="I131" s="628"/>
      <c r="J131" s="725" t="s">
        <v>2</v>
      </c>
      <c r="K131" s="726"/>
      <c r="L131" s="726"/>
      <c r="M131" s="628"/>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c r="C134" s="302"/>
      <c r="D134" s="340"/>
      <c r="E134" s="11"/>
      <c r="F134" s="309"/>
      <c r="G134" s="310"/>
      <c r="H134" s="417"/>
      <c r="I134" s="24"/>
      <c r="J134" s="311"/>
      <c r="K134" s="311"/>
      <c r="L134" s="413"/>
      <c r="M134" s="11"/>
      <c r="N134" s="148"/>
    </row>
    <row r="135" spans="1:14" s="3" customFormat="1" ht="15.75" x14ac:dyDescent="0.2">
      <c r="A135" s="13" t="s">
        <v>386</v>
      </c>
      <c r="B135" s="232"/>
      <c r="C135" s="302"/>
      <c r="D135" s="170"/>
      <c r="E135" s="11"/>
      <c r="F135" s="232"/>
      <c r="G135" s="302"/>
      <c r="H135" s="418"/>
      <c r="I135" s="24"/>
      <c r="J135" s="301"/>
      <c r="K135" s="301"/>
      <c r="L135" s="414"/>
      <c r="M135" s="11"/>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A50:A52">
    <cfRule type="expression" dxfId="391" priority="7">
      <formula>kvartal &lt; 4</formula>
    </cfRule>
  </conditionalFormatting>
  <conditionalFormatting sqref="A69:A74">
    <cfRule type="expression" dxfId="390" priority="6">
      <formula>kvartal &lt; 4</formula>
    </cfRule>
  </conditionalFormatting>
  <conditionalFormatting sqref="A80:A85">
    <cfRule type="expression" dxfId="389" priority="5">
      <formula>kvartal &lt; 4</formula>
    </cfRule>
  </conditionalFormatting>
  <conditionalFormatting sqref="A90:A95">
    <cfRule type="expression" dxfId="388" priority="4">
      <formula>kvartal &lt; 4</formula>
    </cfRule>
  </conditionalFormatting>
  <conditionalFormatting sqref="A101:A106">
    <cfRule type="expression" dxfId="387" priority="3">
      <formula>kvartal &lt; 4</formula>
    </cfRule>
  </conditionalFormatting>
  <conditionalFormatting sqref="A115">
    <cfRule type="expression" dxfId="386" priority="2">
      <formula>kvartal &lt; 4</formula>
    </cfRule>
  </conditionalFormatting>
  <conditionalFormatting sqref="A123">
    <cfRule type="expression" dxfId="385" priority="1">
      <formula>kvartal &lt; 4</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dimension ref="A1:N144"/>
  <sheetViews>
    <sheetView showGridLines="0" zoomScaleNormal="100" workbookViewId="0">
      <pane xSplit="1" topLeftCell="B1" activePane="topRight" state="frozen"/>
      <selection pane="topRight"/>
    </sheetView>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244" t="s">
        <v>394</v>
      </c>
      <c r="D1" s="26"/>
      <c r="E1" s="26"/>
      <c r="F1" s="26"/>
      <c r="G1" s="26"/>
      <c r="H1" s="26"/>
      <c r="I1" s="26"/>
      <c r="J1" s="26"/>
      <c r="K1" s="26"/>
      <c r="L1" s="26"/>
      <c r="M1" s="26"/>
    </row>
    <row r="2" spans="1:14" ht="15.75" x14ac:dyDescent="0.25">
      <c r="A2" s="164" t="s">
        <v>28</v>
      </c>
      <c r="B2" s="348"/>
      <c r="C2" s="348"/>
      <c r="D2" s="348"/>
      <c r="E2" s="348"/>
      <c r="F2" s="348"/>
      <c r="G2" s="348"/>
      <c r="H2" s="348"/>
      <c r="I2" s="348"/>
      <c r="J2" s="348"/>
      <c r="K2" s="348"/>
      <c r="L2" s="348"/>
      <c r="M2" s="348"/>
    </row>
    <row r="3" spans="1:14" ht="15.75" x14ac:dyDescent="0.25">
      <c r="A3" s="162"/>
      <c r="B3" s="348"/>
      <c r="C3" s="348"/>
      <c r="D3" s="348"/>
      <c r="E3" s="348"/>
      <c r="F3" s="348"/>
      <c r="G3" s="348"/>
      <c r="H3" s="348"/>
      <c r="I3" s="348"/>
      <c r="J3" s="348"/>
      <c r="K3" s="348"/>
      <c r="L3" s="348"/>
      <c r="M3" s="348"/>
    </row>
    <row r="4" spans="1:14" x14ac:dyDescent="0.2">
      <c r="A4" s="144"/>
      <c r="B4" s="725" t="s">
        <v>0</v>
      </c>
      <c r="C4" s="726"/>
      <c r="D4" s="726"/>
      <c r="E4" s="345"/>
      <c r="F4" s="725" t="s">
        <v>1</v>
      </c>
      <c r="G4" s="726"/>
      <c r="H4" s="726"/>
      <c r="I4" s="346"/>
      <c r="J4" s="725" t="s">
        <v>2</v>
      </c>
      <c r="K4" s="726"/>
      <c r="L4" s="726"/>
      <c r="M4" s="346"/>
    </row>
    <row r="5" spans="1:14" x14ac:dyDescent="0.2">
      <c r="A5" s="157"/>
      <c r="B5" s="20">
        <v>44286</v>
      </c>
      <c r="C5" s="20">
        <v>44651</v>
      </c>
      <c r="D5" s="241" t="s">
        <v>3</v>
      </c>
      <c r="E5" s="298" t="s">
        <v>29</v>
      </c>
      <c r="F5" s="20">
        <v>44286</v>
      </c>
      <c r="G5" s="20">
        <v>44651</v>
      </c>
      <c r="H5" s="241" t="s">
        <v>3</v>
      </c>
      <c r="I5" s="298"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351">
        <v>316118.40253999998</v>
      </c>
      <c r="C7" s="352">
        <v>311773.92843000003</v>
      </c>
      <c r="D7" s="360">
        <f t="shared" ref="D7:D10" si="0">IF(AND(_xlfn.NUMBERVALUE(B7)=0,_xlfn.NUMBERVALUE(C7)=0),,IF(B7=0, "    ---- ", IF(ABS(ROUND(100/B7*C7-100,1))&lt;999,IF(ROUND(100/B7*C7-100,1)=0,"    ---- ",ROUND(100/B7*C7-100,1)),IF(ROUND(100/B7*C7-100,1)&gt;999,999,-999))))</f>
        <v>-1.4</v>
      </c>
      <c r="E7" s="361">
        <f>IFERROR(100/'Skjema total MA'!C7*C7,0)</f>
        <v>17.984159706905892</v>
      </c>
      <c r="F7" s="351"/>
      <c r="G7" s="352"/>
      <c r="H7" s="360"/>
      <c r="I7" s="361"/>
      <c r="J7" s="362">
        <f t="shared" ref="J7:K10" si="1">SUM(B7,F7)</f>
        <v>316118.40253999998</v>
      </c>
      <c r="K7" s="357">
        <f t="shared" si="1"/>
        <v>311773.92843000003</v>
      </c>
      <c r="L7" s="360">
        <f t="shared" ref="L7:L10" si="2">IF(AND(_xlfn.NUMBERVALUE(J7)=0,_xlfn.NUMBERVALUE(K7)=0),,IF(J7=0, "    ---- ", IF(ABS(ROUND(100/J7*K7-100,1))&lt;999,IF(ROUND(100/J7*K7-100,1)=0,"    ---- ",ROUND(100/J7*K7-100,1)),IF(ROUND(100/J7*K7-100,1)&gt;999,999,-999))))</f>
        <v>-1.4</v>
      </c>
      <c r="M7" s="361">
        <f>IFERROR(100/'Skjema total MA'!I7*K7,0)</f>
        <v>6.0320486102057691</v>
      </c>
    </row>
    <row r="8" spans="1:14" ht="15.75" x14ac:dyDescent="0.2">
      <c r="A8" s="21" t="s">
        <v>25</v>
      </c>
      <c r="B8" s="354">
        <v>291412.12345999997</v>
      </c>
      <c r="C8" s="355">
        <v>277326.02028</v>
      </c>
      <c r="D8" s="363">
        <f t="shared" si="0"/>
        <v>-4.8</v>
      </c>
      <c r="E8" s="361">
        <f>IFERROR(100/'Skjema total MA'!C8*C8,0)</f>
        <v>23.845812920173621</v>
      </c>
      <c r="F8" s="364"/>
      <c r="G8" s="365"/>
      <c r="H8" s="363"/>
      <c r="I8" s="361"/>
      <c r="J8" s="366">
        <f t="shared" si="1"/>
        <v>291412.12345999997</v>
      </c>
      <c r="K8" s="355">
        <f t="shared" si="1"/>
        <v>277326.02028</v>
      </c>
      <c r="L8" s="363">
        <f t="shared" si="2"/>
        <v>-4.8</v>
      </c>
      <c r="M8" s="361">
        <f>IFERROR(100/'Skjema total MA'!I8*K8,0)</f>
        <v>23.845812920173621</v>
      </c>
    </row>
    <row r="9" spans="1:14" ht="15.75" x14ac:dyDescent="0.2">
      <c r="A9" s="21" t="s">
        <v>24</v>
      </c>
      <c r="B9" s="354">
        <v>24706.27908</v>
      </c>
      <c r="C9" s="355">
        <v>34447.908150000003</v>
      </c>
      <c r="D9" s="363">
        <f t="shared" si="0"/>
        <v>39.4</v>
      </c>
      <c r="E9" s="361">
        <f>IFERROR(100/'Skjema total MA'!C9*C9,0)</f>
        <v>9.5248620605233985</v>
      </c>
      <c r="F9" s="364"/>
      <c r="G9" s="365"/>
      <c r="H9" s="363"/>
      <c r="I9" s="361"/>
      <c r="J9" s="366">
        <f t="shared" si="1"/>
        <v>24706.27908</v>
      </c>
      <c r="K9" s="355">
        <f t="shared" si="1"/>
        <v>34447.908150000003</v>
      </c>
      <c r="L9" s="363">
        <f t="shared" si="2"/>
        <v>39.4</v>
      </c>
      <c r="M9" s="361">
        <f>IFERROR(100/'Skjema total MA'!I9*K9,0)</f>
        <v>9.5248620605233985</v>
      </c>
    </row>
    <row r="10" spans="1:14" ht="15.75" x14ac:dyDescent="0.2">
      <c r="A10" s="13" t="s">
        <v>359</v>
      </c>
      <c r="B10" s="356">
        <v>522424.73200000002</v>
      </c>
      <c r="C10" s="357">
        <v>628218.92773999996</v>
      </c>
      <c r="D10" s="363">
        <f t="shared" si="0"/>
        <v>20.3</v>
      </c>
      <c r="E10" s="361">
        <f>IFERROR(100/'Skjema total MA'!C10*C10,0)</f>
        <v>3.8291786603237625</v>
      </c>
      <c r="F10" s="356"/>
      <c r="G10" s="357"/>
      <c r="H10" s="363"/>
      <c r="I10" s="361"/>
      <c r="J10" s="362">
        <f t="shared" si="1"/>
        <v>522424.73200000002</v>
      </c>
      <c r="K10" s="357">
        <f t="shared" si="1"/>
        <v>628218.92773999996</v>
      </c>
      <c r="L10" s="363">
        <f t="shared" si="2"/>
        <v>20.3</v>
      </c>
      <c r="M10" s="361">
        <f>IFERROR(100/'Skjema total MA'!I10*K10,0)</f>
        <v>0.68781580441823953</v>
      </c>
    </row>
    <row r="11" spans="1:14" s="43" customFormat="1" ht="15.75" x14ac:dyDescent="0.2">
      <c r="A11" s="13" t="s">
        <v>360</v>
      </c>
      <c r="B11" s="356"/>
      <c r="C11" s="357"/>
      <c r="D11" s="363"/>
      <c r="E11" s="361"/>
      <c r="F11" s="356"/>
      <c r="G11" s="357"/>
      <c r="H11" s="363"/>
      <c r="I11" s="361"/>
      <c r="J11" s="362"/>
      <c r="K11" s="357"/>
      <c r="L11" s="363"/>
      <c r="M11" s="361"/>
      <c r="N11" s="143"/>
    </row>
    <row r="12" spans="1:14" s="43" customFormat="1" ht="15.75" x14ac:dyDescent="0.2">
      <c r="A12" s="41" t="s">
        <v>361</v>
      </c>
      <c r="B12" s="358"/>
      <c r="C12" s="359"/>
      <c r="D12" s="367"/>
      <c r="E12" s="367"/>
      <c r="F12" s="358"/>
      <c r="G12" s="359"/>
      <c r="H12" s="367"/>
      <c r="I12" s="367"/>
      <c r="J12" s="368"/>
      <c r="K12" s="359"/>
      <c r="L12" s="367"/>
      <c r="M12" s="367"/>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347"/>
      <c r="C18" s="347"/>
      <c r="D18" s="347"/>
      <c r="E18" s="348"/>
      <c r="F18" s="347"/>
      <c r="G18" s="347"/>
      <c r="H18" s="347"/>
      <c r="I18" s="348"/>
      <c r="J18" s="347"/>
      <c r="K18" s="347"/>
      <c r="L18" s="347"/>
      <c r="M18" s="348"/>
    </row>
    <row r="19" spans="1:14" x14ac:dyDescent="0.2">
      <c r="A19" s="144"/>
      <c r="B19" s="725" t="s">
        <v>0</v>
      </c>
      <c r="C19" s="726"/>
      <c r="D19" s="726"/>
      <c r="E19" s="345"/>
      <c r="F19" s="725" t="s">
        <v>1</v>
      </c>
      <c r="G19" s="726"/>
      <c r="H19" s="726"/>
      <c r="I19" s="346"/>
      <c r="J19" s="725" t="s">
        <v>2</v>
      </c>
      <c r="K19" s="726"/>
      <c r="L19" s="726"/>
      <c r="M19" s="346"/>
    </row>
    <row r="20" spans="1:14" x14ac:dyDescent="0.2">
      <c r="A20" s="140" t="s">
        <v>5</v>
      </c>
      <c r="B20" s="20">
        <v>44286</v>
      </c>
      <c r="C20" s="20">
        <v>44651</v>
      </c>
      <c r="D20" s="161" t="s">
        <v>3</v>
      </c>
      <c r="E20" s="298" t="s">
        <v>29</v>
      </c>
      <c r="F20" s="20">
        <v>44286</v>
      </c>
      <c r="G20" s="20">
        <v>44651</v>
      </c>
      <c r="H20" s="161" t="s">
        <v>3</v>
      </c>
      <c r="I20" s="298"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573">
        <v>157304.67027</v>
      </c>
      <c r="C22" s="573">
        <v>192433.72029</v>
      </c>
      <c r="D22" s="360">
        <f t="shared" ref="D22:D29" si="3">IF(AND(_xlfn.NUMBERVALUE(B22)=0,_xlfn.NUMBERVALUE(C22)=0),,IF(B22=0, "    ---- ", IF(ABS(ROUND(100/B22*C22-100,1))&lt;999,IF(ROUND(100/B22*C22-100,1)=0,"    ---- ",ROUND(100/B22*C22-100,1)),IF(ROUND(100/B22*C22-100,1)&gt;999,999,-999))))</f>
        <v>22.3</v>
      </c>
      <c r="E22" s="361">
        <f>IFERROR(100/'Skjema total MA'!C22*C22,0)</f>
        <v>25.28228458210458</v>
      </c>
      <c r="F22" s="369"/>
      <c r="G22" s="369"/>
      <c r="H22" s="360"/>
      <c r="I22" s="361"/>
      <c r="J22" s="351">
        <f t="shared" ref="J22:K29" si="4">SUM(B22,F22)</f>
        <v>157304.67027</v>
      </c>
      <c r="K22" s="351">
        <f t="shared" si="4"/>
        <v>192433.72029</v>
      </c>
      <c r="L22" s="360">
        <f t="shared" ref="L22:L29" si="5">IF(AND(_xlfn.NUMBERVALUE(J22)=0,_xlfn.NUMBERVALUE(K22)=0),,IF(J22=0, "    ---- ", IF(ABS(ROUND(100/J22*K22-100,1))&lt;999,IF(ROUND(100/J22*K22-100,1)=0,"    ---- ",ROUND(100/J22*K22-100,1)),IF(ROUND(100/J22*K22-100,1)&gt;999,999,-999))))</f>
        <v>22.3</v>
      </c>
      <c r="M22" s="361">
        <f>IFERROR(100/'Skjema total MA'!I22*K22,0)</f>
        <v>18.601138679160393</v>
      </c>
    </row>
    <row r="23" spans="1:14" ht="15.75" x14ac:dyDescent="0.2">
      <c r="A23" s="555" t="s">
        <v>362</v>
      </c>
      <c r="B23" s="353"/>
      <c r="C23" s="353"/>
      <c r="D23" s="363"/>
      <c r="E23" s="361"/>
      <c r="F23" s="353"/>
      <c r="G23" s="353"/>
      <c r="H23" s="363"/>
      <c r="I23" s="361"/>
      <c r="J23" s="353"/>
      <c r="K23" s="353"/>
      <c r="L23" s="363"/>
      <c r="M23" s="361"/>
    </row>
    <row r="24" spans="1:14" ht="15.75" x14ac:dyDescent="0.2">
      <c r="A24" s="555" t="s">
        <v>363</v>
      </c>
      <c r="B24" s="353"/>
      <c r="C24" s="353"/>
      <c r="D24" s="363"/>
      <c r="E24" s="361"/>
      <c r="F24" s="353"/>
      <c r="G24" s="353"/>
      <c r="H24" s="363"/>
      <c r="I24" s="361"/>
      <c r="J24" s="353"/>
      <c r="K24" s="353"/>
      <c r="L24" s="363"/>
      <c r="M24" s="361"/>
    </row>
    <row r="25" spans="1:14" ht="15.75" x14ac:dyDescent="0.2">
      <c r="A25" s="555" t="s">
        <v>364</v>
      </c>
      <c r="B25" s="353"/>
      <c r="C25" s="353"/>
      <c r="D25" s="363"/>
      <c r="E25" s="361"/>
      <c r="F25" s="353"/>
      <c r="G25" s="353"/>
      <c r="H25" s="363"/>
      <c r="I25" s="361"/>
      <c r="J25" s="353"/>
      <c r="K25" s="353"/>
      <c r="L25" s="363"/>
      <c r="M25" s="361"/>
    </row>
    <row r="26" spans="1:14" ht="15.75" x14ac:dyDescent="0.2">
      <c r="A26" s="555" t="s">
        <v>365</v>
      </c>
      <c r="B26" s="353"/>
      <c r="C26" s="353"/>
      <c r="D26" s="363"/>
      <c r="E26" s="361"/>
      <c r="F26" s="353"/>
      <c r="G26" s="353"/>
      <c r="H26" s="363"/>
      <c r="I26" s="361"/>
      <c r="J26" s="353"/>
      <c r="K26" s="353"/>
      <c r="L26" s="363"/>
      <c r="M26" s="361"/>
    </row>
    <row r="27" spans="1:14" x14ac:dyDescent="0.2">
      <c r="A27" s="555" t="s">
        <v>11</v>
      </c>
      <c r="B27" s="353"/>
      <c r="C27" s="353"/>
      <c r="D27" s="363"/>
      <c r="E27" s="361"/>
      <c r="F27" s="353"/>
      <c r="G27" s="353"/>
      <c r="H27" s="363"/>
      <c r="I27" s="361"/>
      <c r="J27" s="353"/>
      <c r="K27" s="353"/>
      <c r="L27" s="363"/>
      <c r="M27" s="361"/>
    </row>
    <row r="28" spans="1:14" ht="15.75" x14ac:dyDescent="0.2">
      <c r="A28" s="49" t="s">
        <v>270</v>
      </c>
      <c r="B28" s="353">
        <v>157304.67027</v>
      </c>
      <c r="C28" s="353">
        <v>192433.72029</v>
      </c>
      <c r="D28" s="363">
        <f t="shared" si="3"/>
        <v>22.3</v>
      </c>
      <c r="E28" s="361">
        <f>IFERROR(100/'Skjema total MA'!C28*C28,0)</f>
        <v>22.940443400317807</v>
      </c>
      <c r="F28" s="366"/>
      <c r="G28" s="355"/>
      <c r="H28" s="363"/>
      <c r="I28" s="361"/>
      <c r="J28" s="354">
        <f t="shared" si="4"/>
        <v>157304.67027</v>
      </c>
      <c r="K28" s="354">
        <f t="shared" si="4"/>
        <v>192433.72029</v>
      </c>
      <c r="L28" s="363">
        <f t="shared" si="5"/>
        <v>22.3</v>
      </c>
      <c r="M28" s="361">
        <f>IFERROR(100/'Skjema total MA'!I28*K28,0)</f>
        <v>22.940443400317807</v>
      </c>
    </row>
    <row r="29" spans="1:14" s="3" customFormat="1" ht="15.75" x14ac:dyDescent="0.2">
      <c r="A29" s="13" t="s">
        <v>359</v>
      </c>
      <c r="B29" s="356">
        <v>3392487.2137600002</v>
      </c>
      <c r="C29" s="356">
        <v>3810474.0251000002</v>
      </c>
      <c r="D29" s="363">
        <f t="shared" si="3"/>
        <v>12.3</v>
      </c>
      <c r="E29" s="361">
        <f>IFERROR(100/'Skjema total MA'!C29*C29,0)</f>
        <v>8.3857656569222705</v>
      </c>
      <c r="F29" s="362"/>
      <c r="G29" s="362"/>
      <c r="H29" s="363"/>
      <c r="I29" s="361"/>
      <c r="J29" s="356">
        <f t="shared" si="4"/>
        <v>3392487.2137600002</v>
      </c>
      <c r="K29" s="356">
        <f t="shared" si="4"/>
        <v>3810474.0251000002</v>
      </c>
      <c r="L29" s="363">
        <f t="shared" si="5"/>
        <v>12.3</v>
      </c>
      <c r="M29" s="361">
        <f>IFERROR(100/'Skjema total MA'!I29*K29,0)</f>
        <v>5.3891270643483393</v>
      </c>
      <c r="N29" s="148"/>
    </row>
    <row r="30" spans="1:14" s="3" customFormat="1" ht="15.75" x14ac:dyDescent="0.2">
      <c r="A30" s="555" t="s">
        <v>362</v>
      </c>
      <c r="B30" s="353"/>
      <c r="C30" s="353"/>
      <c r="D30" s="363"/>
      <c r="E30" s="361"/>
      <c r="F30" s="353"/>
      <c r="G30" s="353"/>
      <c r="H30" s="363"/>
      <c r="I30" s="361"/>
      <c r="J30" s="353"/>
      <c r="K30" s="353"/>
      <c r="L30" s="363"/>
      <c r="M30" s="361"/>
      <c r="N30" s="148"/>
    </row>
    <row r="31" spans="1:14" s="3" customFormat="1" ht="15.75" x14ac:dyDescent="0.2">
      <c r="A31" s="555" t="s">
        <v>363</v>
      </c>
      <c r="B31" s="353"/>
      <c r="C31" s="353"/>
      <c r="D31" s="363"/>
      <c r="E31" s="361"/>
      <c r="F31" s="353"/>
      <c r="G31" s="353"/>
      <c r="H31" s="363"/>
      <c r="I31" s="361"/>
      <c r="J31" s="353"/>
      <c r="K31" s="353"/>
      <c r="L31" s="363"/>
      <c r="M31" s="361"/>
      <c r="N31" s="148"/>
    </row>
    <row r="32" spans="1:14" ht="15.75" x14ac:dyDescent="0.2">
      <c r="A32" s="555" t="s">
        <v>364</v>
      </c>
      <c r="B32" s="353"/>
      <c r="C32" s="353"/>
      <c r="D32" s="363"/>
      <c r="E32" s="361"/>
      <c r="F32" s="353"/>
      <c r="G32" s="353"/>
      <c r="H32" s="363"/>
      <c r="I32" s="361"/>
      <c r="J32" s="353"/>
      <c r="K32" s="353"/>
      <c r="L32" s="363"/>
      <c r="M32" s="361"/>
    </row>
    <row r="33" spans="1:14" ht="15.75" x14ac:dyDescent="0.2">
      <c r="A33" s="555" t="s">
        <v>365</v>
      </c>
      <c r="B33" s="353"/>
      <c r="C33" s="353"/>
      <c r="D33" s="363"/>
      <c r="E33" s="361"/>
      <c r="F33" s="353"/>
      <c r="G33" s="353"/>
      <c r="H33" s="363"/>
      <c r="I33" s="361"/>
      <c r="J33" s="353"/>
      <c r="K33" s="353"/>
      <c r="L33" s="363"/>
      <c r="M33" s="361"/>
    </row>
    <row r="34" spans="1:14" ht="15.75" x14ac:dyDescent="0.2">
      <c r="A34" s="13" t="s">
        <v>360</v>
      </c>
      <c r="B34" s="356"/>
      <c r="C34" s="357"/>
      <c r="D34" s="363"/>
      <c r="E34" s="361"/>
      <c r="F34" s="362"/>
      <c r="G34" s="357"/>
      <c r="H34" s="363"/>
      <c r="I34" s="361"/>
      <c r="J34" s="356"/>
      <c r="K34" s="356"/>
      <c r="L34" s="363"/>
      <c r="M34" s="361"/>
    </row>
    <row r="35" spans="1:14" ht="15.75" x14ac:dyDescent="0.2">
      <c r="A35" s="13" t="s">
        <v>361</v>
      </c>
      <c r="B35" s="356"/>
      <c r="C35" s="357"/>
      <c r="D35" s="363"/>
      <c r="E35" s="361"/>
      <c r="F35" s="362"/>
      <c r="G35" s="357"/>
      <c r="H35" s="363"/>
      <c r="I35" s="361"/>
      <c r="J35" s="356"/>
      <c r="K35" s="356"/>
      <c r="L35" s="363"/>
      <c r="M35" s="361"/>
    </row>
    <row r="36" spans="1:14" ht="15.75" x14ac:dyDescent="0.2">
      <c r="A36" s="12" t="s">
        <v>278</v>
      </c>
      <c r="B36" s="356"/>
      <c r="C36" s="357"/>
      <c r="D36" s="363"/>
      <c r="E36" s="361"/>
      <c r="F36" s="370"/>
      <c r="G36" s="371"/>
      <c r="H36" s="363"/>
      <c r="I36" s="361"/>
      <c r="J36" s="356"/>
      <c r="K36" s="356"/>
      <c r="L36" s="363"/>
      <c r="M36" s="361"/>
    </row>
    <row r="37" spans="1:14" ht="15.75" x14ac:dyDescent="0.2">
      <c r="A37" s="12" t="s">
        <v>367</v>
      </c>
      <c r="B37" s="356"/>
      <c r="C37" s="357"/>
      <c r="D37" s="363"/>
      <c r="E37" s="361"/>
      <c r="F37" s="370"/>
      <c r="G37" s="372"/>
      <c r="H37" s="363"/>
      <c r="I37" s="361"/>
      <c r="J37" s="356"/>
      <c r="K37" s="356"/>
      <c r="L37" s="363"/>
      <c r="M37" s="361"/>
    </row>
    <row r="38" spans="1:14" ht="15.75" x14ac:dyDescent="0.2">
      <c r="A38" s="12" t="s">
        <v>368</v>
      </c>
      <c r="B38" s="356"/>
      <c r="C38" s="357"/>
      <c r="D38" s="363"/>
      <c r="E38" s="165"/>
      <c r="F38" s="370"/>
      <c r="G38" s="371"/>
      <c r="H38" s="363"/>
      <c r="I38" s="361"/>
      <c r="J38" s="356"/>
      <c r="K38" s="356"/>
      <c r="L38" s="363"/>
      <c r="M38" s="361"/>
    </row>
    <row r="39" spans="1:14" ht="15.75" x14ac:dyDescent="0.2">
      <c r="A39" s="18" t="s">
        <v>369</v>
      </c>
      <c r="B39" s="358"/>
      <c r="C39" s="359"/>
      <c r="D39" s="367"/>
      <c r="E39" s="166"/>
      <c r="F39" s="373"/>
      <c r="G39" s="374"/>
      <c r="H39" s="367"/>
      <c r="I39" s="361"/>
      <c r="J39" s="356"/>
      <c r="K39" s="356"/>
      <c r="L39" s="367"/>
      <c r="M39" s="367"/>
    </row>
    <row r="40" spans="1:14" ht="15.75" x14ac:dyDescent="0.25">
      <c r="A40" s="47"/>
      <c r="B40" s="249"/>
      <c r="C40" s="249"/>
      <c r="D40" s="350"/>
      <c r="E40" s="350"/>
      <c r="F40" s="350"/>
      <c r="G40" s="350"/>
      <c r="H40" s="350"/>
      <c r="I40" s="350"/>
      <c r="J40" s="350"/>
      <c r="K40" s="350"/>
      <c r="L40" s="350"/>
      <c r="M40" s="349"/>
    </row>
    <row r="41" spans="1:14" x14ac:dyDescent="0.2">
      <c r="A41" s="154"/>
    </row>
    <row r="42" spans="1:14" ht="15.75" x14ac:dyDescent="0.25">
      <c r="A42" s="147" t="s">
        <v>267</v>
      </c>
      <c r="B42" s="348"/>
      <c r="C42" s="348"/>
      <c r="D42" s="348"/>
      <c r="E42" s="348"/>
      <c r="F42" s="349"/>
      <c r="G42" s="349"/>
      <c r="H42" s="349"/>
      <c r="I42" s="349"/>
      <c r="J42" s="349"/>
      <c r="K42" s="349"/>
      <c r="L42" s="349"/>
      <c r="M42" s="349"/>
    </row>
    <row r="43" spans="1:14" ht="15.75" x14ac:dyDescent="0.25">
      <c r="A43" s="162"/>
      <c r="B43" s="347"/>
      <c r="C43" s="347"/>
      <c r="D43" s="347"/>
      <c r="E43" s="347"/>
      <c r="F43" s="349"/>
      <c r="G43" s="349"/>
      <c r="H43" s="349"/>
      <c r="I43" s="349"/>
      <c r="J43" s="349"/>
      <c r="K43" s="349"/>
      <c r="L43" s="349"/>
      <c r="M43" s="349"/>
    </row>
    <row r="44" spans="1:14" ht="15.75" x14ac:dyDescent="0.25">
      <c r="A44" s="243"/>
      <c r="B44" s="725" t="s">
        <v>0</v>
      </c>
      <c r="C44" s="726"/>
      <c r="D44" s="726"/>
      <c r="E44" s="239"/>
      <c r="F44" s="349"/>
      <c r="G44" s="349"/>
      <c r="H44" s="349"/>
      <c r="I44" s="349"/>
      <c r="J44" s="349"/>
      <c r="K44" s="349"/>
      <c r="L44" s="349"/>
      <c r="M44" s="349"/>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406" customFormat="1" ht="15.75" x14ac:dyDescent="0.2">
      <c r="A47" s="14" t="s">
        <v>23</v>
      </c>
      <c r="B47" s="356">
        <v>373318.51367000001</v>
      </c>
      <c r="C47" s="357">
        <v>363412.49969999999</v>
      </c>
      <c r="D47" s="410">
        <f>IF(AND(_xlfn.NUMBERVALUE(B47)=0,_xlfn.NUMBERVALUE(C47)=0),,IF(B47=0, "    ---- ", IF(ABS(ROUND(100/B47*C47-100,1))&lt;999,IF(ROUND(100/B47*C47-100,1)=0,"    ---- ",ROUND(100/B47*C47-100,1)),IF(ROUND(100/B47*C47-100,1)&gt;999,999,-999))))</f>
        <v>-2.7</v>
      </c>
      <c r="E47" s="411">
        <f>IFERROR(100/'Skjema total MA'!C47*C47,0)</f>
        <v>10.516956746861432</v>
      </c>
      <c r="F47" s="158"/>
      <c r="G47" s="172"/>
      <c r="H47" s="158"/>
      <c r="I47" s="158"/>
      <c r="J47" s="409"/>
      <c r="K47" s="409"/>
      <c r="L47" s="158"/>
      <c r="M47" s="158"/>
      <c r="N47" s="412"/>
    </row>
    <row r="48" spans="1:14" s="3" customFormat="1" ht="15.75" x14ac:dyDescent="0.2">
      <c r="A48" s="38" t="s">
        <v>370</v>
      </c>
      <c r="B48" s="354">
        <v>83032.426930000001</v>
      </c>
      <c r="C48" s="355">
        <v>87806.750450000007</v>
      </c>
      <c r="D48" s="363">
        <f t="shared" ref="D48:D57" si="6">IF(AND(_xlfn.NUMBERVALUE(B48)=0,_xlfn.NUMBERVALUE(C48)=0),,IF(B48=0, "    ---- ", IF(ABS(ROUND(100/B48*C48-100,1))&lt;999,IF(ROUND(100/B48*C48-100,1)=0,"    ---- ",ROUND(100/B48*C48-100,1)),IF(ROUND(100/B48*C48-100,1)&gt;999,999,-999))))</f>
        <v>5.7</v>
      </c>
      <c r="E48" s="399">
        <f>IFERROR(100/'Skjema total MA'!C48*C48,0)</f>
        <v>4.6465759250857079</v>
      </c>
      <c r="F48" s="145"/>
      <c r="G48" s="33"/>
      <c r="H48" s="145"/>
      <c r="I48" s="145"/>
      <c r="J48" s="33"/>
      <c r="K48" s="33"/>
      <c r="L48" s="158"/>
      <c r="M48" s="158"/>
      <c r="N48" s="148"/>
    </row>
    <row r="49" spans="1:14" s="3" customFormat="1" ht="15.75" x14ac:dyDescent="0.2">
      <c r="A49" s="38" t="s">
        <v>371</v>
      </c>
      <c r="B49" s="354">
        <v>290286.08674</v>
      </c>
      <c r="C49" s="355">
        <v>275605.74924999999</v>
      </c>
      <c r="D49" s="363">
        <f t="shared" si="6"/>
        <v>-5.0999999999999996</v>
      </c>
      <c r="E49" s="399">
        <f>IFERROR(100/'Skjema total MA'!C49*C49,0)</f>
        <v>17.601791963376286</v>
      </c>
      <c r="F49" s="145"/>
      <c r="G49" s="33"/>
      <c r="H49" s="145"/>
      <c r="I49" s="145"/>
      <c r="J49" s="37"/>
      <c r="K49" s="37"/>
      <c r="L49" s="158"/>
      <c r="M49" s="158"/>
      <c r="N49" s="148"/>
    </row>
    <row r="50" spans="1:14" s="3" customFormat="1" x14ac:dyDescent="0.2">
      <c r="A50" s="289" t="s">
        <v>6</v>
      </c>
      <c r="B50" s="370"/>
      <c r="C50" s="370"/>
      <c r="D50" s="363"/>
      <c r="E50" s="400"/>
      <c r="F50" s="145"/>
      <c r="G50" s="33"/>
      <c r="H50" s="145"/>
      <c r="I50" s="145"/>
      <c r="J50" s="33"/>
      <c r="K50" s="33"/>
      <c r="L50" s="158"/>
      <c r="M50" s="158"/>
      <c r="N50" s="148"/>
    </row>
    <row r="51" spans="1:14" s="3" customFormat="1" x14ac:dyDescent="0.2">
      <c r="A51" s="289" t="s">
        <v>7</v>
      </c>
      <c r="B51" s="370"/>
      <c r="C51" s="370"/>
      <c r="D51" s="363"/>
      <c r="E51" s="400"/>
      <c r="F51" s="145"/>
      <c r="G51" s="33"/>
      <c r="H51" s="145"/>
      <c r="I51" s="145"/>
      <c r="J51" s="33"/>
      <c r="K51" s="33"/>
      <c r="L51" s="158"/>
      <c r="M51" s="158"/>
      <c r="N51" s="148"/>
    </row>
    <row r="52" spans="1:14" s="3" customFormat="1" x14ac:dyDescent="0.2">
      <c r="A52" s="289" t="s">
        <v>8</v>
      </c>
      <c r="B52" s="370"/>
      <c r="C52" s="370"/>
      <c r="D52" s="363"/>
      <c r="E52" s="400"/>
      <c r="F52" s="145"/>
      <c r="G52" s="33"/>
      <c r="H52" s="145"/>
      <c r="I52" s="145"/>
      <c r="J52" s="33"/>
      <c r="K52" s="33"/>
      <c r="L52" s="158"/>
      <c r="M52" s="158"/>
      <c r="N52" s="148"/>
    </row>
    <row r="53" spans="1:14" s="3" customFormat="1" ht="15.75" x14ac:dyDescent="0.2">
      <c r="A53" s="39" t="s">
        <v>372</v>
      </c>
      <c r="B53" s="356">
        <v>678</v>
      </c>
      <c r="C53" s="357">
        <v>269</v>
      </c>
      <c r="D53" s="363">
        <f t="shared" si="6"/>
        <v>-60.3</v>
      </c>
      <c r="E53" s="399">
        <f>IFERROR(100/'Skjema total MA'!C53*C53,0)</f>
        <v>0.25146872458699371</v>
      </c>
      <c r="F53" s="145"/>
      <c r="G53" s="33"/>
      <c r="H53" s="145"/>
      <c r="I53" s="145"/>
      <c r="J53" s="33"/>
      <c r="K53" s="33"/>
      <c r="L53" s="158"/>
      <c r="M53" s="158"/>
      <c r="N53" s="148"/>
    </row>
    <row r="54" spans="1:14" s="3" customFormat="1" ht="15.75" x14ac:dyDescent="0.2">
      <c r="A54" s="38" t="s">
        <v>370</v>
      </c>
      <c r="B54" s="354">
        <v>678</v>
      </c>
      <c r="C54" s="355">
        <v>269</v>
      </c>
      <c r="D54" s="363">
        <f t="shared" si="6"/>
        <v>-60.3</v>
      </c>
      <c r="E54" s="399">
        <f>IFERROR(100/'Skjema total MA'!C54*C54,0)</f>
        <v>0.28917718480592552</v>
      </c>
      <c r="F54" s="145"/>
      <c r="G54" s="33"/>
      <c r="H54" s="145"/>
      <c r="I54" s="145"/>
      <c r="J54" s="33"/>
      <c r="K54" s="33"/>
      <c r="L54" s="158"/>
      <c r="M54" s="158"/>
      <c r="N54" s="148"/>
    </row>
    <row r="55" spans="1:14" s="3" customFormat="1" ht="15.75" x14ac:dyDescent="0.2">
      <c r="A55" s="38" t="s">
        <v>371</v>
      </c>
      <c r="B55" s="354"/>
      <c r="C55" s="355"/>
      <c r="D55" s="363"/>
      <c r="E55" s="399"/>
      <c r="F55" s="145"/>
      <c r="G55" s="33"/>
      <c r="H55" s="145"/>
      <c r="I55" s="145"/>
      <c r="J55" s="33"/>
      <c r="K55" s="33"/>
      <c r="L55" s="158"/>
      <c r="M55" s="158"/>
      <c r="N55" s="148"/>
    </row>
    <row r="56" spans="1:14" s="3" customFormat="1" ht="15.75" x14ac:dyDescent="0.2">
      <c r="A56" s="39" t="s">
        <v>373</v>
      </c>
      <c r="B56" s="356">
        <v>1427</v>
      </c>
      <c r="C56" s="357">
        <v>3921</v>
      </c>
      <c r="D56" s="363">
        <f t="shared" si="6"/>
        <v>174.8</v>
      </c>
      <c r="E56" s="399">
        <f>IFERROR(100/'Skjema total MA'!C56*C56,0)</f>
        <v>6.6298785342337867</v>
      </c>
      <c r="F56" s="145"/>
      <c r="G56" s="33"/>
      <c r="H56" s="145"/>
      <c r="I56" s="145"/>
      <c r="J56" s="33"/>
      <c r="K56" s="33"/>
      <c r="L56" s="158"/>
      <c r="M56" s="158"/>
      <c r="N56" s="148"/>
    </row>
    <row r="57" spans="1:14" s="3" customFormat="1" ht="15.75" x14ac:dyDescent="0.2">
      <c r="A57" s="38" t="s">
        <v>370</v>
      </c>
      <c r="B57" s="354">
        <v>1427</v>
      </c>
      <c r="C57" s="355">
        <v>3921</v>
      </c>
      <c r="D57" s="363">
        <f t="shared" si="6"/>
        <v>174.8</v>
      </c>
      <c r="E57" s="399">
        <f>IFERROR(100/'Skjema total MA'!C57*C57,0)</f>
        <v>6.6298785342337867</v>
      </c>
      <c r="F57" s="145"/>
      <c r="G57" s="33"/>
      <c r="H57" s="145"/>
      <c r="I57" s="145"/>
      <c r="J57" s="33"/>
      <c r="K57" s="33"/>
      <c r="L57" s="158"/>
      <c r="M57" s="158"/>
      <c r="N57" s="148"/>
    </row>
    <row r="58" spans="1:14" s="3" customFormat="1" ht="15.75" x14ac:dyDescent="0.2">
      <c r="A58" s="46" t="s">
        <v>371</v>
      </c>
      <c r="B58" s="375"/>
      <c r="C58" s="376"/>
      <c r="D58" s="367"/>
      <c r="E58" s="401"/>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347"/>
      <c r="C62" s="347"/>
      <c r="D62" s="347"/>
      <c r="E62" s="348"/>
      <c r="F62" s="347"/>
      <c r="G62" s="347"/>
      <c r="H62" s="347"/>
      <c r="I62" s="348"/>
      <c r="J62" s="347"/>
      <c r="K62" s="347"/>
      <c r="L62" s="347"/>
      <c r="M62" s="348"/>
    </row>
    <row r="63" spans="1:14" x14ac:dyDescent="0.2">
      <c r="A63" s="144"/>
      <c r="B63" s="725" t="s">
        <v>0</v>
      </c>
      <c r="C63" s="726"/>
      <c r="D63" s="727"/>
      <c r="E63" s="344"/>
      <c r="F63" s="726" t="s">
        <v>1</v>
      </c>
      <c r="G63" s="726"/>
      <c r="H63" s="726"/>
      <c r="I63" s="346"/>
      <c r="J63" s="725" t="s">
        <v>2</v>
      </c>
      <c r="K63" s="726"/>
      <c r="L63" s="726"/>
      <c r="M63" s="346"/>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77"/>
      <c r="C66" s="377"/>
      <c r="D66" s="360"/>
      <c r="E66" s="361"/>
      <c r="F66" s="377"/>
      <c r="G66" s="377"/>
      <c r="H66" s="360"/>
      <c r="I66" s="361"/>
      <c r="J66" s="357"/>
      <c r="K66" s="351"/>
      <c r="L66" s="363"/>
      <c r="M66" s="361"/>
    </row>
    <row r="67" spans="1:14" x14ac:dyDescent="0.2">
      <c r="A67" s="21" t="s">
        <v>9</v>
      </c>
      <c r="B67" s="354"/>
      <c r="C67" s="378"/>
      <c r="D67" s="363"/>
      <c r="E67" s="361"/>
      <c r="F67" s="366"/>
      <c r="G67" s="378"/>
      <c r="H67" s="363"/>
      <c r="I67" s="361"/>
      <c r="J67" s="355"/>
      <c r="K67" s="354"/>
      <c r="L67" s="363"/>
      <c r="M67" s="361"/>
    </row>
    <row r="68" spans="1:14" x14ac:dyDescent="0.2">
      <c r="A68" s="21" t="s">
        <v>10</v>
      </c>
      <c r="B68" s="379"/>
      <c r="C68" s="380"/>
      <c r="D68" s="363"/>
      <c r="E68" s="361"/>
      <c r="F68" s="379"/>
      <c r="G68" s="380"/>
      <c r="H68" s="363"/>
      <c r="I68" s="361"/>
      <c r="J68" s="355"/>
      <c r="K68" s="354"/>
      <c r="L68" s="363"/>
      <c r="M68" s="361"/>
    </row>
    <row r="69" spans="1:14" ht="15.75" x14ac:dyDescent="0.2">
      <c r="A69" s="289" t="s">
        <v>374</v>
      </c>
      <c r="B69" s="370"/>
      <c r="C69" s="370"/>
      <c r="D69" s="363"/>
      <c r="E69" s="385"/>
      <c r="F69" s="370"/>
      <c r="G69" s="370"/>
      <c r="H69" s="363"/>
      <c r="I69" s="361"/>
      <c r="J69" s="370"/>
      <c r="K69" s="370"/>
      <c r="L69" s="363"/>
      <c r="M69" s="361"/>
    </row>
    <row r="70" spans="1:14" x14ac:dyDescent="0.2">
      <c r="A70" s="289" t="s">
        <v>12</v>
      </c>
      <c r="B70" s="370"/>
      <c r="C70" s="370"/>
      <c r="D70" s="363"/>
      <c r="E70" s="385"/>
      <c r="F70" s="370"/>
      <c r="G70" s="370"/>
      <c r="H70" s="363"/>
      <c r="I70" s="361"/>
      <c r="J70" s="370"/>
      <c r="K70" s="370"/>
      <c r="L70" s="363"/>
      <c r="M70" s="361"/>
    </row>
    <row r="71" spans="1:14" x14ac:dyDescent="0.2">
      <c r="A71" s="289" t="s">
        <v>13</v>
      </c>
      <c r="B71" s="370"/>
      <c r="C71" s="370"/>
      <c r="D71" s="363"/>
      <c r="E71" s="385"/>
      <c r="F71" s="370"/>
      <c r="G71" s="370"/>
      <c r="H71" s="363"/>
      <c r="I71" s="361"/>
      <c r="J71" s="370"/>
      <c r="K71" s="370"/>
      <c r="L71" s="363"/>
      <c r="M71" s="361"/>
    </row>
    <row r="72" spans="1:14" ht="15.75" x14ac:dyDescent="0.2">
      <c r="A72" s="289" t="s">
        <v>375</v>
      </c>
      <c r="B72" s="370"/>
      <c r="C72" s="370"/>
      <c r="D72" s="363"/>
      <c r="E72" s="385"/>
      <c r="F72" s="370"/>
      <c r="G72" s="370"/>
      <c r="H72" s="363"/>
      <c r="I72" s="361"/>
      <c r="J72" s="370"/>
      <c r="K72" s="370"/>
      <c r="L72" s="363"/>
      <c r="M72" s="361"/>
    </row>
    <row r="73" spans="1:14" x14ac:dyDescent="0.2">
      <c r="A73" s="289" t="s">
        <v>12</v>
      </c>
      <c r="B73" s="381"/>
      <c r="C73" s="382"/>
      <c r="D73" s="363"/>
      <c r="E73" s="385"/>
      <c r="F73" s="370"/>
      <c r="G73" s="370"/>
      <c r="H73" s="363"/>
      <c r="I73" s="361"/>
      <c r="J73" s="370"/>
      <c r="K73" s="370"/>
      <c r="L73" s="363"/>
      <c r="M73" s="361"/>
    </row>
    <row r="74" spans="1:14" s="3" customFormat="1" x14ac:dyDescent="0.2">
      <c r="A74" s="289" t="s">
        <v>13</v>
      </c>
      <c r="B74" s="381"/>
      <c r="C74" s="382"/>
      <c r="D74" s="363"/>
      <c r="E74" s="385"/>
      <c r="F74" s="370"/>
      <c r="G74" s="370"/>
      <c r="H74" s="363"/>
      <c r="I74" s="361"/>
      <c r="J74" s="370"/>
      <c r="K74" s="370"/>
      <c r="L74" s="363"/>
      <c r="M74" s="361"/>
      <c r="N74" s="148"/>
    </row>
    <row r="75" spans="1:14" s="3" customFormat="1" x14ac:dyDescent="0.2">
      <c r="A75" s="21" t="s">
        <v>344</v>
      </c>
      <c r="B75" s="366"/>
      <c r="C75" s="378"/>
      <c r="D75" s="363"/>
      <c r="E75" s="361"/>
      <c r="F75" s="366"/>
      <c r="G75" s="378"/>
      <c r="H75" s="363"/>
      <c r="I75" s="361"/>
      <c r="J75" s="355"/>
      <c r="K75" s="354"/>
      <c r="L75" s="363"/>
      <c r="M75" s="361"/>
      <c r="N75" s="148"/>
    </row>
    <row r="76" spans="1:14" s="3" customFormat="1" x14ac:dyDescent="0.2">
      <c r="A76" s="21" t="s">
        <v>343</v>
      </c>
      <c r="B76" s="366"/>
      <c r="C76" s="378"/>
      <c r="D76" s="363"/>
      <c r="E76" s="361"/>
      <c r="F76" s="366"/>
      <c r="G76" s="378"/>
      <c r="H76" s="363"/>
      <c r="I76" s="361"/>
      <c r="J76" s="355"/>
      <c r="K76" s="354"/>
      <c r="L76" s="363"/>
      <c r="M76" s="361"/>
      <c r="N76" s="148"/>
    </row>
    <row r="77" spans="1:14" ht="15.75" x14ac:dyDescent="0.2">
      <c r="A77" s="21" t="s">
        <v>376</v>
      </c>
      <c r="B77" s="366"/>
      <c r="C77" s="366"/>
      <c r="D77" s="363"/>
      <c r="E77" s="361"/>
      <c r="F77" s="366"/>
      <c r="G77" s="378"/>
      <c r="H77" s="363"/>
      <c r="I77" s="361"/>
      <c r="J77" s="355"/>
      <c r="K77" s="354"/>
      <c r="L77" s="363"/>
      <c r="M77" s="361"/>
    </row>
    <row r="78" spans="1:14" x14ac:dyDescent="0.2">
      <c r="A78" s="21" t="s">
        <v>9</v>
      </c>
      <c r="B78" s="366"/>
      <c r="C78" s="378"/>
      <c r="D78" s="363"/>
      <c r="E78" s="361"/>
      <c r="F78" s="366"/>
      <c r="G78" s="378"/>
      <c r="H78" s="363"/>
      <c r="I78" s="361"/>
      <c r="J78" s="355"/>
      <c r="K78" s="354"/>
      <c r="L78" s="363"/>
      <c r="M78" s="361"/>
    </row>
    <row r="79" spans="1:14" x14ac:dyDescent="0.2">
      <c r="A79" s="38" t="s">
        <v>413</v>
      </c>
      <c r="B79" s="379"/>
      <c r="C79" s="380"/>
      <c r="D79" s="363"/>
      <c r="E79" s="361"/>
      <c r="F79" s="379"/>
      <c r="G79" s="380"/>
      <c r="H79" s="363"/>
      <c r="I79" s="361"/>
      <c r="J79" s="355"/>
      <c r="K79" s="354"/>
      <c r="L79" s="363"/>
      <c r="M79" s="361"/>
    </row>
    <row r="80" spans="1:14" ht="15.75" x14ac:dyDescent="0.2">
      <c r="A80" s="289" t="s">
        <v>374</v>
      </c>
      <c r="B80" s="370"/>
      <c r="C80" s="370"/>
      <c r="D80" s="363"/>
      <c r="E80" s="385"/>
      <c r="F80" s="370"/>
      <c r="G80" s="370"/>
      <c r="H80" s="363"/>
      <c r="I80" s="361"/>
      <c r="J80" s="370"/>
      <c r="K80" s="370"/>
      <c r="L80" s="363"/>
      <c r="M80" s="361"/>
    </row>
    <row r="81" spans="1:13" x14ac:dyDescent="0.2">
      <c r="A81" s="289" t="s">
        <v>12</v>
      </c>
      <c r="B81" s="370"/>
      <c r="C81" s="370"/>
      <c r="D81" s="363"/>
      <c r="E81" s="385"/>
      <c r="F81" s="370"/>
      <c r="G81" s="370"/>
      <c r="H81" s="363"/>
      <c r="I81" s="361"/>
      <c r="J81" s="370"/>
      <c r="K81" s="370"/>
      <c r="L81" s="363"/>
      <c r="M81" s="361"/>
    </row>
    <row r="82" spans="1:13" x14ac:dyDescent="0.2">
      <c r="A82" s="289" t="s">
        <v>13</v>
      </c>
      <c r="B82" s="370"/>
      <c r="C82" s="370"/>
      <c r="D82" s="363"/>
      <c r="E82" s="385"/>
      <c r="F82" s="370"/>
      <c r="G82" s="370"/>
      <c r="H82" s="363"/>
      <c r="I82" s="361"/>
      <c r="J82" s="370"/>
      <c r="K82" s="370"/>
      <c r="L82" s="363"/>
      <c r="M82" s="361"/>
    </row>
    <row r="83" spans="1:13" ht="15.75" x14ac:dyDescent="0.2">
      <c r="A83" s="289" t="s">
        <v>375</v>
      </c>
      <c r="B83" s="370"/>
      <c r="C83" s="370"/>
      <c r="D83" s="363"/>
      <c r="E83" s="385"/>
      <c r="F83" s="370"/>
      <c r="G83" s="370"/>
      <c r="H83" s="363"/>
      <c r="I83" s="361"/>
      <c r="J83" s="370"/>
      <c r="K83" s="370"/>
      <c r="L83" s="363"/>
      <c r="M83" s="361"/>
    </row>
    <row r="84" spans="1:13" x14ac:dyDescent="0.2">
      <c r="A84" s="289" t="s">
        <v>12</v>
      </c>
      <c r="B84" s="370"/>
      <c r="C84" s="370"/>
      <c r="D84" s="363"/>
      <c r="E84" s="385"/>
      <c r="F84" s="370"/>
      <c r="G84" s="370"/>
      <c r="H84" s="363"/>
      <c r="I84" s="361"/>
      <c r="J84" s="370"/>
      <c r="K84" s="370"/>
      <c r="L84" s="363"/>
      <c r="M84" s="361"/>
    </row>
    <row r="85" spans="1:13" x14ac:dyDescent="0.2">
      <c r="A85" s="289" t="s">
        <v>13</v>
      </c>
      <c r="B85" s="370"/>
      <c r="C85" s="370"/>
      <c r="D85" s="363"/>
      <c r="E85" s="385"/>
      <c r="F85" s="370"/>
      <c r="G85" s="370"/>
      <c r="H85" s="363"/>
      <c r="I85" s="361"/>
      <c r="J85" s="370"/>
      <c r="K85" s="370"/>
      <c r="L85" s="363"/>
      <c r="M85" s="361"/>
    </row>
    <row r="86" spans="1:13" ht="15.75" x14ac:dyDescent="0.2">
      <c r="A86" s="21" t="s">
        <v>377</v>
      </c>
      <c r="B86" s="366"/>
      <c r="C86" s="378"/>
      <c r="D86" s="363"/>
      <c r="E86" s="361"/>
      <c r="F86" s="366"/>
      <c r="G86" s="378"/>
      <c r="H86" s="363"/>
      <c r="I86" s="361"/>
      <c r="J86" s="355"/>
      <c r="K86" s="354"/>
      <c r="L86" s="363"/>
      <c r="M86" s="361"/>
    </row>
    <row r="87" spans="1:13" ht="15.75" x14ac:dyDescent="0.2">
      <c r="A87" s="13" t="s">
        <v>359</v>
      </c>
      <c r="B87" s="377"/>
      <c r="C87" s="377"/>
      <c r="D87" s="363"/>
      <c r="E87" s="361"/>
      <c r="F87" s="377"/>
      <c r="G87" s="377"/>
      <c r="H87" s="363"/>
      <c r="I87" s="361"/>
      <c r="J87" s="357"/>
      <c r="K87" s="356"/>
      <c r="L87" s="363"/>
      <c r="M87" s="361"/>
    </row>
    <row r="88" spans="1:13" x14ac:dyDescent="0.2">
      <c r="A88" s="21" t="s">
        <v>9</v>
      </c>
      <c r="B88" s="366"/>
      <c r="C88" s="378"/>
      <c r="D88" s="363"/>
      <c r="E88" s="361"/>
      <c r="F88" s="366"/>
      <c r="G88" s="378"/>
      <c r="H88" s="363"/>
      <c r="I88" s="361"/>
      <c r="J88" s="355"/>
      <c r="K88" s="354"/>
      <c r="L88" s="363"/>
      <c r="M88" s="361"/>
    </row>
    <row r="89" spans="1:13" x14ac:dyDescent="0.2">
      <c r="A89" s="21" t="s">
        <v>10</v>
      </c>
      <c r="B89" s="366"/>
      <c r="C89" s="378"/>
      <c r="D89" s="363"/>
      <c r="E89" s="361"/>
      <c r="F89" s="366"/>
      <c r="G89" s="378"/>
      <c r="H89" s="363"/>
      <c r="I89" s="361"/>
      <c r="J89" s="355"/>
      <c r="K89" s="354"/>
      <c r="L89" s="363"/>
      <c r="M89" s="361"/>
    </row>
    <row r="90" spans="1:13" ht="15.75" x14ac:dyDescent="0.2">
      <c r="A90" s="289" t="s">
        <v>374</v>
      </c>
      <c r="B90" s="370"/>
      <c r="C90" s="370"/>
      <c r="D90" s="363"/>
      <c r="E90" s="385"/>
      <c r="F90" s="370"/>
      <c r="G90" s="370"/>
      <c r="H90" s="363"/>
      <c r="I90" s="361"/>
      <c r="J90" s="370"/>
      <c r="K90" s="370"/>
      <c r="L90" s="363"/>
      <c r="M90" s="361"/>
    </row>
    <row r="91" spans="1:13" x14ac:dyDescent="0.2">
      <c r="A91" s="289" t="s">
        <v>12</v>
      </c>
      <c r="B91" s="370"/>
      <c r="C91" s="370"/>
      <c r="D91" s="363"/>
      <c r="E91" s="385"/>
      <c r="F91" s="370"/>
      <c r="G91" s="370"/>
      <c r="H91" s="363"/>
      <c r="I91" s="361"/>
      <c r="J91" s="370"/>
      <c r="K91" s="370"/>
      <c r="L91" s="363"/>
      <c r="M91" s="361"/>
    </row>
    <row r="92" spans="1:13" x14ac:dyDescent="0.2">
      <c r="A92" s="289" t="s">
        <v>13</v>
      </c>
      <c r="B92" s="370"/>
      <c r="C92" s="370"/>
      <c r="D92" s="363"/>
      <c r="E92" s="385"/>
      <c r="F92" s="370"/>
      <c r="G92" s="370"/>
      <c r="H92" s="363"/>
      <c r="I92" s="361"/>
      <c r="J92" s="370"/>
      <c r="K92" s="370"/>
      <c r="L92" s="363"/>
      <c r="M92" s="361"/>
    </row>
    <row r="93" spans="1:13" ht="15.75" x14ac:dyDescent="0.2">
      <c r="A93" s="289" t="s">
        <v>375</v>
      </c>
      <c r="B93" s="370"/>
      <c r="C93" s="370"/>
      <c r="D93" s="363"/>
      <c r="E93" s="385"/>
      <c r="F93" s="370"/>
      <c r="G93" s="370"/>
      <c r="H93" s="363"/>
      <c r="I93" s="361"/>
      <c r="J93" s="370"/>
      <c r="K93" s="370"/>
      <c r="L93" s="363"/>
      <c r="M93" s="361"/>
    </row>
    <row r="94" spans="1:13" x14ac:dyDescent="0.2">
      <c r="A94" s="289" t="s">
        <v>12</v>
      </c>
      <c r="B94" s="381"/>
      <c r="C94" s="382"/>
      <c r="D94" s="363"/>
      <c r="E94" s="385"/>
      <c r="F94" s="370"/>
      <c r="G94" s="370"/>
      <c r="H94" s="363"/>
      <c r="I94" s="361"/>
      <c r="J94" s="370"/>
      <c r="K94" s="370"/>
      <c r="L94" s="363"/>
      <c r="M94" s="361"/>
    </row>
    <row r="95" spans="1:13" x14ac:dyDescent="0.2">
      <c r="A95" s="289" t="s">
        <v>13</v>
      </c>
      <c r="B95" s="381"/>
      <c r="C95" s="382"/>
      <c r="D95" s="363"/>
      <c r="E95" s="385"/>
      <c r="F95" s="370"/>
      <c r="G95" s="370"/>
      <c r="H95" s="363"/>
      <c r="I95" s="361"/>
      <c r="J95" s="370"/>
      <c r="K95" s="370"/>
      <c r="L95" s="363"/>
      <c r="M95" s="361"/>
    </row>
    <row r="96" spans="1:13" x14ac:dyDescent="0.2">
      <c r="A96" s="21" t="s">
        <v>342</v>
      </c>
      <c r="B96" s="366"/>
      <c r="C96" s="378"/>
      <c r="D96" s="363"/>
      <c r="E96" s="361"/>
      <c r="F96" s="366"/>
      <c r="G96" s="378"/>
      <c r="H96" s="363"/>
      <c r="I96" s="361"/>
      <c r="J96" s="355"/>
      <c r="K96" s="354"/>
      <c r="L96" s="363"/>
      <c r="M96" s="361"/>
    </row>
    <row r="97" spans="1:13" x14ac:dyDescent="0.2">
      <c r="A97" s="21" t="s">
        <v>341</v>
      </c>
      <c r="B97" s="366"/>
      <c r="C97" s="378"/>
      <c r="D97" s="363"/>
      <c r="E97" s="361"/>
      <c r="F97" s="366"/>
      <c r="G97" s="378"/>
      <c r="H97" s="363"/>
      <c r="I97" s="361"/>
      <c r="J97" s="355"/>
      <c r="K97" s="354"/>
      <c r="L97" s="363"/>
      <c r="M97" s="361"/>
    </row>
    <row r="98" spans="1:13" ht="15.75" x14ac:dyDescent="0.2">
      <c r="A98" s="21" t="s">
        <v>376</v>
      </c>
      <c r="B98" s="366"/>
      <c r="C98" s="366"/>
      <c r="D98" s="363"/>
      <c r="E98" s="361"/>
      <c r="F98" s="379"/>
      <c r="G98" s="379"/>
      <c r="H98" s="363"/>
      <c r="I98" s="361"/>
      <c r="J98" s="355"/>
      <c r="K98" s="354"/>
      <c r="L98" s="363"/>
      <c r="M98" s="361"/>
    </row>
    <row r="99" spans="1:13" x14ac:dyDescent="0.2">
      <c r="A99" s="21" t="s">
        <v>9</v>
      </c>
      <c r="B99" s="379"/>
      <c r="C99" s="380"/>
      <c r="D99" s="363"/>
      <c r="E99" s="361"/>
      <c r="F99" s="366"/>
      <c r="G99" s="378"/>
      <c r="H99" s="363"/>
      <c r="I99" s="361"/>
      <c r="J99" s="355"/>
      <c r="K99" s="354"/>
      <c r="L99" s="363"/>
      <c r="M99" s="361"/>
    </row>
    <row r="100" spans="1:13" x14ac:dyDescent="0.2">
      <c r="A100" s="38" t="s">
        <v>413</v>
      </c>
      <c r="B100" s="379"/>
      <c r="C100" s="380"/>
      <c r="D100" s="363"/>
      <c r="E100" s="361"/>
      <c r="F100" s="366"/>
      <c r="G100" s="366"/>
      <c r="H100" s="363"/>
      <c r="I100" s="361"/>
      <c r="J100" s="355"/>
      <c r="K100" s="354"/>
      <c r="L100" s="363"/>
      <c r="M100" s="361"/>
    </row>
    <row r="101" spans="1:13" ht="15.75" x14ac:dyDescent="0.2">
      <c r="A101" s="289" t="s">
        <v>374</v>
      </c>
      <c r="B101" s="370"/>
      <c r="C101" s="370"/>
      <c r="D101" s="363"/>
      <c r="E101" s="385"/>
      <c r="F101" s="370"/>
      <c r="G101" s="370"/>
      <c r="H101" s="363"/>
      <c r="I101" s="361"/>
      <c r="J101" s="370"/>
      <c r="K101" s="370"/>
      <c r="L101" s="363"/>
      <c r="M101" s="361"/>
    </row>
    <row r="102" spans="1:13" x14ac:dyDescent="0.2">
      <c r="A102" s="289" t="s">
        <v>12</v>
      </c>
      <c r="B102" s="370"/>
      <c r="C102" s="370"/>
      <c r="D102" s="363"/>
      <c r="E102" s="385"/>
      <c r="F102" s="370"/>
      <c r="G102" s="370"/>
      <c r="H102" s="363"/>
      <c r="I102" s="361"/>
      <c r="J102" s="370"/>
      <c r="K102" s="370"/>
      <c r="L102" s="363"/>
      <c r="M102" s="361"/>
    </row>
    <row r="103" spans="1:13" x14ac:dyDescent="0.2">
      <c r="A103" s="289" t="s">
        <v>13</v>
      </c>
      <c r="B103" s="370"/>
      <c r="C103" s="370"/>
      <c r="D103" s="363"/>
      <c r="E103" s="385"/>
      <c r="F103" s="370"/>
      <c r="G103" s="370"/>
      <c r="H103" s="363"/>
      <c r="I103" s="361"/>
      <c r="J103" s="370"/>
      <c r="K103" s="370"/>
      <c r="L103" s="363"/>
      <c r="M103" s="361"/>
    </row>
    <row r="104" spans="1:13" ht="15.75" x14ac:dyDescent="0.2">
      <c r="A104" s="289" t="s">
        <v>375</v>
      </c>
      <c r="B104" s="370"/>
      <c r="C104" s="370"/>
      <c r="D104" s="363"/>
      <c r="E104" s="385"/>
      <c r="F104" s="370"/>
      <c r="G104" s="370"/>
      <c r="H104" s="363"/>
      <c r="I104" s="361"/>
      <c r="J104" s="370"/>
      <c r="K104" s="370"/>
      <c r="L104" s="363"/>
      <c r="M104" s="361"/>
    </row>
    <row r="105" spans="1:13" x14ac:dyDescent="0.2">
      <c r="A105" s="289" t="s">
        <v>12</v>
      </c>
      <c r="B105" s="381"/>
      <c r="C105" s="382"/>
      <c r="D105" s="363"/>
      <c r="E105" s="385"/>
      <c r="F105" s="370"/>
      <c r="G105" s="370"/>
      <c r="H105" s="363"/>
      <c r="I105" s="361"/>
      <c r="J105" s="370"/>
      <c r="K105" s="370"/>
      <c r="L105" s="363"/>
      <c r="M105" s="361"/>
    </row>
    <row r="106" spans="1:13" x14ac:dyDescent="0.2">
      <c r="A106" s="289" t="s">
        <v>13</v>
      </c>
      <c r="B106" s="381"/>
      <c r="C106" s="382"/>
      <c r="D106" s="363"/>
      <c r="E106" s="385"/>
      <c r="F106" s="370"/>
      <c r="G106" s="370"/>
      <c r="H106" s="363"/>
      <c r="I106" s="361"/>
      <c r="J106" s="370"/>
      <c r="K106" s="370"/>
      <c r="L106" s="363"/>
      <c r="M106" s="361"/>
    </row>
    <row r="107" spans="1:13" ht="15.75" x14ac:dyDescent="0.2">
      <c r="A107" s="21" t="s">
        <v>377</v>
      </c>
      <c r="B107" s="366"/>
      <c r="C107" s="378"/>
      <c r="D107" s="363"/>
      <c r="E107" s="361"/>
      <c r="F107" s="366"/>
      <c r="G107" s="378"/>
      <c r="H107" s="363"/>
      <c r="I107" s="361"/>
      <c r="J107" s="355"/>
      <c r="K107" s="354"/>
      <c r="L107" s="363"/>
      <c r="M107" s="361"/>
    </row>
    <row r="108" spans="1:13" ht="15.75" x14ac:dyDescent="0.2">
      <c r="A108" s="21" t="s">
        <v>378</v>
      </c>
      <c r="B108" s="366"/>
      <c r="C108" s="366"/>
      <c r="D108" s="363"/>
      <c r="E108" s="361"/>
      <c r="F108" s="366"/>
      <c r="G108" s="366"/>
      <c r="H108" s="363"/>
      <c r="I108" s="361"/>
      <c r="J108" s="355"/>
      <c r="K108" s="354"/>
      <c r="L108" s="363"/>
      <c r="M108" s="361"/>
    </row>
    <row r="109" spans="1:13" ht="15.6" customHeight="1" x14ac:dyDescent="0.2">
      <c r="A109" s="21" t="s">
        <v>430</v>
      </c>
      <c r="B109" s="366"/>
      <c r="C109" s="366"/>
      <c r="D109" s="363"/>
      <c r="E109" s="361"/>
      <c r="F109" s="366"/>
      <c r="G109" s="366"/>
      <c r="H109" s="363"/>
      <c r="I109" s="361"/>
      <c r="J109" s="355"/>
      <c r="K109" s="354"/>
      <c r="L109" s="363"/>
      <c r="M109" s="361"/>
    </row>
    <row r="110" spans="1:13" ht="15.75" x14ac:dyDescent="0.2">
      <c r="A110" s="21" t="s">
        <v>379</v>
      </c>
      <c r="B110" s="366"/>
      <c r="C110" s="366"/>
      <c r="D110" s="363"/>
      <c r="E110" s="361"/>
      <c r="F110" s="366"/>
      <c r="G110" s="366"/>
      <c r="H110" s="363"/>
      <c r="I110" s="361"/>
      <c r="J110" s="355"/>
      <c r="K110" s="354"/>
      <c r="L110" s="363"/>
      <c r="M110" s="361"/>
    </row>
    <row r="111" spans="1:13" ht="15.75" x14ac:dyDescent="0.2">
      <c r="A111" s="13" t="s">
        <v>360</v>
      </c>
      <c r="B111" s="362"/>
      <c r="C111" s="383"/>
      <c r="D111" s="363"/>
      <c r="E111" s="361"/>
      <c r="F111" s="362"/>
      <c r="G111" s="383"/>
      <c r="H111" s="363"/>
      <c r="I111" s="361"/>
      <c r="J111" s="357"/>
      <c r="K111" s="356"/>
      <c r="L111" s="363"/>
      <c r="M111" s="361"/>
    </row>
    <row r="112" spans="1:13" x14ac:dyDescent="0.2">
      <c r="A112" s="21" t="s">
        <v>9</v>
      </c>
      <c r="B112" s="366"/>
      <c r="C112" s="378"/>
      <c r="D112" s="363"/>
      <c r="E112" s="361"/>
      <c r="F112" s="366"/>
      <c r="G112" s="378"/>
      <c r="H112" s="363"/>
      <c r="I112" s="361"/>
      <c r="J112" s="355"/>
      <c r="K112" s="354"/>
      <c r="L112" s="363"/>
      <c r="M112" s="361"/>
    </row>
    <row r="113" spans="1:14" x14ac:dyDescent="0.2">
      <c r="A113" s="21" t="s">
        <v>10</v>
      </c>
      <c r="B113" s="366"/>
      <c r="C113" s="378"/>
      <c r="D113" s="363"/>
      <c r="E113" s="361"/>
      <c r="F113" s="366"/>
      <c r="G113" s="378"/>
      <c r="H113" s="363"/>
      <c r="I113" s="361"/>
      <c r="J113" s="355"/>
      <c r="K113" s="354"/>
      <c r="L113" s="363"/>
      <c r="M113" s="361"/>
    </row>
    <row r="114" spans="1:14" x14ac:dyDescent="0.2">
      <c r="A114" s="21" t="s">
        <v>26</v>
      </c>
      <c r="B114" s="366"/>
      <c r="C114" s="378"/>
      <c r="D114" s="363"/>
      <c r="E114" s="361"/>
      <c r="F114" s="366"/>
      <c r="G114" s="378"/>
      <c r="H114" s="363"/>
      <c r="I114" s="361"/>
      <c r="J114" s="355"/>
      <c r="K114" s="354"/>
      <c r="L114" s="363"/>
      <c r="M114" s="361"/>
    </row>
    <row r="115" spans="1:14" x14ac:dyDescent="0.2">
      <c r="A115" s="289" t="s">
        <v>15</v>
      </c>
      <c r="B115" s="370"/>
      <c r="C115" s="370"/>
      <c r="D115" s="363"/>
      <c r="E115" s="385"/>
      <c r="F115" s="370"/>
      <c r="G115" s="370"/>
      <c r="H115" s="363"/>
      <c r="I115" s="361"/>
      <c r="J115" s="370"/>
      <c r="K115" s="370"/>
      <c r="L115" s="363"/>
      <c r="M115" s="361"/>
    </row>
    <row r="116" spans="1:14" ht="15.75" x14ac:dyDescent="0.2">
      <c r="A116" s="21" t="s">
        <v>380</v>
      </c>
      <c r="B116" s="366"/>
      <c r="C116" s="366"/>
      <c r="D116" s="363"/>
      <c r="E116" s="361"/>
      <c r="F116" s="366"/>
      <c r="G116" s="366"/>
      <c r="H116" s="363"/>
      <c r="I116" s="361"/>
      <c r="J116" s="355"/>
      <c r="K116" s="354"/>
      <c r="L116" s="363"/>
      <c r="M116" s="361"/>
    </row>
    <row r="117" spans="1:14" ht="15.6" customHeight="1" x14ac:dyDescent="0.2">
      <c r="A117" s="21" t="s">
        <v>430</v>
      </c>
      <c r="B117" s="366"/>
      <c r="C117" s="366"/>
      <c r="D117" s="363"/>
      <c r="E117" s="361"/>
      <c r="F117" s="366"/>
      <c r="G117" s="366"/>
      <c r="H117" s="363"/>
      <c r="I117" s="361"/>
      <c r="J117" s="355"/>
      <c r="K117" s="354"/>
      <c r="L117" s="363"/>
      <c r="M117" s="361"/>
    </row>
    <row r="118" spans="1:14" ht="15.75" x14ac:dyDescent="0.2">
      <c r="A118" s="21" t="s">
        <v>379</v>
      </c>
      <c r="B118" s="366"/>
      <c r="C118" s="366"/>
      <c r="D118" s="363"/>
      <c r="E118" s="361"/>
      <c r="F118" s="366"/>
      <c r="G118" s="366"/>
      <c r="H118" s="363"/>
      <c r="I118" s="361"/>
      <c r="J118" s="355"/>
      <c r="K118" s="354"/>
      <c r="L118" s="363"/>
      <c r="M118" s="361"/>
    </row>
    <row r="119" spans="1:14" ht="15.75" x14ac:dyDescent="0.2">
      <c r="A119" s="13" t="s">
        <v>361</v>
      </c>
      <c r="B119" s="362"/>
      <c r="C119" s="383"/>
      <c r="D119" s="363"/>
      <c r="E119" s="361"/>
      <c r="F119" s="362"/>
      <c r="G119" s="383"/>
      <c r="H119" s="363"/>
      <c r="I119" s="361"/>
      <c r="J119" s="357"/>
      <c r="K119" s="356"/>
      <c r="L119" s="363"/>
      <c r="M119" s="361"/>
    </row>
    <row r="120" spans="1:14" x14ac:dyDescent="0.2">
      <c r="A120" s="21" t="s">
        <v>9</v>
      </c>
      <c r="B120" s="366"/>
      <c r="C120" s="378"/>
      <c r="D120" s="363"/>
      <c r="E120" s="361"/>
      <c r="F120" s="366"/>
      <c r="G120" s="378"/>
      <c r="H120" s="363"/>
      <c r="I120" s="361"/>
      <c r="J120" s="355"/>
      <c r="K120" s="354"/>
      <c r="L120" s="363"/>
      <c r="M120" s="361"/>
    </row>
    <row r="121" spans="1:14" x14ac:dyDescent="0.2">
      <c r="A121" s="21" t="s">
        <v>10</v>
      </c>
      <c r="B121" s="366"/>
      <c r="C121" s="378"/>
      <c r="D121" s="363"/>
      <c r="E121" s="361"/>
      <c r="F121" s="366"/>
      <c r="G121" s="378"/>
      <c r="H121" s="363"/>
      <c r="I121" s="361"/>
      <c r="J121" s="355"/>
      <c r="K121" s="354"/>
      <c r="L121" s="363"/>
      <c r="M121" s="361"/>
    </row>
    <row r="122" spans="1:14" x14ac:dyDescent="0.2">
      <c r="A122" s="21" t="s">
        <v>26</v>
      </c>
      <c r="B122" s="366"/>
      <c r="C122" s="378"/>
      <c r="D122" s="363"/>
      <c r="E122" s="361"/>
      <c r="F122" s="366"/>
      <c r="G122" s="378"/>
      <c r="H122" s="363"/>
      <c r="I122" s="361"/>
      <c r="J122" s="355"/>
      <c r="K122" s="354"/>
      <c r="L122" s="363"/>
      <c r="M122" s="361"/>
    </row>
    <row r="123" spans="1:14" x14ac:dyDescent="0.2">
      <c r="A123" s="289" t="s">
        <v>14</v>
      </c>
      <c r="B123" s="370"/>
      <c r="C123" s="370"/>
      <c r="D123" s="363"/>
      <c r="E123" s="385"/>
      <c r="F123" s="370"/>
      <c r="G123" s="370"/>
      <c r="H123" s="363"/>
      <c r="I123" s="361"/>
      <c r="J123" s="370"/>
      <c r="K123" s="370"/>
      <c r="L123" s="363"/>
      <c r="M123" s="361"/>
    </row>
    <row r="124" spans="1:14" ht="15.75" x14ac:dyDescent="0.2">
      <c r="A124" s="21" t="s">
        <v>385</v>
      </c>
      <c r="B124" s="366"/>
      <c r="C124" s="366"/>
      <c r="D124" s="363"/>
      <c r="E124" s="361"/>
      <c r="F124" s="366"/>
      <c r="G124" s="366"/>
      <c r="H124" s="363"/>
      <c r="I124" s="361"/>
      <c r="J124" s="355"/>
      <c r="K124" s="354"/>
      <c r="L124" s="363"/>
      <c r="M124" s="361"/>
    </row>
    <row r="125" spans="1:14" ht="16.149999999999999" customHeight="1" x14ac:dyDescent="0.2">
      <c r="A125" s="21" t="s">
        <v>430</v>
      </c>
      <c r="B125" s="366"/>
      <c r="C125" s="366"/>
      <c r="D125" s="363"/>
      <c r="E125" s="361"/>
      <c r="F125" s="366"/>
      <c r="G125" s="366"/>
      <c r="H125" s="363"/>
      <c r="I125" s="361"/>
      <c r="J125" s="355"/>
      <c r="K125" s="354"/>
      <c r="L125" s="363"/>
      <c r="M125" s="361"/>
    </row>
    <row r="126" spans="1:14" ht="15.75" x14ac:dyDescent="0.2">
      <c r="A126" s="10" t="s">
        <v>379</v>
      </c>
      <c r="B126" s="375"/>
      <c r="C126" s="375"/>
      <c r="D126" s="367"/>
      <c r="E126" s="384"/>
      <c r="F126" s="375"/>
      <c r="G126" s="375"/>
      <c r="H126" s="367"/>
      <c r="I126" s="367"/>
      <c r="J126" s="376"/>
      <c r="K126" s="375"/>
      <c r="L126" s="367"/>
      <c r="M126" s="367"/>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347"/>
      <c r="C130" s="347"/>
      <c r="D130" s="347"/>
      <c r="E130" s="348"/>
      <c r="F130" s="347"/>
      <c r="G130" s="347"/>
      <c r="H130" s="347"/>
      <c r="I130" s="348"/>
      <c r="J130" s="347"/>
      <c r="K130" s="347"/>
      <c r="L130" s="347"/>
      <c r="M130" s="348"/>
    </row>
    <row r="131" spans="1:14" s="3" customFormat="1" x14ac:dyDescent="0.2">
      <c r="A131" s="144"/>
      <c r="B131" s="725" t="s">
        <v>0</v>
      </c>
      <c r="C131" s="726"/>
      <c r="D131" s="726"/>
      <c r="E131" s="345"/>
      <c r="F131" s="725" t="s">
        <v>1</v>
      </c>
      <c r="G131" s="726"/>
      <c r="H131" s="726"/>
      <c r="I131" s="346"/>
      <c r="J131" s="725" t="s">
        <v>2</v>
      </c>
      <c r="K131" s="726"/>
      <c r="L131" s="726"/>
      <c r="M131" s="346"/>
      <c r="N131" s="148"/>
    </row>
    <row r="132" spans="1:14" s="3" customFormat="1" x14ac:dyDescent="0.2">
      <c r="A132" s="140"/>
      <c r="B132" s="20">
        <v>44286</v>
      </c>
      <c r="C132" s="20">
        <v>44651</v>
      </c>
      <c r="D132" s="241" t="s">
        <v>3</v>
      </c>
      <c r="E132" s="298" t="s">
        <v>29</v>
      </c>
      <c r="F132" s="20">
        <v>44286</v>
      </c>
      <c r="G132" s="20">
        <v>44651</v>
      </c>
      <c r="H132" s="202" t="s">
        <v>3</v>
      </c>
      <c r="I132" s="298"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356"/>
      <c r="C134" s="357"/>
      <c r="D134" s="360"/>
      <c r="E134" s="361"/>
      <c r="F134" s="351"/>
      <c r="G134" s="352"/>
      <c r="H134" s="386"/>
      <c r="I134" s="361"/>
      <c r="J134" s="369"/>
      <c r="K134" s="369"/>
      <c r="L134" s="360"/>
      <c r="M134" s="361"/>
      <c r="N134" s="148"/>
    </row>
    <row r="135" spans="1:14" s="3" customFormat="1" ht="15.75" x14ac:dyDescent="0.2">
      <c r="A135" s="13" t="s">
        <v>386</v>
      </c>
      <c r="B135" s="356"/>
      <c r="C135" s="357"/>
      <c r="D135" s="363"/>
      <c r="E135" s="361"/>
      <c r="F135" s="356"/>
      <c r="G135" s="357"/>
      <c r="H135" s="387"/>
      <c r="I135" s="361"/>
      <c r="J135" s="362"/>
      <c r="K135" s="362"/>
      <c r="L135" s="363"/>
      <c r="M135" s="361"/>
      <c r="N135" s="148"/>
    </row>
    <row r="136" spans="1:14" s="3" customFormat="1" ht="15.75" x14ac:dyDescent="0.2">
      <c r="A136" s="13" t="s">
        <v>383</v>
      </c>
      <c r="B136" s="356"/>
      <c r="C136" s="357"/>
      <c r="D136" s="363"/>
      <c r="E136" s="361"/>
      <c r="F136" s="356"/>
      <c r="G136" s="357"/>
      <c r="H136" s="387"/>
      <c r="I136" s="361"/>
      <c r="J136" s="362"/>
      <c r="K136" s="362"/>
      <c r="L136" s="363"/>
      <c r="M136" s="361"/>
      <c r="N136" s="148"/>
    </row>
    <row r="137" spans="1:14" s="3" customFormat="1" ht="15.75" x14ac:dyDescent="0.2">
      <c r="A137" s="41" t="s">
        <v>384</v>
      </c>
      <c r="B137" s="358"/>
      <c r="C137" s="359"/>
      <c r="D137" s="367"/>
      <c r="E137" s="384"/>
      <c r="F137" s="358"/>
      <c r="G137" s="359"/>
      <c r="H137" s="388"/>
      <c r="I137" s="384"/>
      <c r="J137" s="368"/>
      <c r="K137" s="368"/>
      <c r="L137" s="367"/>
      <c r="M137" s="367"/>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13">
    <mergeCell ref="B44:D44"/>
    <mergeCell ref="J19:L19"/>
    <mergeCell ref="F19:H19"/>
    <mergeCell ref="B19:D19"/>
    <mergeCell ref="J4:L4"/>
    <mergeCell ref="F4:H4"/>
    <mergeCell ref="B4:D4"/>
    <mergeCell ref="J131:L131"/>
    <mergeCell ref="F131:H131"/>
    <mergeCell ref="B131:D131"/>
    <mergeCell ref="J63:L63"/>
    <mergeCell ref="F63:H63"/>
    <mergeCell ref="B63:D63"/>
  </mergeCells>
  <conditionalFormatting sqref="A50:A52">
    <cfRule type="expression" dxfId="384" priority="12">
      <formula>kvartal &lt; 4</formula>
    </cfRule>
  </conditionalFormatting>
  <conditionalFormatting sqref="A69:A74">
    <cfRule type="expression" dxfId="383" priority="10">
      <formula>kvartal &lt; 4</formula>
    </cfRule>
  </conditionalFormatting>
  <conditionalFormatting sqref="A80:A85">
    <cfRule type="expression" dxfId="382" priority="9">
      <formula>kvartal &lt; 4</formula>
    </cfRule>
  </conditionalFormatting>
  <conditionalFormatting sqref="A90:A95">
    <cfRule type="expression" dxfId="381" priority="6">
      <formula>kvartal &lt; 4</formula>
    </cfRule>
  </conditionalFormatting>
  <conditionalFormatting sqref="A101:A106">
    <cfRule type="expression" dxfId="380" priority="5">
      <formula>kvartal &lt; 4</formula>
    </cfRule>
  </conditionalFormatting>
  <conditionalFormatting sqref="A115">
    <cfRule type="expression" dxfId="379" priority="4">
      <formula>kvartal &lt; 4</formula>
    </cfRule>
  </conditionalFormatting>
  <conditionalFormatting sqref="A123">
    <cfRule type="expression" dxfId="378" priority="3">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9"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P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6" x14ac:dyDescent="0.2">
      <c r="A1" s="171" t="s">
        <v>131</v>
      </c>
      <c r="B1" s="699"/>
      <c r="C1" s="244" t="s">
        <v>124</v>
      </c>
      <c r="D1" s="26"/>
      <c r="E1" s="26"/>
      <c r="F1" s="26"/>
      <c r="G1" s="26"/>
      <c r="H1" s="26"/>
      <c r="I1" s="26"/>
      <c r="J1" s="26"/>
      <c r="K1" s="26"/>
      <c r="L1" s="26"/>
      <c r="M1" s="26"/>
    </row>
    <row r="2" spans="1:16" ht="15.75" x14ac:dyDescent="0.25">
      <c r="A2" s="164" t="s">
        <v>28</v>
      </c>
      <c r="B2" s="729"/>
      <c r="C2" s="729"/>
      <c r="D2" s="729"/>
      <c r="E2" s="292"/>
      <c r="F2" s="729"/>
      <c r="G2" s="729"/>
      <c r="H2" s="729"/>
      <c r="I2" s="292"/>
      <c r="J2" s="729"/>
      <c r="K2" s="729"/>
      <c r="L2" s="729"/>
      <c r="M2" s="292"/>
    </row>
    <row r="3" spans="1:16" ht="15.75" x14ac:dyDescent="0.25">
      <c r="A3" s="162"/>
      <c r="B3" s="292"/>
      <c r="C3" s="292"/>
      <c r="D3" s="292"/>
      <c r="E3" s="292"/>
      <c r="F3" s="292"/>
      <c r="G3" s="292"/>
      <c r="H3" s="292"/>
      <c r="I3" s="292"/>
      <c r="J3" s="292"/>
      <c r="K3" s="292"/>
      <c r="L3" s="292"/>
      <c r="M3" s="292"/>
    </row>
    <row r="4" spans="1:16" x14ac:dyDescent="0.2">
      <c r="A4" s="144"/>
      <c r="B4" s="725" t="s">
        <v>0</v>
      </c>
      <c r="C4" s="726"/>
      <c r="D4" s="726"/>
      <c r="E4" s="294"/>
      <c r="F4" s="725" t="s">
        <v>1</v>
      </c>
      <c r="G4" s="726"/>
      <c r="H4" s="726"/>
      <c r="I4" s="297"/>
      <c r="J4" s="725" t="s">
        <v>2</v>
      </c>
      <c r="K4" s="726"/>
      <c r="L4" s="726"/>
      <c r="M4" s="297"/>
    </row>
    <row r="5" spans="1:16"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6" x14ac:dyDescent="0.2">
      <c r="A6" s="700"/>
      <c r="B6" s="155"/>
      <c r="C6" s="155"/>
      <c r="D6" s="242" t="s">
        <v>4</v>
      </c>
      <c r="E6" s="155" t="s">
        <v>30</v>
      </c>
      <c r="F6" s="160"/>
      <c r="G6" s="160"/>
      <c r="H6" s="241" t="s">
        <v>4</v>
      </c>
      <c r="I6" s="155" t="s">
        <v>30</v>
      </c>
      <c r="J6" s="160"/>
      <c r="K6" s="160"/>
      <c r="L6" s="241" t="s">
        <v>4</v>
      </c>
      <c r="M6" s="155" t="s">
        <v>30</v>
      </c>
    </row>
    <row r="7" spans="1:16" ht="15.75" x14ac:dyDescent="0.2">
      <c r="A7" s="14" t="s">
        <v>23</v>
      </c>
      <c r="B7" s="299">
        <v>219169</v>
      </c>
      <c r="C7" s="300">
        <v>235530</v>
      </c>
      <c r="D7" s="340">
        <f>IF(B7=0, "    ---- ", IF(ABS(ROUND(100/B7*C7-100,1))&lt;999,ROUND(100/B7*C7-100,1),IF(ROUND(100/B7*C7-100,1)&gt;999,999,-999)))</f>
        <v>7.5</v>
      </c>
      <c r="E7" s="11">
        <f>IFERROR(100/'Skjema total MA'!C7*C7,0)</f>
        <v>13.586155702940937</v>
      </c>
      <c r="F7" s="299"/>
      <c r="G7" s="300"/>
      <c r="H7" s="340"/>
      <c r="I7" s="159"/>
      <c r="J7" s="301">
        <f t="shared" ref="J7:K10" si="0">SUM(B7,F7)</f>
        <v>219169</v>
      </c>
      <c r="K7" s="302">
        <f t="shared" si="0"/>
        <v>235530</v>
      </c>
      <c r="L7" s="413">
        <f>IF(J7=0, "    ---- ", IF(ABS(ROUND(100/J7*K7-100,1))&lt;999,ROUND(100/J7*K7-100,1),IF(ROUND(100/J7*K7-100,1)&gt;999,999,-999)))</f>
        <v>7.5</v>
      </c>
      <c r="M7" s="11">
        <f>IFERROR(100/'Skjema total MA'!I7*K7,0)</f>
        <v>4.5569185862208776</v>
      </c>
    </row>
    <row r="8" spans="1:16" ht="15.75" x14ac:dyDescent="0.2">
      <c r="A8" s="21" t="s">
        <v>25</v>
      </c>
      <c r="B8" s="277">
        <v>189777</v>
      </c>
      <c r="C8" s="278">
        <v>204970</v>
      </c>
      <c r="D8" s="165">
        <f t="shared" ref="D8:D10" si="1">IF(B8=0, "    ---- ", IF(ABS(ROUND(100/B8*C8-100,1))&lt;999,ROUND(100/B8*C8-100,1),IF(ROUND(100/B8*C8-100,1)&gt;999,999,-999)))</f>
        <v>8</v>
      </c>
      <c r="E8" s="27">
        <f>IFERROR(100/'Skjema total MA'!C8*C8,0)</f>
        <v>17.624297457963678</v>
      </c>
      <c r="F8" s="281"/>
      <c r="G8" s="282"/>
      <c r="H8" s="165"/>
      <c r="I8" s="174"/>
      <c r="J8" s="230">
        <f t="shared" si="0"/>
        <v>189777</v>
      </c>
      <c r="K8" s="283">
        <f t="shared" si="0"/>
        <v>204970</v>
      </c>
      <c r="L8" s="165">
        <f t="shared" ref="L8:L9" si="2">IF(J8=0, "    ---- ", IF(ABS(ROUND(100/J8*K8-100,1))&lt;999,ROUND(100/J8*K8-100,1),IF(ROUND(100/J8*K8-100,1)&gt;999,999,-999)))</f>
        <v>8</v>
      </c>
      <c r="M8" s="27">
        <f>IFERROR(100/'Skjema total MA'!I8*K8,0)</f>
        <v>17.624297457963678</v>
      </c>
    </row>
    <row r="9" spans="1:16" ht="15.75" x14ac:dyDescent="0.2">
      <c r="A9" s="21" t="s">
        <v>24</v>
      </c>
      <c r="B9" s="277">
        <v>29392</v>
      </c>
      <c r="C9" s="278">
        <v>30560</v>
      </c>
      <c r="D9" s="165">
        <f t="shared" si="1"/>
        <v>4</v>
      </c>
      <c r="E9" s="27">
        <f>IFERROR(100/'Skjema total MA'!C9*C9,0)</f>
        <v>8.4498537125133115</v>
      </c>
      <c r="F9" s="281"/>
      <c r="G9" s="282"/>
      <c r="H9" s="165"/>
      <c r="I9" s="174"/>
      <c r="J9" s="230">
        <f t="shared" si="0"/>
        <v>29392</v>
      </c>
      <c r="K9" s="283">
        <f t="shared" si="0"/>
        <v>30560</v>
      </c>
      <c r="L9" s="165">
        <f t="shared" si="2"/>
        <v>4</v>
      </c>
      <c r="M9" s="27">
        <f>IFERROR(100/'Skjema total MA'!I9*K9,0)</f>
        <v>8.4498537125133115</v>
      </c>
    </row>
    <row r="10" spans="1:16" ht="15.75" x14ac:dyDescent="0.2">
      <c r="A10" s="13" t="s">
        <v>359</v>
      </c>
      <c r="B10" s="303">
        <v>242412</v>
      </c>
      <c r="C10" s="304">
        <v>239738</v>
      </c>
      <c r="D10" s="170">
        <f t="shared" si="1"/>
        <v>-1.1000000000000001</v>
      </c>
      <c r="E10" s="11">
        <f>IFERROR(100/'Skjema total MA'!C10*C10,0)</f>
        <v>1.4612734400906644</v>
      </c>
      <c r="F10" s="303"/>
      <c r="G10" s="304"/>
      <c r="H10" s="170"/>
      <c r="I10" s="159"/>
      <c r="J10" s="301">
        <f t="shared" si="0"/>
        <v>242412</v>
      </c>
      <c r="K10" s="302">
        <f t="shared" si="0"/>
        <v>239738</v>
      </c>
      <c r="L10" s="414">
        <f t="shared" ref="L10" si="3">IF(J10=0, "    ---- ", IF(ABS(ROUND(100/J10*K10-100,1))&lt;999,ROUND(100/J10*K10-100,1),IF(ROUND(100/J10*K10-100,1)&gt;999,999,-999)))</f>
        <v>-1.1000000000000001</v>
      </c>
      <c r="M10" s="11">
        <f>IFERROR(100/'Skjema total MA'!I10*K10,0)</f>
        <v>0.2624810842819193</v>
      </c>
    </row>
    <row r="11" spans="1:16" s="43" customFormat="1" ht="15.75" x14ac:dyDescent="0.2">
      <c r="A11" s="13" t="s">
        <v>360</v>
      </c>
      <c r="B11" s="303"/>
      <c r="C11" s="304"/>
      <c r="D11" s="170"/>
      <c r="E11" s="11"/>
      <c r="F11" s="303"/>
      <c r="G11" s="304"/>
      <c r="H11" s="170"/>
      <c r="I11" s="159"/>
      <c r="J11" s="301"/>
      <c r="K11" s="302"/>
      <c r="L11" s="414"/>
      <c r="M11" s="11"/>
      <c r="N11" s="143"/>
      <c r="P11" s="143"/>
    </row>
    <row r="12" spans="1:16" s="43" customFormat="1" ht="15.75" x14ac:dyDescent="0.2">
      <c r="A12" s="41" t="s">
        <v>361</v>
      </c>
      <c r="B12" s="305"/>
      <c r="C12" s="306"/>
      <c r="D12" s="168"/>
      <c r="E12" s="36"/>
      <c r="F12" s="305"/>
      <c r="G12" s="306"/>
      <c r="H12" s="168"/>
      <c r="I12" s="168"/>
      <c r="J12" s="307"/>
      <c r="K12" s="308"/>
      <c r="L12" s="415"/>
      <c r="M12" s="36"/>
      <c r="N12" s="143"/>
    </row>
    <row r="13" spans="1:16" s="43" customFormat="1" x14ac:dyDescent="0.2">
      <c r="A13" s="167"/>
      <c r="B13" s="145"/>
      <c r="C13" s="33"/>
      <c r="D13" s="158"/>
      <c r="E13" s="158"/>
      <c r="F13" s="145"/>
      <c r="G13" s="33"/>
      <c r="H13" s="158"/>
      <c r="I13" s="158"/>
      <c r="J13" s="48"/>
      <c r="K13" s="48"/>
      <c r="L13" s="158"/>
      <c r="M13" s="158"/>
      <c r="N13" s="143"/>
    </row>
    <row r="14" spans="1:16" x14ac:dyDescent="0.2">
      <c r="A14" s="152" t="s">
        <v>269</v>
      </c>
      <c r="B14" s="26"/>
    </row>
    <row r="15" spans="1:16" x14ac:dyDescent="0.2">
      <c r="F15" s="146"/>
      <c r="G15" s="146"/>
      <c r="H15" s="146"/>
      <c r="I15" s="146"/>
      <c r="J15" s="146"/>
      <c r="K15" s="146"/>
      <c r="L15" s="146"/>
      <c r="M15" s="146"/>
    </row>
    <row r="16" spans="1:16"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292"/>
      <c r="F18" s="724"/>
      <c r="G18" s="724"/>
      <c r="H18" s="724"/>
      <c r="I18" s="292"/>
      <c r="J18" s="724"/>
      <c r="K18" s="724"/>
      <c r="L18" s="724"/>
      <c r="M18" s="292"/>
    </row>
    <row r="19" spans="1:14" x14ac:dyDescent="0.2">
      <c r="A19" s="144"/>
      <c r="B19" s="725" t="s">
        <v>0</v>
      </c>
      <c r="C19" s="726"/>
      <c r="D19" s="726"/>
      <c r="E19" s="294"/>
      <c r="F19" s="725" t="s">
        <v>1</v>
      </c>
      <c r="G19" s="726"/>
      <c r="H19" s="726"/>
      <c r="I19" s="297"/>
      <c r="J19" s="725" t="s">
        <v>2</v>
      </c>
      <c r="K19" s="726"/>
      <c r="L19" s="726"/>
      <c r="M19" s="297"/>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303">
        <v>207638</v>
      </c>
      <c r="C22" s="303">
        <v>238577</v>
      </c>
      <c r="D22" s="340">
        <f t="shared" ref="D22:D30" si="4">IF(B22=0, "    ---- ", IF(ABS(ROUND(100/B22*C22-100,1))&lt;999,ROUND(100/B22*C22-100,1),IF(ROUND(100/B22*C22-100,1)&gt;999,999,-999)))</f>
        <v>14.9</v>
      </c>
      <c r="E22" s="11">
        <f>IFERROR(100/'Skjema total MA'!C22*C22,0)</f>
        <v>31.344670776279802</v>
      </c>
      <c r="F22" s="311"/>
      <c r="G22" s="311"/>
      <c r="H22" s="340"/>
      <c r="I22" s="11"/>
      <c r="J22" s="309">
        <f t="shared" ref="J22:K29" si="5">SUM(B22,F22)</f>
        <v>207638</v>
      </c>
      <c r="K22" s="309">
        <f t="shared" si="5"/>
        <v>238577</v>
      </c>
      <c r="L22" s="413">
        <f t="shared" ref="L22:L30" si="6">IF(J22=0, "    ---- ", IF(ABS(ROUND(100/J22*K22-100,1))&lt;999,ROUND(100/J22*K22-100,1),IF(ROUND(100/J22*K22-100,1)&gt;999,999,-999)))</f>
        <v>14.9</v>
      </c>
      <c r="M22" s="24">
        <f>IFERROR(100/'Skjema total MA'!I22*K22,0)</f>
        <v>23.06146685710916</v>
      </c>
    </row>
    <row r="23" spans="1:14" ht="15.75" x14ac:dyDescent="0.2">
      <c r="A23" s="555" t="s">
        <v>362</v>
      </c>
      <c r="B23" s="277">
        <v>207638</v>
      </c>
      <c r="C23" s="277">
        <v>238577</v>
      </c>
      <c r="D23" s="165">
        <f t="shared" si="4"/>
        <v>14.9</v>
      </c>
      <c r="E23" s="11">
        <f>IFERROR(100/'Skjema total MA'!C23*C23,0)</f>
        <v>66.106019724751533</v>
      </c>
      <c r="F23" s="286"/>
      <c r="G23" s="286"/>
      <c r="H23" s="165"/>
      <c r="I23" s="403"/>
      <c r="J23" s="286">
        <f t="shared" ref="J23" si="7">SUM(B23,F23)</f>
        <v>207638</v>
      </c>
      <c r="K23" s="286">
        <f t="shared" ref="K23" si="8">SUM(C23,G23)</f>
        <v>238577</v>
      </c>
      <c r="L23" s="165">
        <f t="shared" si="6"/>
        <v>14.9</v>
      </c>
      <c r="M23" s="23">
        <f>IFERROR(100/'Skjema total MA'!I23*K23,0)</f>
        <v>62.777882869042571</v>
      </c>
    </row>
    <row r="24" spans="1:14" ht="15.75" x14ac:dyDescent="0.2">
      <c r="A24" s="555" t="s">
        <v>363</v>
      </c>
      <c r="B24" s="277"/>
      <c r="C24" s="277"/>
      <c r="D24" s="165"/>
      <c r="E24" s="11"/>
      <c r="F24" s="286"/>
      <c r="G24" s="286"/>
      <c r="H24" s="165"/>
      <c r="I24" s="403"/>
      <c r="J24" s="286"/>
      <c r="K24" s="286"/>
      <c r="L24" s="165"/>
      <c r="M24" s="23"/>
    </row>
    <row r="25" spans="1:14" ht="15.75" x14ac:dyDescent="0.2">
      <c r="A25" s="555" t="s">
        <v>364</v>
      </c>
      <c r="B25" s="277"/>
      <c r="C25" s="277"/>
      <c r="D25" s="165"/>
      <c r="E25" s="11"/>
      <c r="F25" s="286"/>
      <c r="G25" s="286"/>
      <c r="H25" s="165"/>
      <c r="I25" s="403"/>
      <c r="J25" s="286"/>
      <c r="K25" s="286"/>
      <c r="L25" s="165"/>
      <c r="M25" s="23"/>
    </row>
    <row r="26" spans="1:14" ht="15.75" x14ac:dyDescent="0.2">
      <c r="A26" s="555" t="s">
        <v>365</v>
      </c>
      <c r="B26" s="277"/>
      <c r="C26" s="277"/>
      <c r="D26" s="165"/>
      <c r="E26" s="11"/>
      <c r="F26" s="286"/>
      <c r="G26" s="286"/>
      <c r="H26" s="165"/>
      <c r="I26" s="403"/>
      <c r="J26" s="286"/>
      <c r="K26" s="286"/>
      <c r="L26" s="165"/>
      <c r="M26" s="23"/>
    </row>
    <row r="27" spans="1:14" x14ac:dyDescent="0.2">
      <c r="A27" s="555" t="s">
        <v>11</v>
      </c>
      <c r="B27" s="277"/>
      <c r="C27" s="277"/>
      <c r="D27" s="165"/>
      <c r="E27" s="11"/>
      <c r="F27" s="286"/>
      <c r="G27" s="286"/>
      <c r="H27" s="165"/>
      <c r="I27" s="403"/>
      <c r="J27" s="286"/>
      <c r="K27" s="286"/>
      <c r="L27" s="165"/>
      <c r="M27" s="23"/>
    </row>
    <row r="28" spans="1:14" ht="15.75" x14ac:dyDescent="0.2">
      <c r="A28" s="49" t="s">
        <v>270</v>
      </c>
      <c r="B28" s="44">
        <v>207638</v>
      </c>
      <c r="C28" s="283">
        <v>238577</v>
      </c>
      <c r="D28" s="165">
        <f t="shared" si="4"/>
        <v>14.9</v>
      </c>
      <c r="E28" s="11">
        <f>IFERROR(100/'Skjema total MA'!C28*C28,0)</f>
        <v>28.441284390644473</v>
      </c>
      <c r="F28" s="230"/>
      <c r="G28" s="283"/>
      <c r="H28" s="165"/>
      <c r="I28" s="27"/>
      <c r="J28" s="44">
        <f t="shared" si="5"/>
        <v>207638</v>
      </c>
      <c r="K28" s="44">
        <f t="shared" si="5"/>
        <v>238577</v>
      </c>
      <c r="L28" s="250">
        <f t="shared" si="6"/>
        <v>14.9</v>
      </c>
      <c r="M28" s="23">
        <f>IFERROR(100/'Skjema total MA'!I28*K28,0)</f>
        <v>28.441284390644473</v>
      </c>
    </row>
    <row r="29" spans="1:14" s="3" customFormat="1" ht="15.75" x14ac:dyDescent="0.2">
      <c r="A29" s="13" t="s">
        <v>359</v>
      </c>
      <c r="B29" s="232">
        <v>978304</v>
      </c>
      <c r="C29" s="232">
        <v>1199609</v>
      </c>
      <c r="D29" s="170">
        <f t="shared" si="4"/>
        <v>22.6</v>
      </c>
      <c r="E29" s="11">
        <f>IFERROR(100/'Skjema total MA'!C29*C29,0)</f>
        <v>2.6399969892645752</v>
      </c>
      <c r="F29" s="301"/>
      <c r="G29" s="301"/>
      <c r="H29" s="170"/>
      <c r="I29" s="11"/>
      <c r="J29" s="232">
        <f t="shared" si="5"/>
        <v>978304</v>
      </c>
      <c r="K29" s="232">
        <f t="shared" si="5"/>
        <v>1199609</v>
      </c>
      <c r="L29" s="414">
        <f t="shared" si="6"/>
        <v>22.6</v>
      </c>
      <c r="M29" s="24">
        <f>IFERROR(100/'Skjema total MA'!I29*K29,0)</f>
        <v>1.6965987134280982</v>
      </c>
      <c r="N29" s="148"/>
    </row>
    <row r="30" spans="1:14" s="3" customFormat="1" ht="15.75" x14ac:dyDescent="0.2">
      <c r="A30" s="555" t="s">
        <v>362</v>
      </c>
      <c r="B30" s="277">
        <v>978304</v>
      </c>
      <c r="C30" s="277">
        <v>1199609</v>
      </c>
      <c r="D30" s="165">
        <f t="shared" si="4"/>
        <v>22.6</v>
      </c>
      <c r="E30" s="11">
        <f>IFERROR(100/'Skjema total MA'!C30*C30,0)</f>
        <v>11.80253841324796</v>
      </c>
      <c r="F30" s="286"/>
      <c r="G30" s="286"/>
      <c r="H30" s="165"/>
      <c r="I30" s="403"/>
      <c r="J30" s="286">
        <f t="shared" ref="J30" si="9">SUM(B30,F30)</f>
        <v>978304</v>
      </c>
      <c r="K30" s="286">
        <f t="shared" ref="K30" si="10">SUM(C30,G30)</f>
        <v>1199609</v>
      </c>
      <c r="L30" s="165">
        <f t="shared" si="6"/>
        <v>22.6</v>
      </c>
      <c r="M30" s="23">
        <f>IFERROR(100/'Skjema total MA'!I30*K30,0)</f>
        <v>8.5838611842443875</v>
      </c>
      <c r="N30" s="148"/>
    </row>
    <row r="31" spans="1:14" s="3" customFormat="1" ht="15.75" x14ac:dyDescent="0.2">
      <c r="A31" s="555" t="s">
        <v>363</v>
      </c>
      <c r="B31" s="277"/>
      <c r="C31" s="277"/>
      <c r="D31" s="165"/>
      <c r="E31" s="11"/>
      <c r="F31" s="286"/>
      <c r="G31" s="286"/>
      <c r="H31" s="165"/>
      <c r="I31" s="403"/>
      <c r="J31" s="286"/>
      <c r="K31" s="286"/>
      <c r="L31" s="165"/>
      <c r="M31" s="23"/>
      <c r="N31" s="148"/>
    </row>
    <row r="32" spans="1:14" ht="15.75" x14ac:dyDescent="0.2">
      <c r="A32" s="555" t="s">
        <v>364</v>
      </c>
      <c r="B32" s="277"/>
      <c r="C32" s="277"/>
      <c r="D32" s="165"/>
      <c r="E32" s="11"/>
      <c r="F32" s="286"/>
      <c r="G32" s="286"/>
      <c r="H32" s="165"/>
      <c r="I32" s="403"/>
      <c r="J32" s="286"/>
      <c r="K32" s="286"/>
      <c r="L32" s="165"/>
      <c r="M32" s="23"/>
    </row>
    <row r="33" spans="1:14" ht="15.75" x14ac:dyDescent="0.2">
      <c r="A33" s="555" t="s">
        <v>365</v>
      </c>
      <c r="B33" s="277"/>
      <c r="C33" s="277"/>
      <c r="D33" s="165"/>
      <c r="E33" s="11"/>
      <c r="F33" s="286"/>
      <c r="G33" s="286"/>
      <c r="H33" s="165"/>
      <c r="I33" s="403"/>
      <c r="J33" s="286"/>
      <c r="K33" s="286"/>
      <c r="L33" s="165"/>
      <c r="M33" s="23"/>
    </row>
    <row r="34" spans="1:14" ht="15.75" x14ac:dyDescent="0.2">
      <c r="A34" s="13" t="s">
        <v>360</v>
      </c>
      <c r="B34" s="232"/>
      <c r="C34" s="302"/>
      <c r="D34" s="170"/>
      <c r="E34" s="11"/>
      <c r="F34" s="301"/>
      <c r="G34" s="302"/>
      <c r="H34" s="170"/>
      <c r="I34" s="11"/>
      <c r="J34" s="232"/>
      <c r="K34" s="232"/>
      <c r="L34" s="414"/>
      <c r="M34" s="24"/>
    </row>
    <row r="35" spans="1:14" ht="15.75" x14ac:dyDescent="0.2">
      <c r="A35" s="13" t="s">
        <v>361</v>
      </c>
      <c r="B35" s="232"/>
      <c r="C35" s="302"/>
      <c r="D35" s="170"/>
      <c r="E35" s="11"/>
      <c r="F35" s="301"/>
      <c r="G35" s="302"/>
      <c r="H35" s="170"/>
      <c r="I35" s="11"/>
      <c r="J35" s="232"/>
      <c r="K35" s="232"/>
      <c r="L35" s="414"/>
      <c r="M35" s="24"/>
    </row>
    <row r="36" spans="1:14" ht="15.75" x14ac:dyDescent="0.2">
      <c r="A36" s="12" t="s">
        <v>278</v>
      </c>
      <c r="B36" s="232"/>
      <c r="C36" s="302"/>
      <c r="D36" s="170"/>
      <c r="E36" s="11"/>
      <c r="F36" s="312"/>
      <c r="G36" s="313"/>
      <c r="H36" s="170"/>
      <c r="I36" s="420"/>
      <c r="J36" s="232"/>
      <c r="K36" s="232"/>
      <c r="L36" s="414"/>
      <c r="M36" s="24"/>
    </row>
    <row r="37" spans="1:14" ht="15.75" x14ac:dyDescent="0.2">
      <c r="A37" s="12" t="s">
        <v>367</v>
      </c>
      <c r="B37" s="232"/>
      <c r="C37" s="302"/>
      <c r="D37" s="170"/>
      <c r="E37" s="11"/>
      <c r="F37" s="312"/>
      <c r="G37" s="314"/>
      <c r="H37" s="170"/>
      <c r="I37" s="420"/>
      <c r="J37" s="232"/>
      <c r="K37" s="232"/>
      <c r="L37" s="414"/>
      <c r="M37" s="24"/>
    </row>
    <row r="38" spans="1:14" ht="15.75" x14ac:dyDescent="0.2">
      <c r="A38" s="12" t="s">
        <v>368</v>
      </c>
      <c r="B38" s="232"/>
      <c r="C38" s="302"/>
      <c r="D38" s="170"/>
      <c r="E38" s="24"/>
      <c r="F38" s="312"/>
      <c r="G38" s="313"/>
      <c r="H38" s="170"/>
      <c r="I38" s="420"/>
      <c r="J38" s="232"/>
      <c r="K38" s="232"/>
      <c r="L38" s="414"/>
      <c r="M38" s="24"/>
    </row>
    <row r="39" spans="1:14" ht="15.75" x14ac:dyDescent="0.2">
      <c r="A39" s="18" t="s">
        <v>369</v>
      </c>
      <c r="B39" s="272"/>
      <c r="C39" s="308"/>
      <c r="D39" s="168"/>
      <c r="E39" s="36"/>
      <c r="F39" s="315"/>
      <c r="G39" s="316"/>
      <c r="H39" s="168"/>
      <c r="I39" s="36"/>
      <c r="J39" s="232"/>
      <c r="K39" s="232"/>
      <c r="L39" s="415"/>
      <c r="M39" s="36"/>
    </row>
    <row r="40" spans="1:14" ht="15.75" x14ac:dyDescent="0.25">
      <c r="A40" s="47"/>
      <c r="B40" s="249"/>
      <c r="C40" s="249"/>
      <c r="D40" s="728"/>
      <c r="E40" s="728"/>
      <c r="F40" s="728"/>
      <c r="G40" s="728"/>
      <c r="H40" s="728"/>
      <c r="I40" s="728"/>
      <c r="J40" s="728"/>
      <c r="K40" s="728"/>
      <c r="L40" s="728"/>
      <c r="M40" s="295"/>
    </row>
    <row r="41" spans="1:14" x14ac:dyDescent="0.2">
      <c r="A41" s="154"/>
    </row>
    <row r="42" spans="1:14" ht="15.75" x14ac:dyDescent="0.25">
      <c r="A42" s="147" t="s">
        <v>267</v>
      </c>
      <c r="B42" s="729"/>
      <c r="C42" s="729"/>
      <c r="D42" s="729"/>
      <c r="E42" s="292"/>
      <c r="F42" s="730"/>
      <c r="G42" s="730"/>
      <c r="H42" s="730"/>
      <c r="I42" s="295"/>
      <c r="J42" s="730"/>
      <c r="K42" s="730"/>
      <c r="L42" s="730"/>
      <c r="M42" s="295"/>
    </row>
    <row r="43" spans="1:14" ht="15.75" x14ac:dyDescent="0.25">
      <c r="A43" s="162"/>
      <c r="B43" s="296"/>
      <c r="C43" s="296"/>
      <c r="D43" s="296"/>
      <c r="E43" s="296"/>
      <c r="F43" s="295"/>
      <c r="G43" s="295"/>
      <c r="H43" s="295"/>
      <c r="I43" s="295"/>
      <c r="J43" s="295"/>
      <c r="K43" s="295"/>
      <c r="L43" s="295"/>
      <c r="M43" s="295"/>
    </row>
    <row r="44" spans="1:14" ht="15.75" x14ac:dyDescent="0.25">
      <c r="A44" s="243"/>
      <c r="B44" s="725" t="s">
        <v>0</v>
      </c>
      <c r="C44" s="726"/>
      <c r="D44" s="726"/>
      <c r="E44" s="239"/>
      <c r="F44" s="295"/>
      <c r="G44" s="295"/>
      <c r="H44" s="295"/>
      <c r="I44" s="295"/>
      <c r="J44" s="295"/>
      <c r="K44" s="295"/>
      <c r="L44" s="295"/>
      <c r="M44" s="295"/>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v>35217</v>
      </c>
      <c r="C47" s="304">
        <v>35565</v>
      </c>
      <c r="D47" s="413">
        <f t="shared" ref="D47:D48" si="11">IF(B47=0, "    ---- ", IF(ABS(ROUND(100/B47*C47-100,1))&lt;999,ROUND(100/B47*C47-100,1),IF(ROUND(100/B47*C47-100,1)&gt;999,999,-999)))</f>
        <v>1</v>
      </c>
      <c r="E47" s="11">
        <f>IFERROR(100/'Skjema total MA'!C47*C47,0)</f>
        <v>1.029231429878984</v>
      </c>
      <c r="F47" s="145"/>
      <c r="G47" s="33"/>
      <c r="H47" s="158"/>
      <c r="I47" s="158"/>
      <c r="J47" s="37"/>
      <c r="K47" s="37"/>
      <c r="L47" s="158"/>
      <c r="M47" s="158"/>
      <c r="N47" s="148"/>
    </row>
    <row r="48" spans="1:14" s="3" customFormat="1" ht="15.75" x14ac:dyDescent="0.2">
      <c r="A48" s="38" t="s">
        <v>370</v>
      </c>
      <c r="B48" s="277">
        <v>35217</v>
      </c>
      <c r="C48" s="278">
        <v>35565</v>
      </c>
      <c r="D48" s="250">
        <f t="shared" si="11"/>
        <v>1</v>
      </c>
      <c r="E48" s="27">
        <f>IFERROR(100/'Skjema total MA'!C48*C48,0)</f>
        <v>1.882036084113772</v>
      </c>
      <c r="F48" s="145"/>
      <c r="G48" s="33"/>
      <c r="H48" s="145"/>
      <c r="I48" s="145"/>
      <c r="J48" s="33"/>
      <c r="K48" s="33"/>
      <c r="L48" s="158"/>
      <c r="M48" s="158"/>
      <c r="N48" s="148"/>
    </row>
    <row r="49" spans="1:14" s="3" customFormat="1" ht="15.75" x14ac:dyDescent="0.2">
      <c r="A49" s="38" t="s">
        <v>371</v>
      </c>
      <c r="B49" s="44"/>
      <c r="C49" s="283"/>
      <c r="D49" s="250"/>
      <c r="E49" s="27"/>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c r="C53" s="304"/>
      <c r="D53" s="414"/>
      <c r="E53" s="11"/>
      <c r="F53" s="145"/>
      <c r="G53" s="33"/>
      <c r="H53" s="145"/>
      <c r="I53" s="145"/>
      <c r="J53" s="33"/>
      <c r="K53" s="33"/>
      <c r="L53" s="158"/>
      <c r="M53" s="158"/>
      <c r="N53" s="148"/>
    </row>
    <row r="54" spans="1:14" s="3" customFormat="1" ht="15.75" x14ac:dyDescent="0.2">
      <c r="A54" s="38" t="s">
        <v>370</v>
      </c>
      <c r="B54" s="277"/>
      <c r="C54" s="278"/>
      <c r="D54" s="250"/>
      <c r="E54" s="27"/>
      <c r="F54" s="145"/>
      <c r="G54" s="33"/>
      <c r="H54" s="145"/>
      <c r="I54" s="145"/>
      <c r="J54" s="33"/>
      <c r="K54" s="33"/>
      <c r="L54" s="158"/>
      <c r="M54" s="158"/>
      <c r="N54" s="148"/>
    </row>
    <row r="55" spans="1:14" s="3" customFormat="1" ht="15.75" x14ac:dyDescent="0.2">
      <c r="A55" s="38" t="s">
        <v>371</v>
      </c>
      <c r="B55" s="277"/>
      <c r="C55" s="278"/>
      <c r="D55" s="250"/>
      <c r="E55" s="27"/>
      <c r="F55" s="145"/>
      <c r="G55" s="33"/>
      <c r="H55" s="145"/>
      <c r="I55" s="145"/>
      <c r="J55" s="33"/>
      <c r="K55" s="33"/>
      <c r="L55" s="158"/>
      <c r="M55" s="158"/>
      <c r="N55" s="148"/>
    </row>
    <row r="56" spans="1:14" s="3" customFormat="1" ht="15.75" x14ac:dyDescent="0.2">
      <c r="A56" s="39" t="s">
        <v>373</v>
      </c>
      <c r="B56" s="303"/>
      <c r="C56" s="304"/>
      <c r="D56" s="414"/>
      <c r="E56" s="11"/>
      <c r="F56" s="145"/>
      <c r="G56" s="33"/>
      <c r="H56" s="145"/>
      <c r="I56" s="145"/>
      <c r="J56" s="33"/>
      <c r="K56" s="33"/>
      <c r="L56" s="158"/>
      <c r="M56" s="158"/>
      <c r="N56" s="148"/>
    </row>
    <row r="57" spans="1:14" s="3" customFormat="1" ht="15.75" x14ac:dyDescent="0.2">
      <c r="A57" s="38" t="s">
        <v>370</v>
      </c>
      <c r="B57" s="277"/>
      <c r="C57" s="278"/>
      <c r="D57" s="250"/>
      <c r="E57" s="27"/>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292"/>
      <c r="F62" s="724"/>
      <c r="G62" s="724"/>
      <c r="H62" s="724"/>
      <c r="I62" s="292"/>
      <c r="J62" s="724"/>
      <c r="K62" s="724"/>
      <c r="L62" s="724"/>
      <c r="M62" s="292"/>
    </row>
    <row r="63" spans="1:14" x14ac:dyDescent="0.2">
      <c r="A63" s="144"/>
      <c r="B63" s="725" t="s">
        <v>0</v>
      </c>
      <c r="C63" s="726"/>
      <c r="D63" s="727"/>
      <c r="E63" s="293"/>
      <c r="F63" s="726" t="s">
        <v>1</v>
      </c>
      <c r="G63" s="726"/>
      <c r="H63" s="726"/>
      <c r="I63" s="297"/>
      <c r="J63" s="725" t="s">
        <v>2</v>
      </c>
      <c r="K63" s="726"/>
      <c r="L63" s="726"/>
      <c r="M63" s="297"/>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c r="C66" s="343"/>
      <c r="D66" s="340"/>
      <c r="E66" s="11"/>
      <c r="F66" s="342"/>
      <c r="G66" s="342"/>
      <c r="H66" s="340"/>
      <c r="I66" s="11"/>
      <c r="J66" s="302"/>
      <c r="K66" s="309"/>
      <c r="L66" s="414"/>
      <c r="M66" s="11"/>
    </row>
    <row r="67" spans="1:14" x14ac:dyDescent="0.2">
      <c r="A67" s="405" t="s">
        <v>9</v>
      </c>
      <c r="B67" s="44"/>
      <c r="C67" s="145"/>
      <c r="D67" s="165"/>
      <c r="E67" s="27"/>
      <c r="F67" s="230"/>
      <c r="G67" s="145"/>
      <c r="H67" s="165"/>
      <c r="I67" s="27"/>
      <c r="J67" s="283"/>
      <c r="K67" s="44"/>
      <c r="L67" s="250"/>
      <c r="M67" s="27"/>
    </row>
    <row r="68" spans="1:14" x14ac:dyDescent="0.2">
      <c r="A68" s="21" t="s">
        <v>10</v>
      </c>
      <c r="B68" s="287"/>
      <c r="C68" s="288"/>
      <c r="D68" s="165"/>
      <c r="E68" s="27"/>
      <c r="F68" s="287"/>
      <c r="G68" s="288"/>
      <c r="H68" s="165"/>
      <c r="I68" s="27"/>
      <c r="J68" s="283"/>
      <c r="K68" s="44"/>
      <c r="L68" s="250"/>
      <c r="M68" s="27"/>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c r="C75" s="145"/>
      <c r="D75" s="165"/>
      <c r="E75" s="27"/>
      <c r="F75" s="230"/>
      <c r="G75" s="145"/>
      <c r="H75" s="165"/>
      <c r="I75" s="27"/>
      <c r="J75" s="283"/>
      <c r="K75" s="44"/>
      <c r="L75" s="250"/>
      <c r="M75" s="27"/>
      <c r="N75" s="148"/>
    </row>
    <row r="76" spans="1:14" s="3" customFormat="1" x14ac:dyDescent="0.2">
      <c r="A76" s="21" t="s">
        <v>343</v>
      </c>
      <c r="B76" s="230"/>
      <c r="C76" s="145"/>
      <c r="D76" s="165"/>
      <c r="E76" s="27"/>
      <c r="F76" s="230"/>
      <c r="G76" s="145"/>
      <c r="H76" s="165"/>
      <c r="I76" s="27"/>
      <c r="J76" s="283"/>
      <c r="K76" s="44"/>
      <c r="L76" s="250"/>
      <c r="M76" s="27"/>
      <c r="N76" s="148"/>
    </row>
    <row r="77" spans="1:14" ht="15.75" x14ac:dyDescent="0.2">
      <c r="A77" s="21" t="s">
        <v>376</v>
      </c>
      <c r="B77" s="230"/>
      <c r="C77" s="230"/>
      <c r="D77" s="165"/>
      <c r="E77" s="27"/>
      <c r="F77" s="230"/>
      <c r="G77" s="145"/>
      <c r="H77" s="165"/>
      <c r="I77" s="27"/>
      <c r="J77" s="283"/>
      <c r="K77" s="44"/>
      <c r="L77" s="250"/>
      <c r="M77" s="27"/>
    </row>
    <row r="78" spans="1:14" x14ac:dyDescent="0.2">
      <c r="A78" s="21" t="s">
        <v>9</v>
      </c>
      <c r="B78" s="230"/>
      <c r="C78" s="145"/>
      <c r="D78" s="165"/>
      <c r="E78" s="27"/>
      <c r="F78" s="230"/>
      <c r="G78" s="145"/>
      <c r="H78" s="165"/>
      <c r="I78" s="27"/>
      <c r="J78" s="283"/>
      <c r="K78" s="44"/>
      <c r="L78" s="250"/>
      <c r="M78" s="27"/>
    </row>
    <row r="79" spans="1:14" x14ac:dyDescent="0.2">
      <c r="A79" s="38" t="s">
        <v>413</v>
      </c>
      <c r="B79" s="287"/>
      <c r="C79" s="288"/>
      <c r="D79" s="165"/>
      <c r="E79" s="27"/>
      <c r="F79" s="287"/>
      <c r="G79" s="288"/>
      <c r="H79" s="165"/>
      <c r="I79" s="27"/>
      <c r="J79" s="283"/>
      <c r="K79" s="44"/>
      <c r="L79" s="250"/>
      <c r="M79" s="27"/>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c r="C86" s="145"/>
      <c r="D86" s="165"/>
      <c r="E86" s="27"/>
      <c r="F86" s="230"/>
      <c r="G86" s="145"/>
      <c r="H86" s="165"/>
      <c r="I86" s="27"/>
      <c r="J86" s="283"/>
      <c r="K86" s="44"/>
      <c r="L86" s="250"/>
      <c r="M86" s="27"/>
    </row>
    <row r="87" spans="1:13" ht="15.75" x14ac:dyDescent="0.2">
      <c r="A87" s="13" t="s">
        <v>359</v>
      </c>
      <c r="B87" s="343"/>
      <c r="C87" s="343"/>
      <c r="D87" s="170"/>
      <c r="E87" s="11"/>
      <c r="F87" s="342"/>
      <c r="G87" s="342"/>
      <c r="H87" s="170"/>
      <c r="I87" s="11"/>
      <c r="J87" s="302"/>
      <c r="K87" s="232"/>
      <c r="L87" s="414"/>
      <c r="M87" s="11"/>
    </row>
    <row r="88" spans="1:13" x14ac:dyDescent="0.2">
      <c r="A88" s="21" t="s">
        <v>9</v>
      </c>
      <c r="B88" s="230"/>
      <c r="C88" s="145"/>
      <c r="D88" s="165"/>
      <c r="E88" s="27"/>
      <c r="F88" s="230"/>
      <c r="G88" s="145"/>
      <c r="H88" s="165"/>
      <c r="I88" s="27"/>
      <c r="J88" s="283"/>
      <c r="K88" s="44"/>
      <c r="L88" s="250"/>
      <c r="M88" s="27"/>
    </row>
    <row r="89" spans="1:13" x14ac:dyDescent="0.2">
      <c r="A89" s="21" t="s">
        <v>10</v>
      </c>
      <c r="B89" s="230"/>
      <c r="C89" s="145"/>
      <c r="D89" s="165"/>
      <c r="E89" s="27"/>
      <c r="F89" s="230"/>
      <c r="G89" s="145"/>
      <c r="H89" s="165"/>
      <c r="I89" s="27"/>
      <c r="J89" s="283"/>
      <c r="K89" s="44"/>
      <c r="L89" s="250"/>
      <c r="M89" s="27"/>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c r="C97" s="145"/>
      <c r="D97" s="165"/>
      <c r="E97" s="27"/>
      <c r="F97" s="230"/>
      <c r="G97" s="145"/>
      <c r="H97" s="165"/>
      <c r="I97" s="27"/>
      <c r="J97" s="283"/>
      <c r="K97" s="44"/>
      <c r="L97" s="250"/>
      <c r="M97" s="27"/>
    </row>
    <row r="98" spans="1:13" ht="15.75" x14ac:dyDescent="0.2">
      <c r="A98" s="21" t="s">
        <v>376</v>
      </c>
      <c r="B98" s="230"/>
      <c r="C98" s="230"/>
      <c r="D98" s="165"/>
      <c r="E98" s="27"/>
      <c r="F98" s="287"/>
      <c r="G98" s="287"/>
      <c r="H98" s="165"/>
      <c r="I98" s="27"/>
      <c r="J98" s="283"/>
      <c r="K98" s="44"/>
      <c r="L98" s="250"/>
      <c r="M98" s="27"/>
    </row>
    <row r="99" spans="1:13" x14ac:dyDescent="0.2">
      <c r="A99" s="21" t="s">
        <v>9</v>
      </c>
      <c r="B99" s="287"/>
      <c r="C99" s="288"/>
      <c r="D99" s="165"/>
      <c r="E99" s="27"/>
      <c r="F99" s="230"/>
      <c r="G99" s="145"/>
      <c r="H99" s="165"/>
      <c r="I99" s="27"/>
      <c r="J99" s="283"/>
      <c r="K99" s="44"/>
      <c r="L99" s="250"/>
      <c r="M99" s="27"/>
    </row>
    <row r="100" spans="1:13" x14ac:dyDescent="0.2">
      <c r="A100" s="38" t="s">
        <v>413</v>
      </c>
      <c r="B100" s="287"/>
      <c r="C100" s="288"/>
      <c r="D100" s="165"/>
      <c r="E100" s="27"/>
      <c r="F100" s="230"/>
      <c r="G100" s="230"/>
      <c r="H100" s="165"/>
      <c r="I100" s="27"/>
      <c r="J100" s="283"/>
      <c r="K100" s="44"/>
      <c r="L100" s="250"/>
      <c r="M100" s="27"/>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c r="C107" s="145"/>
      <c r="D107" s="165"/>
      <c r="E107" s="27"/>
      <c r="F107" s="230"/>
      <c r="G107" s="145"/>
      <c r="H107" s="165"/>
      <c r="I107" s="27"/>
      <c r="J107" s="283"/>
      <c r="K107" s="44"/>
      <c r="L107" s="250"/>
      <c r="M107" s="27"/>
    </row>
    <row r="108" spans="1:13" ht="15.75" x14ac:dyDescent="0.2">
      <c r="A108" s="21" t="s">
        <v>378</v>
      </c>
      <c r="B108" s="230"/>
      <c r="C108" s="230"/>
      <c r="D108" s="165"/>
      <c r="E108" s="27"/>
      <c r="F108" s="230"/>
      <c r="G108" s="230"/>
      <c r="H108" s="165"/>
      <c r="I108" s="27"/>
      <c r="J108" s="283"/>
      <c r="K108" s="44"/>
      <c r="L108" s="250"/>
      <c r="M108" s="27"/>
    </row>
    <row r="109" spans="1:13" ht="15.6" customHeight="1" x14ac:dyDescent="0.2">
      <c r="A109" s="21" t="s">
        <v>430</v>
      </c>
      <c r="B109" s="230"/>
      <c r="C109" s="230"/>
      <c r="D109" s="165"/>
      <c r="E109" s="27"/>
      <c r="F109" s="230"/>
      <c r="G109" s="230"/>
      <c r="H109" s="165"/>
      <c r="I109" s="27"/>
      <c r="J109" s="283"/>
      <c r="K109" s="44"/>
      <c r="L109" s="250"/>
      <c r="M109" s="27"/>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c r="C111" s="158"/>
      <c r="D111" s="170"/>
      <c r="E111" s="11"/>
      <c r="F111" s="301"/>
      <c r="G111" s="158"/>
      <c r="H111" s="170"/>
      <c r="I111" s="11"/>
      <c r="J111" s="302"/>
      <c r="K111" s="232"/>
      <c r="L111" s="414"/>
      <c r="M111" s="11"/>
    </row>
    <row r="112" spans="1:13" x14ac:dyDescent="0.2">
      <c r="A112" s="21" t="s">
        <v>9</v>
      </c>
      <c r="B112" s="230"/>
      <c r="C112" s="145"/>
      <c r="D112" s="165"/>
      <c r="E112" s="27"/>
      <c r="F112" s="230"/>
      <c r="G112" s="145"/>
      <c r="H112" s="165"/>
      <c r="I112" s="27"/>
      <c r="J112" s="283"/>
      <c r="K112" s="44"/>
      <c r="L112" s="250"/>
      <c r="M112" s="27"/>
    </row>
    <row r="113" spans="1:14" x14ac:dyDescent="0.2">
      <c r="A113" s="21" t="s">
        <v>10</v>
      </c>
      <c r="B113" s="230"/>
      <c r="C113" s="145"/>
      <c r="D113" s="165"/>
      <c r="E113" s="27"/>
      <c r="F113" s="230"/>
      <c r="G113" s="145"/>
      <c r="H113" s="165"/>
      <c r="I113" s="27"/>
      <c r="J113" s="283"/>
      <c r="K113" s="44"/>
      <c r="L113" s="250"/>
      <c r="M113" s="27"/>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c r="C116" s="230"/>
      <c r="D116" s="165"/>
      <c r="E116" s="27"/>
      <c r="F116" s="230"/>
      <c r="G116" s="230"/>
      <c r="H116" s="165"/>
      <c r="I116" s="27"/>
      <c r="J116" s="283"/>
      <c r="K116" s="44"/>
      <c r="L116" s="250"/>
      <c r="M116" s="27"/>
    </row>
    <row r="117" spans="1:14" ht="15.6" customHeight="1" x14ac:dyDescent="0.2">
      <c r="A117" s="21" t="s">
        <v>430</v>
      </c>
      <c r="B117" s="230"/>
      <c r="C117" s="230"/>
      <c r="D117" s="165"/>
      <c r="E117" s="27"/>
      <c r="F117" s="230"/>
      <c r="G117" s="230"/>
      <c r="H117" s="165"/>
      <c r="I117" s="27"/>
      <c r="J117" s="283"/>
      <c r="K117" s="44"/>
      <c r="L117" s="250"/>
      <c r="M117" s="27"/>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c r="C119" s="158"/>
      <c r="D119" s="170"/>
      <c r="E119" s="11"/>
      <c r="F119" s="301"/>
      <c r="G119" s="158"/>
      <c r="H119" s="170"/>
      <c r="I119" s="11"/>
      <c r="J119" s="302"/>
      <c r="K119" s="232"/>
      <c r="L119" s="414"/>
      <c r="M119" s="11"/>
    </row>
    <row r="120" spans="1:14" x14ac:dyDescent="0.2">
      <c r="A120" s="21" t="s">
        <v>9</v>
      </c>
      <c r="B120" s="230"/>
      <c r="C120" s="145"/>
      <c r="D120" s="165"/>
      <c r="E120" s="27"/>
      <c r="F120" s="230"/>
      <c r="G120" s="145"/>
      <c r="H120" s="165"/>
      <c r="I120" s="27"/>
      <c r="J120" s="283"/>
      <c r="K120" s="44"/>
      <c r="L120" s="250"/>
      <c r="M120" s="27"/>
    </row>
    <row r="121" spans="1:14" x14ac:dyDescent="0.2">
      <c r="A121" s="21" t="s">
        <v>10</v>
      </c>
      <c r="B121" s="230"/>
      <c r="C121" s="145"/>
      <c r="D121" s="165"/>
      <c r="E121" s="27"/>
      <c r="F121" s="230"/>
      <c r="G121" s="145"/>
      <c r="H121" s="165"/>
      <c r="I121" s="27"/>
      <c r="J121" s="283"/>
      <c r="K121" s="44"/>
      <c r="L121" s="250"/>
      <c r="M121" s="27"/>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c r="C125" s="230"/>
      <c r="D125" s="165"/>
      <c r="E125" s="27"/>
      <c r="F125" s="230"/>
      <c r="G125" s="230"/>
      <c r="H125" s="165"/>
      <c r="I125" s="27"/>
      <c r="J125" s="283"/>
      <c r="K125" s="44"/>
      <c r="L125" s="250"/>
      <c r="M125" s="27"/>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292"/>
      <c r="F130" s="724"/>
      <c r="G130" s="724"/>
      <c r="H130" s="724"/>
      <c r="I130" s="292"/>
      <c r="J130" s="724"/>
      <c r="K130" s="724"/>
      <c r="L130" s="724"/>
      <c r="M130" s="292"/>
    </row>
    <row r="131" spans="1:14" s="3" customFormat="1" x14ac:dyDescent="0.2">
      <c r="A131" s="144"/>
      <c r="B131" s="725" t="s">
        <v>0</v>
      </c>
      <c r="C131" s="726"/>
      <c r="D131" s="726"/>
      <c r="E131" s="294"/>
      <c r="F131" s="725" t="s">
        <v>1</v>
      </c>
      <c r="G131" s="726"/>
      <c r="H131" s="726"/>
      <c r="I131" s="297"/>
      <c r="J131" s="725" t="s">
        <v>2</v>
      </c>
      <c r="K131" s="726"/>
      <c r="L131" s="726"/>
      <c r="M131" s="297"/>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c r="C134" s="302"/>
      <c r="D134" s="340"/>
      <c r="E134" s="11"/>
      <c r="F134" s="309"/>
      <c r="G134" s="310"/>
      <c r="H134" s="417"/>
      <c r="I134" s="24"/>
      <c r="J134" s="311"/>
      <c r="K134" s="311"/>
      <c r="L134" s="413"/>
      <c r="M134" s="11"/>
      <c r="N134" s="148"/>
    </row>
    <row r="135" spans="1:14" s="3" customFormat="1" ht="15.75" x14ac:dyDescent="0.2">
      <c r="A135" s="13" t="s">
        <v>386</v>
      </c>
      <c r="B135" s="232"/>
      <c r="C135" s="302"/>
      <c r="D135" s="170"/>
      <c r="E135" s="11"/>
      <c r="F135" s="232"/>
      <c r="G135" s="302"/>
      <c r="H135" s="418"/>
      <c r="I135" s="24"/>
      <c r="J135" s="301"/>
      <c r="K135" s="301"/>
      <c r="L135" s="414"/>
      <c r="M135" s="11"/>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77" priority="12">
      <formula>kvartal &lt; 4</formula>
    </cfRule>
  </conditionalFormatting>
  <conditionalFormatting sqref="A69:A74">
    <cfRule type="expression" dxfId="376" priority="10">
      <formula>kvartal &lt; 4</formula>
    </cfRule>
  </conditionalFormatting>
  <conditionalFormatting sqref="A80:A85">
    <cfRule type="expression" dxfId="375" priority="9">
      <formula>kvartal &lt; 4</formula>
    </cfRule>
  </conditionalFormatting>
  <conditionalFormatting sqref="A90:A95">
    <cfRule type="expression" dxfId="374" priority="6">
      <formula>kvartal &lt; 4</formula>
    </cfRule>
  </conditionalFormatting>
  <conditionalFormatting sqref="A101:A106">
    <cfRule type="expression" dxfId="373" priority="5">
      <formula>kvartal &lt; 4</formula>
    </cfRule>
  </conditionalFormatting>
  <conditionalFormatting sqref="A115">
    <cfRule type="expression" dxfId="372" priority="4">
      <formula>kvartal &lt; 4</formula>
    </cfRule>
  </conditionalFormatting>
  <conditionalFormatting sqref="A123">
    <cfRule type="expression" dxfId="371" priority="3">
      <formula>kvartal &lt; 4</formula>
    </cfRule>
  </conditionalFormatting>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N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244" t="s">
        <v>125</v>
      </c>
      <c r="D1" s="26"/>
      <c r="E1" s="26"/>
      <c r="F1" s="26"/>
      <c r="G1" s="26"/>
      <c r="H1" s="26"/>
      <c r="I1" s="26"/>
      <c r="J1" s="26"/>
      <c r="K1" s="26"/>
      <c r="L1" s="26"/>
      <c r="M1" s="26"/>
    </row>
    <row r="2" spans="1:14" ht="15.75" x14ac:dyDescent="0.25">
      <c r="A2" s="164" t="s">
        <v>28</v>
      </c>
      <c r="B2" s="729"/>
      <c r="C2" s="729"/>
      <c r="D2" s="729"/>
      <c r="E2" s="292"/>
      <c r="F2" s="729"/>
      <c r="G2" s="729"/>
      <c r="H2" s="729"/>
      <c r="I2" s="292"/>
      <c r="J2" s="729"/>
      <c r="K2" s="729"/>
      <c r="L2" s="729"/>
      <c r="M2" s="292"/>
    </row>
    <row r="3" spans="1:14" ht="15.75" x14ac:dyDescent="0.25">
      <c r="A3" s="162"/>
      <c r="B3" s="292"/>
      <c r="C3" s="292"/>
      <c r="D3" s="292"/>
      <c r="E3" s="292"/>
      <c r="F3" s="292"/>
      <c r="G3" s="292"/>
      <c r="H3" s="292"/>
      <c r="I3" s="292"/>
      <c r="J3" s="292"/>
      <c r="K3" s="292"/>
      <c r="L3" s="292"/>
      <c r="M3" s="292"/>
    </row>
    <row r="4" spans="1:14" x14ac:dyDescent="0.2">
      <c r="A4" s="144"/>
      <c r="B4" s="725" t="s">
        <v>0</v>
      </c>
      <c r="C4" s="726"/>
      <c r="D4" s="726"/>
      <c r="E4" s="294"/>
      <c r="F4" s="725" t="s">
        <v>1</v>
      </c>
      <c r="G4" s="726"/>
      <c r="H4" s="726"/>
      <c r="I4" s="297"/>
      <c r="J4" s="725" t="s">
        <v>2</v>
      </c>
      <c r="K4" s="726"/>
      <c r="L4" s="726"/>
      <c r="M4" s="297"/>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c r="C7" s="300"/>
      <c r="D7" s="340"/>
      <c r="E7" s="11"/>
      <c r="F7" s="299"/>
      <c r="G7" s="300"/>
      <c r="H7" s="340"/>
      <c r="I7" s="159"/>
      <c r="J7" s="301"/>
      <c r="K7" s="302"/>
      <c r="L7" s="413"/>
      <c r="M7" s="11"/>
    </row>
    <row r="8" spans="1:14" ht="15.75" x14ac:dyDescent="0.2">
      <c r="A8" s="21" t="s">
        <v>25</v>
      </c>
      <c r="B8" s="277"/>
      <c r="C8" s="278"/>
      <c r="D8" s="165"/>
      <c r="E8" s="27"/>
      <c r="F8" s="281"/>
      <c r="G8" s="282"/>
      <c r="H8" s="165"/>
      <c r="I8" s="174"/>
      <c r="J8" s="230"/>
      <c r="K8" s="283"/>
      <c r="L8" s="165"/>
      <c r="M8" s="27"/>
    </row>
    <row r="9" spans="1:14" ht="15.75" x14ac:dyDescent="0.2">
      <c r="A9" s="21" t="s">
        <v>24</v>
      </c>
      <c r="B9" s="277"/>
      <c r="C9" s="278"/>
      <c r="D9" s="165"/>
      <c r="E9" s="27"/>
      <c r="F9" s="281"/>
      <c r="G9" s="282"/>
      <c r="H9" s="165"/>
      <c r="I9" s="174"/>
      <c r="J9" s="230"/>
      <c r="K9" s="283"/>
      <c r="L9" s="165"/>
      <c r="M9" s="27"/>
    </row>
    <row r="10" spans="1:14" ht="15.75" x14ac:dyDescent="0.2">
      <c r="A10" s="13" t="s">
        <v>359</v>
      </c>
      <c r="B10" s="303"/>
      <c r="C10" s="304"/>
      <c r="D10" s="170"/>
      <c r="E10" s="11"/>
      <c r="F10" s="303"/>
      <c r="G10" s="304"/>
      <c r="H10" s="170"/>
      <c r="I10" s="159"/>
      <c r="J10" s="301"/>
      <c r="K10" s="302"/>
      <c r="L10" s="414"/>
      <c r="M10" s="11"/>
    </row>
    <row r="11" spans="1:14" s="43" customFormat="1" ht="15.75" x14ac:dyDescent="0.2">
      <c r="A11" s="13" t="s">
        <v>360</v>
      </c>
      <c r="B11" s="303"/>
      <c r="C11" s="304"/>
      <c r="D11" s="170"/>
      <c r="E11" s="11"/>
      <c r="F11" s="303"/>
      <c r="G11" s="304"/>
      <c r="H11" s="170"/>
      <c r="I11" s="159"/>
      <c r="J11" s="301"/>
      <c r="K11" s="302"/>
      <c r="L11" s="414"/>
      <c r="M11" s="11"/>
      <c r="N11" s="143"/>
    </row>
    <row r="12" spans="1:14" s="43" customFormat="1" ht="15.75" x14ac:dyDescent="0.2">
      <c r="A12" s="41" t="s">
        <v>361</v>
      </c>
      <c r="B12" s="305"/>
      <c r="C12" s="306"/>
      <c r="D12" s="168"/>
      <c r="E12" s="36"/>
      <c r="F12" s="305"/>
      <c r="G12" s="306"/>
      <c r="H12" s="168"/>
      <c r="I12" s="168"/>
      <c r="J12" s="307"/>
      <c r="K12" s="308"/>
      <c r="L12" s="415"/>
      <c r="M12" s="36"/>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292"/>
      <c r="F18" s="724"/>
      <c r="G18" s="724"/>
      <c r="H18" s="724"/>
      <c r="I18" s="292"/>
      <c r="J18" s="724"/>
      <c r="K18" s="724"/>
      <c r="L18" s="724"/>
      <c r="M18" s="292"/>
    </row>
    <row r="19" spans="1:14" x14ac:dyDescent="0.2">
      <c r="A19" s="144"/>
      <c r="B19" s="725" t="s">
        <v>0</v>
      </c>
      <c r="C19" s="726"/>
      <c r="D19" s="726"/>
      <c r="E19" s="294"/>
      <c r="F19" s="725" t="s">
        <v>1</v>
      </c>
      <c r="G19" s="726"/>
      <c r="H19" s="726"/>
      <c r="I19" s="297"/>
      <c r="J19" s="725" t="s">
        <v>2</v>
      </c>
      <c r="K19" s="726"/>
      <c r="L19" s="726"/>
      <c r="M19" s="297"/>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303"/>
      <c r="C22" s="303"/>
      <c r="D22" s="340"/>
      <c r="E22" s="11"/>
      <c r="F22" s="311"/>
      <c r="G22" s="311"/>
      <c r="H22" s="340"/>
      <c r="I22" s="11"/>
      <c r="J22" s="309"/>
      <c r="K22" s="309"/>
      <c r="L22" s="413"/>
      <c r="M22" s="24"/>
    </row>
    <row r="23" spans="1:14" ht="15.75" x14ac:dyDescent="0.2">
      <c r="A23" s="555" t="s">
        <v>362</v>
      </c>
      <c r="B23" s="277"/>
      <c r="C23" s="277"/>
      <c r="D23" s="165"/>
      <c r="E23" s="11"/>
      <c r="F23" s="286"/>
      <c r="G23" s="286"/>
      <c r="H23" s="165"/>
      <c r="I23" s="403"/>
      <c r="J23" s="286"/>
      <c r="K23" s="286"/>
      <c r="L23" s="165"/>
      <c r="M23" s="23"/>
    </row>
    <row r="24" spans="1:14" ht="15.75" x14ac:dyDescent="0.2">
      <c r="A24" s="555" t="s">
        <v>363</v>
      </c>
      <c r="B24" s="277"/>
      <c r="C24" s="277"/>
      <c r="D24" s="165"/>
      <c r="E24" s="11"/>
      <c r="F24" s="286"/>
      <c r="G24" s="286"/>
      <c r="H24" s="165"/>
      <c r="I24" s="403"/>
      <c r="J24" s="286"/>
      <c r="K24" s="286"/>
      <c r="L24" s="165"/>
      <c r="M24" s="23"/>
    </row>
    <row r="25" spans="1:14" ht="15.75" x14ac:dyDescent="0.2">
      <c r="A25" s="555" t="s">
        <v>364</v>
      </c>
      <c r="B25" s="277"/>
      <c r="C25" s="277"/>
      <c r="D25" s="165"/>
      <c r="E25" s="11"/>
      <c r="F25" s="286"/>
      <c r="G25" s="286"/>
      <c r="H25" s="165"/>
      <c r="I25" s="403"/>
      <c r="J25" s="286"/>
      <c r="K25" s="286"/>
      <c r="L25" s="165"/>
      <c r="M25" s="23"/>
    </row>
    <row r="26" spans="1:14" ht="15.75" x14ac:dyDescent="0.2">
      <c r="A26" s="555" t="s">
        <v>365</v>
      </c>
      <c r="B26" s="277"/>
      <c r="C26" s="277"/>
      <c r="D26" s="165"/>
      <c r="E26" s="11"/>
      <c r="F26" s="286"/>
      <c r="G26" s="286"/>
      <c r="H26" s="165"/>
      <c r="I26" s="403"/>
      <c r="J26" s="286"/>
      <c r="K26" s="286"/>
      <c r="L26" s="165"/>
      <c r="M26" s="23"/>
    </row>
    <row r="27" spans="1:14" x14ac:dyDescent="0.2">
      <c r="A27" s="555" t="s">
        <v>11</v>
      </c>
      <c r="B27" s="277"/>
      <c r="C27" s="277"/>
      <c r="D27" s="165"/>
      <c r="E27" s="11"/>
      <c r="F27" s="286"/>
      <c r="G27" s="286"/>
      <c r="H27" s="165"/>
      <c r="I27" s="403"/>
      <c r="J27" s="286"/>
      <c r="K27" s="286"/>
      <c r="L27" s="165"/>
      <c r="M27" s="23"/>
    </row>
    <row r="28" spans="1:14" ht="15.75" x14ac:dyDescent="0.2">
      <c r="A28" s="49" t="s">
        <v>270</v>
      </c>
      <c r="B28" s="44"/>
      <c r="C28" s="283"/>
      <c r="D28" s="165"/>
      <c r="E28" s="11"/>
      <c r="F28" s="230"/>
      <c r="G28" s="283"/>
      <c r="H28" s="165"/>
      <c r="I28" s="27"/>
      <c r="J28" s="44"/>
      <c r="K28" s="44"/>
      <c r="L28" s="250"/>
      <c r="M28" s="23"/>
    </row>
    <row r="29" spans="1:14" s="3" customFormat="1" ht="15.75" x14ac:dyDescent="0.2">
      <c r="A29" s="13" t="s">
        <v>359</v>
      </c>
      <c r="B29" s="232"/>
      <c r="C29" s="232"/>
      <c r="D29" s="170"/>
      <c r="E29" s="11"/>
      <c r="F29" s="301"/>
      <c r="G29" s="301"/>
      <c r="H29" s="170"/>
      <c r="I29" s="11"/>
      <c r="J29" s="232"/>
      <c r="K29" s="232"/>
      <c r="L29" s="414"/>
      <c r="M29" s="24"/>
      <c r="N29" s="148"/>
    </row>
    <row r="30" spans="1:14" s="3" customFormat="1" ht="15.75" x14ac:dyDescent="0.2">
      <c r="A30" s="555" t="s">
        <v>362</v>
      </c>
      <c r="B30" s="277"/>
      <c r="C30" s="277"/>
      <c r="D30" s="165"/>
      <c r="E30" s="11"/>
      <c r="F30" s="286"/>
      <c r="G30" s="286"/>
      <c r="H30" s="165"/>
      <c r="I30" s="403"/>
      <c r="J30" s="286"/>
      <c r="K30" s="286"/>
      <c r="L30" s="165"/>
      <c r="M30" s="23"/>
      <c r="N30" s="148"/>
    </row>
    <row r="31" spans="1:14" s="3" customFormat="1" ht="15.75" x14ac:dyDescent="0.2">
      <c r="A31" s="555" t="s">
        <v>363</v>
      </c>
      <c r="B31" s="277"/>
      <c r="C31" s="277"/>
      <c r="D31" s="165"/>
      <c r="E31" s="11"/>
      <c r="F31" s="286"/>
      <c r="G31" s="286"/>
      <c r="H31" s="165"/>
      <c r="I31" s="403"/>
      <c r="J31" s="286"/>
      <c r="K31" s="286"/>
      <c r="L31" s="165"/>
      <c r="M31" s="23"/>
      <c r="N31" s="148"/>
    </row>
    <row r="32" spans="1:14" ht="15.75" x14ac:dyDescent="0.2">
      <c r="A32" s="555" t="s">
        <v>364</v>
      </c>
      <c r="B32" s="277"/>
      <c r="C32" s="277"/>
      <c r="D32" s="165"/>
      <c r="E32" s="11"/>
      <c r="F32" s="286"/>
      <c r="G32" s="286"/>
      <c r="H32" s="165"/>
      <c r="I32" s="403"/>
      <c r="J32" s="286"/>
      <c r="K32" s="286"/>
      <c r="L32" s="165"/>
      <c r="M32" s="23"/>
    </row>
    <row r="33" spans="1:14" ht="15.75" x14ac:dyDescent="0.2">
      <c r="A33" s="555" t="s">
        <v>365</v>
      </c>
      <c r="B33" s="277"/>
      <c r="C33" s="277"/>
      <c r="D33" s="165"/>
      <c r="E33" s="11"/>
      <c r="F33" s="286"/>
      <c r="G33" s="286"/>
      <c r="H33" s="165"/>
      <c r="I33" s="403"/>
      <c r="J33" s="286"/>
      <c r="K33" s="286"/>
      <c r="L33" s="165"/>
      <c r="M33" s="23"/>
    </row>
    <row r="34" spans="1:14" ht="15.75" x14ac:dyDescent="0.2">
      <c r="A34" s="13" t="s">
        <v>360</v>
      </c>
      <c r="B34" s="232"/>
      <c r="C34" s="302"/>
      <c r="D34" s="170"/>
      <c r="E34" s="11"/>
      <c r="F34" s="301"/>
      <c r="G34" s="302"/>
      <c r="H34" s="170"/>
      <c r="I34" s="11"/>
      <c r="J34" s="232"/>
      <c r="K34" s="232"/>
      <c r="L34" s="414"/>
      <c r="M34" s="24"/>
    </row>
    <row r="35" spans="1:14" ht="15.75" x14ac:dyDescent="0.2">
      <c r="A35" s="13" t="s">
        <v>361</v>
      </c>
      <c r="B35" s="232"/>
      <c r="C35" s="302"/>
      <c r="D35" s="170"/>
      <c r="E35" s="11"/>
      <c r="F35" s="301"/>
      <c r="G35" s="302"/>
      <c r="H35" s="170"/>
      <c r="I35" s="11"/>
      <c r="J35" s="232"/>
      <c r="K35" s="232"/>
      <c r="L35" s="414"/>
      <c r="M35" s="24"/>
    </row>
    <row r="36" spans="1:14" ht="15.75" x14ac:dyDescent="0.2">
      <c r="A36" s="12" t="s">
        <v>278</v>
      </c>
      <c r="B36" s="232"/>
      <c r="C36" s="302"/>
      <c r="D36" s="170"/>
      <c r="E36" s="11"/>
      <c r="F36" s="312"/>
      <c r="G36" s="313"/>
      <c r="H36" s="170"/>
      <c r="I36" s="420"/>
      <c r="J36" s="232"/>
      <c r="K36" s="232"/>
      <c r="L36" s="414"/>
      <c r="M36" s="24"/>
    </row>
    <row r="37" spans="1:14" ht="15.75" x14ac:dyDescent="0.2">
      <c r="A37" s="12" t="s">
        <v>367</v>
      </c>
      <c r="B37" s="232"/>
      <c r="C37" s="302"/>
      <c r="D37" s="170"/>
      <c r="E37" s="11"/>
      <c r="F37" s="312"/>
      <c r="G37" s="314"/>
      <c r="H37" s="170"/>
      <c r="I37" s="420"/>
      <c r="J37" s="232"/>
      <c r="K37" s="232"/>
      <c r="L37" s="414"/>
      <c r="M37" s="24"/>
    </row>
    <row r="38" spans="1:14" ht="15.75" x14ac:dyDescent="0.2">
      <c r="A38" s="12" t="s">
        <v>368</v>
      </c>
      <c r="B38" s="232"/>
      <c r="C38" s="302"/>
      <c r="D38" s="170"/>
      <c r="E38" s="24"/>
      <c r="F38" s="312"/>
      <c r="G38" s="313"/>
      <c r="H38" s="170"/>
      <c r="I38" s="420"/>
      <c r="J38" s="232"/>
      <c r="K38" s="232"/>
      <c r="L38" s="414"/>
      <c r="M38" s="24"/>
    </row>
    <row r="39" spans="1:14" ht="15.75" x14ac:dyDescent="0.2">
      <c r="A39" s="18" t="s">
        <v>369</v>
      </c>
      <c r="B39" s="272"/>
      <c r="C39" s="308"/>
      <c r="D39" s="168"/>
      <c r="E39" s="36"/>
      <c r="F39" s="315"/>
      <c r="G39" s="316"/>
      <c r="H39" s="168"/>
      <c r="I39" s="36"/>
      <c r="J39" s="232"/>
      <c r="K39" s="232"/>
      <c r="L39" s="415"/>
      <c r="M39" s="36"/>
    </row>
    <row r="40" spans="1:14" ht="15.75" x14ac:dyDescent="0.25">
      <c r="A40" s="47"/>
      <c r="B40" s="249"/>
      <c r="C40" s="249"/>
      <c r="D40" s="728"/>
      <c r="E40" s="728"/>
      <c r="F40" s="728"/>
      <c r="G40" s="728"/>
      <c r="H40" s="728"/>
      <c r="I40" s="728"/>
      <c r="J40" s="728"/>
      <c r="K40" s="728"/>
      <c r="L40" s="728"/>
      <c r="M40" s="295"/>
    </row>
    <row r="41" spans="1:14" x14ac:dyDescent="0.2">
      <c r="A41" s="154"/>
    </row>
    <row r="42" spans="1:14" ht="15.75" x14ac:dyDescent="0.25">
      <c r="A42" s="147" t="s">
        <v>267</v>
      </c>
      <c r="B42" s="729"/>
      <c r="C42" s="729"/>
      <c r="D42" s="729"/>
      <c r="E42" s="292"/>
      <c r="F42" s="730"/>
      <c r="G42" s="730"/>
      <c r="H42" s="730"/>
      <c r="I42" s="295"/>
      <c r="J42" s="730"/>
      <c r="K42" s="730"/>
      <c r="L42" s="730"/>
      <c r="M42" s="295"/>
    </row>
    <row r="43" spans="1:14" ht="15.75" x14ac:dyDescent="0.25">
      <c r="A43" s="162"/>
      <c r="B43" s="296"/>
      <c r="C43" s="296"/>
      <c r="D43" s="296"/>
      <c r="E43" s="296"/>
      <c r="F43" s="295"/>
      <c r="G43" s="295"/>
      <c r="H43" s="295"/>
      <c r="I43" s="295"/>
      <c r="J43" s="295"/>
      <c r="K43" s="295"/>
      <c r="L43" s="295"/>
      <c r="M43" s="295"/>
    </row>
    <row r="44" spans="1:14" ht="15.75" x14ac:dyDescent="0.25">
      <c r="A44" s="243"/>
      <c r="B44" s="725" t="s">
        <v>0</v>
      </c>
      <c r="C44" s="726"/>
      <c r="D44" s="726"/>
      <c r="E44" s="239"/>
      <c r="F44" s="295"/>
      <c r="G44" s="295"/>
      <c r="H44" s="295"/>
      <c r="I44" s="295"/>
      <c r="J44" s="295"/>
      <c r="K44" s="295"/>
      <c r="L44" s="295"/>
      <c r="M44" s="295"/>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v>5032.16</v>
      </c>
      <c r="C47" s="304">
        <v>6055.442</v>
      </c>
      <c r="D47" s="413">
        <f t="shared" ref="D47:D57" si="0">IF(B47=0, "    ---- ", IF(ABS(ROUND(100/B47*C47-100,1))&lt;999,ROUND(100/B47*C47-100,1),IF(ROUND(100/B47*C47-100,1)&gt;999,999,-999)))</f>
        <v>20.3</v>
      </c>
      <c r="E47" s="11">
        <f>IFERROR(100/'Skjema total MA'!C47*C47,0)</f>
        <v>0.17524114236494459</v>
      </c>
      <c r="F47" s="145"/>
      <c r="G47" s="33"/>
      <c r="H47" s="158"/>
      <c r="I47" s="158"/>
      <c r="J47" s="37"/>
      <c r="K47" s="37"/>
      <c r="L47" s="158"/>
      <c r="M47" s="158"/>
      <c r="N47" s="148"/>
    </row>
    <row r="48" spans="1:14" s="3" customFormat="1" ht="15.75" x14ac:dyDescent="0.2">
      <c r="A48" s="38" t="s">
        <v>370</v>
      </c>
      <c r="B48" s="277">
        <v>5032.16</v>
      </c>
      <c r="C48" s="278">
        <v>6055.442</v>
      </c>
      <c r="D48" s="250">
        <f t="shared" si="0"/>
        <v>20.3</v>
      </c>
      <c r="E48" s="27">
        <f>IFERROR(100/'Skjema total MA'!C48*C48,0)</f>
        <v>0.3204431421132593</v>
      </c>
      <c r="F48" s="145"/>
      <c r="G48" s="33"/>
      <c r="H48" s="145"/>
      <c r="I48" s="145"/>
      <c r="J48" s="33"/>
      <c r="K48" s="33"/>
      <c r="L48" s="158"/>
      <c r="M48" s="158"/>
      <c r="N48" s="148"/>
    </row>
    <row r="49" spans="1:14" s="3" customFormat="1" ht="15.75" x14ac:dyDescent="0.2">
      <c r="A49" s="38" t="s">
        <v>371</v>
      </c>
      <c r="B49" s="44"/>
      <c r="C49" s="283"/>
      <c r="D49" s="250"/>
      <c r="E49" s="27"/>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v>371.29</v>
      </c>
      <c r="C53" s="304">
        <v>215.715</v>
      </c>
      <c r="D53" s="414">
        <f t="shared" si="0"/>
        <v>-41.9</v>
      </c>
      <c r="E53" s="11">
        <f>IFERROR(100/'Skjema total MA'!C53*C53,0)</f>
        <v>0.20165641607540277</v>
      </c>
      <c r="F53" s="145"/>
      <c r="G53" s="33"/>
      <c r="H53" s="145"/>
      <c r="I53" s="145"/>
      <c r="J53" s="33"/>
      <c r="K53" s="33"/>
      <c r="L53" s="158"/>
      <c r="M53" s="158"/>
      <c r="N53" s="148"/>
    </row>
    <row r="54" spans="1:14" s="3" customFormat="1" ht="15.75" x14ac:dyDescent="0.2">
      <c r="A54" s="38" t="s">
        <v>370</v>
      </c>
      <c r="B54" s="277">
        <v>371.29</v>
      </c>
      <c r="C54" s="278">
        <v>215.715</v>
      </c>
      <c r="D54" s="250">
        <f t="shared" si="0"/>
        <v>-41.9</v>
      </c>
      <c r="E54" s="27">
        <f>IFERROR(100/'Skjema total MA'!C54*C54,0)</f>
        <v>0.23189537702754731</v>
      </c>
      <c r="F54" s="145"/>
      <c r="G54" s="33"/>
      <c r="H54" s="145"/>
      <c r="I54" s="145"/>
      <c r="J54" s="33"/>
      <c r="K54" s="33"/>
      <c r="L54" s="158"/>
      <c r="M54" s="158"/>
      <c r="N54" s="148"/>
    </row>
    <row r="55" spans="1:14" s="3" customFormat="1" ht="15.75" x14ac:dyDescent="0.2">
      <c r="A55" s="38" t="s">
        <v>371</v>
      </c>
      <c r="B55" s="277"/>
      <c r="C55" s="278"/>
      <c r="D55" s="250"/>
      <c r="E55" s="27"/>
      <c r="F55" s="145"/>
      <c r="G55" s="33"/>
      <c r="H55" s="145"/>
      <c r="I55" s="145"/>
      <c r="J55" s="33"/>
      <c r="K55" s="33"/>
      <c r="L55" s="158"/>
      <c r="M55" s="158"/>
      <c r="N55" s="148"/>
    </row>
    <row r="56" spans="1:14" s="3" customFormat="1" ht="15.75" x14ac:dyDescent="0.2">
      <c r="A56" s="39" t="s">
        <v>373</v>
      </c>
      <c r="B56" s="303">
        <v>137.988</v>
      </c>
      <c r="C56" s="304">
        <v>0</v>
      </c>
      <c r="D56" s="414">
        <f t="shared" si="0"/>
        <v>-100</v>
      </c>
      <c r="E56" s="11">
        <f>IFERROR(100/'Skjema total MA'!C56*C56,0)</f>
        <v>0</v>
      </c>
      <c r="F56" s="145"/>
      <c r="G56" s="33"/>
      <c r="H56" s="145"/>
      <c r="I56" s="145"/>
      <c r="J56" s="33"/>
      <c r="K56" s="33"/>
      <c r="L56" s="158"/>
      <c r="M56" s="158"/>
      <c r="N56" s="148"/>
    </row>
    <row r="57" spans="1:14" s="3" customFormat="1" ht="15.75" x14ac:dyDescent="0.2">
      <c r="A57" s="38" t="s">
        <v>370</v>
      </c>
      <c r="B57" s="277">
        <v>137.988</v>
      </c>
      <c r="C57" s="278">
        <v>0</v>
      </c>
      <c r="D57" s="250">
        <f t="shared" si="0"/>
        <v>-100</v>
      </c>
      <c r="E57" s="27">
        <f>IFERROR(100/'Skjema total MA'!C57*C57,0)</f>
        <v>0</v>
      </c>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292"/>
      <c r="F62" s="724"/>
      <c r="G62" s="724"/>
      <c r="H62" s="724"/>
      <c r="I62" s="292"/>
      <c r="J62" s="724"/>
      <c r="K62" s="724"/>
      <c r="L62" s="724"/>
      <c r="M62" s="292"/>
    </row>
    <row r="63" spans="1:14" x14ac:dyDescent="0.2">
      <c r="A63" s="144"/>
      <c r="B63" s="725" t="s">
        <v>0</v>
      </c>
      <c r="C63" s="726"/>
      <c r="D63" s="727"/>
      <c r="E63" s="293"/>
      <c r="F63" s="726" t="s">
        <v>1</v>
      </c>
      <c r="G63" s="726"/>
      <c r="H63" s="726"/>
      <c r="I63" s="297"/>
      <c r="J63" s="725" t="s">
        <v>2</v>
      </c>
      <c r="K63" s="726"/>
      <c r="L63" s="726"/>
      <c r="M63" s="297"/>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c r="C66" s="343"/>
      <c r="D66" s="340"/>
      <c r="E66" s="11"/>
      <c r="F66" s="342"/>
      <c r="G66" s="342"/>
      <c r="H66" s="340"/>
      <c r="I66" s="11"/>
      <c r="J66" s="302"/>
      <c r="K66" s="309"/>
      <c r="L66" s="414"/>
      <c r="M66" s="11"/>
    </row>
    <row r="67" spans="1:14" x14ac:dyDescent="0.2">
      <c r="A67" s="405" t="s">
        <v>9</v>
      </c>
      <c r="B67" s="44"/>
      <c r="C67" s="145"/>
      <c r="D67" s="165"/>
      <c r="E67" s="27"/>
      <c r="F67" s="230"/>
      <c r="G67" s="145"/>
      <c r="H67" s="165"/>
      <c r="I67" s="27"/>
      <c r="J67" s="283"/>
      <c r="K67" s="44"/>
      <c r="L67" s="250"/>
      <c r="M67" s="27"/>
    </row>
    <row r="68" spans="1:14" x14ac:dyDescent="0.2">
      <c r="A68" s="21" t="s">
        <v>10</v>
      </c>
      <c r="B68" s="287"/>
      <c r="C68" s="288"/>
      <c r="D68" s="165"/>
      <c r="E68" s="27"/>
      <c r="F68" s="287"/>
      <c r="G68" s="288"/>
      <c r="H68" s="165"/>
      <c r="I68" s="27"/>
      <c r="J68" s="283"/>
      <c r="K68" s="44"/>
      <c r="L68" s="250"/>
      <c r="M68" s="27"/>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c r="C75" s="145"/>
      <c r="D75" s="165"/>
      <c r="E75" s="27"/>
      <c r="F75" s="230"/>
      <c r="G75" s="145"/>
      <c r="H75" s="165"/>
      <c r="I75" s="27"/>
      <c r="J75" s="283"/>
      <c r="K75" s="44"/>
      <c r="L75" s="250"/>
      <c r="M75" s="27"/>
      <c r="N75" s="148"/>
    </row>
    <row r="76" spans="1:14" s="3" customFormat="1" x14ac:dyDescent="0.2">
      <c r="A76" s="21" t="s">
        <v>343</v>
      </c>
      <c r="B76" s="230"/>
      <c r="C76" s="145"/>
      <c r="D76" s="165"/>
      <c r="E76" s="27"/>
      <c r="F76" s="230"/>
      <c r="G76" s="145"/>
      <c r="H76" s="165"/>
      <c r="I76" s="27"/>
      <c r="J76" s="283"/>
      <c r="K76" s="44"/>
      <c r="L76" s="250"/>
      <c r="M76" s="27"/>
      <c r="N76" s="148"/>
    </row>
    <row r="77" spans="1:14" ht="15.75" x14ac:dyDescent="0.2">
      <c r="A77" s="21" t="s">
        <v>376</v>
      </c>
      <c r="B77" s="230"/>
      <c r="C77" s="230"/>
      <c r="D77" s="165"/>
      <c r="E77" s="27"/>
      <c r="F77" s="230"/>
      <c r="G77" s="145"/>
      <c r="H77" s="165"/>
      <c r="I77" s="27"/>
      <c r="J77" s="283"/>
      <c r="K77" s="44"/>
      <c r="L77" s="250"/>
      <c r="M77" s="27"/>
    </row>
    <row r="78" spans="1:14" x14ac:dyDescent="0.2">
      <c r="A78" s="21" t="s">
        <v>9</v>
      </c>
      <c r="B78" s="230"/>
      <c r="C78" s="145"/>
      <c r="D78" s="165"/>
      <c r="E78" s="27"/>
      <c r="F78" s="230"/>
      <c r="G78" s="145"/>
      <c r="H78" s="165"/>
      <c r="I78" s="27"/>
      <c r="J78" s="283"/>
      <c r="K78" s="44"/>
      <c r="L78" s="250"/>
      <c r="M78" s="27"/>
    </row>
    <row r="79" spans="1:14" x14ac:dyDescent="0.2">
      <c r="A79" s="38" t="s">
        <v>413</v>
      </c>
      <c r="B79" s="287"/>
      <c r="C79" s="288"/>
      <c r="D79" s="165"/>
      <c r="E79" s="27"/>
      <c r="F79" s="287"/>
      <c r="G79" s="288"/>
      <c r="H79" s="165"/>
      <c r="I79" s="27"/>
      <c r="J79" s="283"/>
      <c r="K79" s="44"/>
      <c r="L79" s="250"/>
      <c r="M79" s="27"/>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c r="C86" s="145"/>
      <c r="D86" s="165"/>
      <c r="E86" s="27"/>
      <c r="F86" s="230"/>
      <c r="G86" s="145"/>
      <c r="H86" s="165"/>
      <c r="I86" s="27"/>
      <c r="J86" s="283"/>
      <c r="K86" s="44"/>
      <c r="L86" s="250"/>
      <c r="M86" s="27"/>
    </row>
    <row r="87" spans="1:13" ht="15.75" x14ac:dyDescent="0.2">
      <c r="A87" s="13" t="s">
        <v>359</v>
      </c>
      <c r="B87" s="343"/>
      <c r="C87" s="343"/>
      <c r="D87" s="170"/>
      <c r="E87" s="11"/>
      <c r="F87" s="342"/>
      <c r="G87" s="342"/>
      <c r="H87" s="170"/>
      <c r="I87" s="11"/>
      <c r="J87" s="302"/>
      <c r="K87" s="232"/>
      <c r="L87" s="414"/>
      <c r="M87" s="11"/>
    </row>
    <row r="88" spans="1:13" x14ac:dyDescent="0.2">
      <c r="A88" s="21" t="s">
        <v>9</v>
      </c>
      <c r="B88" s="230"/>
      <c r="C88" s="145"/>
      <c r="D88" s="165"/>
      <c r="E88" s="27"/>
      <c r="F88" s="230"/>
      <c r="G88" s="145"/>
      <c r="H88" s="165"/>
      <c r="I88" s="27"/>
      <c r="J88" s="283"/>
      <c r="K88" s="44"/>
      <c r="L88" s="250"/>
      <c r="M88" s="27"/>
    </row>
    <row r="89" spans="1:13" x14ac:dyDescent="0.2">
      <c r="A89" s="21" t="s">
        <v>10</v>
      </c>
      <c r="B89" s="230"/>
      <c r="C89" s="145"/>
      <c r="D89" s="165"/>
      <c r="E89" s="27"/>
      <c r="F89" s="230"/>
      <c r="G89" s="145"/>
      <c r="H89" s="165"/>
      <c r="I89" s="27"/>
      <c r="J89" s="283"/>
      <c r="K89" s="44"/>
      <c r="L89" s="250"/>
      <c r="M89" s="27"/>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c r="C97" s="145"/>
      <c r="D97" s="165"/>
      <c r="E97" s="27"/>
      <c r="F97" s="230"/>
      <c r="G97" s="145"/>
      <c r="H97" s="165"/>
      <c r="I97" s="27"/>
      <c r="J97" s="283"/>
      <c r="K97" s="44"/>
      <c r="L97" s="250"/>
      <c r="M97" s="27"/>
    </row>
    <row r="98" spans="1:13" ht="15.75" x14ac:dyDescent="0.2">
      <c r="A98" s="21" t="s">
        <v>376</v>
      </c>
      <c r="B98" s="230"/>
      <c r="C98" s="230"/>
      <c r="D98" s="165"/>
      <c r="E98" s="27"/>
      <c r="F98" s="287"/>
      <c r="G98" s="287"/>
      <c r="H98" s="165"/>
      <c r="I98" s="27"/>
      <c r="J98" s="283"/>
      <c r="K98" s="44"/>
      <c r="L98" s="250"/>
      <c r="M98" s="27"/>
    </row>
    <row r="99" spans="1:13" x14ac:dyDescent="0.2">
      <c r="A99" s="21" t="s">
        <v>9</v>
      </c>
      <c r="B99" s="287"/>
      <c r="C99" s="288"/>
      <c r="D99" s="165"/>
      <c r="E99" s="27"/>
      <c r="F99" s="230"/>
      <c r="G99" s="145"/>
      <c r="H99" s="165"/>
      <c r="I99" s="27"/>
      <c r="J99" s="283"/>
      <c r="K99" s="44"/>
      <c r="L99" s="250"/>
      <c r="M99" s="27"/>
    </row>
    <row r="100" spans="1:13" x14ac:dyDescent="0.2">
      <c r="A100" s="38" t="s">
        <v>413</v>
      </c>
      <c r="B100" s="287"/>
      <c r="C100" s="288"/>
      <c r="D100" s="165"/>
      <c r="E100" s="27"/>
      <c r="F100" s="230"/>
      <c r="G100" s="230"/>
      <c r="H100" s="165"/>
      <c r="I100" s="27"/>
      <c r="J100" s="283"/>
      <c r="K100" s="44"/>
      <c r="L100" s="250"/>
      <c r="M100" s="27"/>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c r="C107" s="145"/>
      <c r="D107" s="165"/>
      <c r="E107" s="27"/>
      <c r="F107" s="230"/>
      <c r="G107" s="145"/>
      <c r="H107" s="165"/>
      <c r="I107" s="27"/>
      <c r="J107" s="283"/>
      <c r="K107" s="44"/>
      <c r="L107" s="250"/>
      <c r="M107" s="27"/>
    </row>
    <row r="108" spans="1:13" ht="15.75" x14ac:dyDescent="0.2">
      <c r="A108" s="21" t="s">
        <v>378</v>
      </c>
      <c r="B108" s="230"/>
      <c r="C108" s="230"/>
      <c r="D108" s="165"/>
      <c r="E108" s="27"/>
      <c r="F108" s="230"/>
      <c r="G108" s="230"/>
      <c r="H108" s="165"/>
      <c r="I108" s="27"/>
      <c r="J108" s="283"/>
      <c r="K108" s="44"/>
      <c r="L108" s="250"/>
      <c r="M108" s="27"/>
    </row>
    <row r="109" spans="1:13" ht="15.6" customHeight="1" x14ac:dyDescent="0.2">
      <c r="A109" s="21" t="s">
        <v>430</v>
      </c>
      <c r="B109" s="230"/>
      <c r="C109" s="230"/>
      <c r="D109" s="165"/>
      <c r="E109" s="27"/>
      <c r="F109" s="230"/>
      <c r="G109" s="230"/>
      <c r="H109" s="165"/>
      <c r="I109" s="27"/>
      <c r="J109" s="283"/>
      <c r="K109" s="44"/>
      <c r="L109" s="250"/>
      <c r="M109" s="27"/>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c r="C111" s="158"/>
      <c r="D111" s="170"/>
      <c r="E111" s="11"/>
      <c r="F111" s="301"/>
      <c r="G111" s="158"/>
      <c r="H111" s="170"/>
      <c r="I111" s="11"/>
      <c r="J111" s="302"/>
      <c r="K111" s="232"/>
      <c r="L111" s="414"/>
      <c r="M111" s="11"/>
    </row>
    <row r="112" spans="1:13" x14ac:dyDescent="0.2">
      <c r="A112" s="21" t="s">
        <v>9</v>
      </c>
      <c r="B112" s="230"/>
      <c r="C112" s="145"/>
      <c r="D112" s="165"/>
      <c r="E112" s="27"/>
      <c r="F112" s="230"/>
      <c r="G112" s="145"/>
      <c r="H112" s="165"/>
      <c r="I112" s="27"/>
      <c r="J112" s="283"/>
      <c r="K112" s="44"/>
      <c r="L112" s="250"/>
      <c r="M112" s="27"/>
    </row>
    <row r="113" spans="1:14" x14ac:dyDescent="0.2">
      <c r="A113" s="21" t="s">
        <v>10</v>
      </c>
      <c r="B113" s="230"/>
      <c r="C113" s="145"/>
      <c r="D113" s="165"/>
      <c r="E113" s="27"/>
      <c r="F113" s="230"/>
      <c r="G113" s="145"/>
      <c r="H113" s="165"/>
      <c r="I113" s="27"/>
      <c r="J113" s="283"/>
      <c r="K113" s="44"/>
      <c r="L113" s="250"/>
      <c r="M113" s="27"/>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c r="C116" s="230"/>
      <c r="D116" s="165"/>
      <c r="E116" s="27"/>
      <c r="F116" s="230"/>
      <c r="G116" s="230"/>
      <c r="H116" s="165"/>
      <c r="I116" s="27"/>
      <c r="J116" s="283"/>
      <c r="K116" s="44"/>
      <c r="L116" s="250"/>
      <c r="M116" s="27"/>
    </row>
    <row r="117" spans="1:14" ht="15.6" customHeight="1" x14ac:dyDescent="0.2">
      <c r="A117" s="21" t="s">
        <v>430</v>
      </c>
      <c r="B117" s="230"/>
      <c r="C117" s="230"/>
      <c r="D117" s="165"/>
      <c r="E117" s="27"/>
      <c r="F117" s="230"/>
      <c r="G117" s="230"/>
      <c r="H117" s="165"/>
      <c r="I117" s="27"/>
      <c r="J117" s="283"/>
      <c r="K117" s="44"/>
      <c r="L117" s="250"/>
      <c r="M117" s="27"/>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c r="C119" s="158"/>
      <c r="D119" s="170"/>
      <c r="E119" s="11"/>
      <c r="F119" s="301"/>
      <c r="G119" s="158"/>
      <c r="H119" s="170"/>
      <c r="I119" s="11"/>
      <c r="J119" s="302"/>
      <c r="K119" s="232"/>
      <c r="L119" s="414"/>
      <c r="M119" s="11"/>
    </row>
    <row r="120" spans="1:14" x14ac:dyDescent="0.2">
      <c r="A120" s="21" t="s">
        <v>9</v>
      </c>
      <c r="B120" s="230"/>
      <c r="C120" s="145"/>
      <c r="D120" s="165"/>
      <c r="E120" s="27"/>
      <c r="F120" s="230"/>
      <c r="G120" s="145"/>
      <c r="H120" s="165"/>
      <c r="I120" s="27"/>
      <c r="J120" s="283"/>
      <c r="K120" s="44"/>
      <c r="L120" s="250"/>
      <c r="M120" s="27"/>
    </row>
    <row r="121" spans="1:14" x14ac:dyDescent="0.2">
      <c r="A121" s="21" t="s">
        <v>10</v>
      </c>
      <c r="B121" s="230"/>
      <c r="C121" s="145"/>
      <c r="D121" s="165"/>
      <c r="E121" s="27"/>
      <c r="F121" s="230"/>
      <c r="G121" s="145"/>
      <c r="H121" s="165"/>
      <c r="I121" s="27"/>
      <c r="J121" s="283"/>
      <c r="K121" s="44"/>
      <c r="L121" s="250"/>
      <c r="M121" s="27"/>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c r="C125" s="230"/>
      <c r="D125" s="165"/>
      <c r="E125" s="27"/>
      <c r="F125" s="230"/>
      <c r="G125" s="230"/>
      <c r="H125" s="165"/>
      <c r="I125" s="27"/>
      <c r="J125" s="283"/>
      <c r="K125" s="44"/>
      <c r="L125" s="250"/>
      <c r="M125" s="27"/>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292"/>
      <c r="F130" s="724"/>
      <c r="G130" s="724"/>
      <c r="H130" s="724"/>
      <c r="I130" s="292"/>
      <c r="J130" s="724"/>
      <c r="K130" s="724"/>
      <c r="L130" s="724"/>
      <c r="M130" s="292"/>
    </row>
    <row r="131" spans="1:14" s="3" customFormat="1" x14ac:dyDescent="0.2">
      <c r="A131" s="144"/>
      <c r="B131" s="725" t="s">
        <v>0</v>
      </c>
      <c r="C131" s="726"/>
      <c r="D131" s="726"/>
      <c r="E131" s="294"/>
      <c r="F131" s="725" t="s">
        <v>1</v>
      </c>
      <c r="G131" s="726"/>
      <c r="H131" s="726"/>
      <c r="I131" s="297"/>
      <c r="J131" s="725" t="s">
        <v>2</v>
      </c>
      <c r="K131" s="726"/>
      <c r="L131" s="726"/>
      <c r="M131" s="297"/>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c r="C134" s="302"/>
      <c r="D134" s="340"/>
      <c r="E134" s="11"/>
      <c r="F134" s="309"/>
      <c r="G134" s="310"/>
      <c r="H134" s="417"/>
      <c r="I134" s="24"/>
      <c r="J134" s="311"/>
      <c r="K134" s="311"/>
      <c r="L134" s="413"/>
      <c r="M134" s="11"/>
      <c r="N134" s="148"/>
    </row>
    <row r="135" spans="1:14" s="3" customFormat="1" ht="15.75" x14ac:dyDescent="0.2">
      <c r="A135" s="13" t="s">
        <v>386</v>
      </c>
      <c r="B135" s="232"/>
      <c r="C135" s="302"/>
      <c r="D135" s="170"/>
      <c r="E135" s="11"/>
      <c r="F135" s="232"/>
      <c r="G135" s="302"/>
      <c r="H135" s="418"/>
      <c r="I135" s="24"/>
      <c r="J135" s="301"/>
      <c r="K135" s="301"/>
      <c r="L135" s="414"/>
      <c r="M135" s="11"/>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70" priority="12">
      <formula>kvartal &lt; 4</formula>
    </cfRule>
  </conditionalFormatting>
  <conditionalFormatting sqref="A69:A74">
    <cfRule type="expression" dxfId="369" priority="10">
      <formula>kvartal &lt; 4</formula>
    </cfRule>
  </conditionalFormatting>
  <conditionalFormatting sqref="A80:A85">
    <cfRule type="expression" dxfId="368" priority="9">
      <formula>kvartal &lt; 4</formula>
    </cfRule>
  </conditionalFormatting>
  <conditionalFormatting sqref="A90:A95">
    <cfRule type="expression" dxfId="367" priority="6">
      <formula>kvartal &lt; 4</formula>
    </cfRule>
  </conditionalFormatting>
  <conditionalFormatting sqref="A101:A106">
    <cfRule type="expression" dxfId="366" priority="5">
      <formula>kvartal &lt; 4</formula>
    </cfRule>
  </conditionalFormatting>
  <conditionalFormatting sqref="A115">
    <cfRule type="expression" dxfId="365" priority="4">
      <formula>kvartal &lt; 4</formula>
    </cfRule>
  </conditionalFormatting>
  <conditionalFormatting sqref="A123">
    <cfRule type="expression" dxfId="364" priority="3">
      <formula>kvartal &lt; 4</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N144"/>
  <sheetViews>
    <sheetView showGridLines="0" zoomScaleNormal="100" zoomScaleSheetLayoutView="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244" t="s">
        <v>88</v>
      </c>
      <c r="D1" s="26"/>
      <c r="E1" s="26"/>
      <c r="F1" s="26"/>
      <c r="G1" s="26"/>
      <c r="H1" s="26"/>
      <c r="I1" s="26"/>
      <c r="J1" s="26"/>
      <c r="K1" s="26"/>
      <c r="L1" s="26"/>
      <c r="M1" s="26"/>
    </row>
    <row r="2" spans="1:14" ht="15.75" x14ac:dyDescent="0.25">
      <c r="A2" s="164" t="s">
        <v>28</v>
      </c>
      <c r="B2" s="729"/>
      <c r="C2" s="729"/>
      <c r="D2" s="729"/>
      <c r="E2" s="292"/>
      <c r="F2" s="729"/>
      <c r="G2" s="729"/>
      <c r="H2" s="729"/>
      <c r="I2" s="292"/>
      <c r="J2" s="729"/>
      <c r="K2" s="729"/>
      <c r="L2" s="729"/>
      <c r="M2" s="292"/>
    </row>
    <row r="3" spans="1:14" ht="15.75" x14ac:dyDescent="0.25">
      <c r="A3" s="162"/>
      <c r="B3" s="292"/>
      <c r="C3" s="292"/>
      <c r="D3" s="292"/>
      <c r="E3" s="292"/>
      <c r="F3" s="292"/>
      <c r="G3" s="292"/>
      <c r="H3" s="292"/>
      <c r="I3" s="292"/>
      <c r="J3" s="292"/>
      <c r="K3" s="292"/>
      <c r="L3" s="292"/>
      <c r="M3" s="292"/>
    </row>
    <row r="4" spans="1:14" x14ac:dyDescent="0.2">
      <c r="A4" s="144"/>
      <c r="B4" s="725" t="s">
        <v>0</v>
      </c>
      <c r="C4" s="726"/>
      <c r="D4" s="726"/>
      <c r="E4" s="294"/>
      <c r="F4" s="725" t="s">
        <v>1</v>
      </c>
      <c r="G4" s="726"/>
      <c r="H4" s="726"/>
      <c r="I4" s="297"/>
      <c r="J4" s="725" t="s">
        <v>2</v>
      </c>
      <c r="K4" s="726"/>
      <c r="L4" s="726"/>
      <c r="M4" s="297"/>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v>453020.45799999998</v>
      </c>
      <c r="C7" s="300">
        <v>453515.853</v>
      </c>
      <c r="D7" s="340">
        <f>IF(B7=0, "    ---- ", IF(ABS(ROUND(100/B7*C7-100,1))&lt;999,ROUND(100/B7*C7-100,1),IF(ROUND(100/B7*C7-100,1)&gt;999,999,-999)))</f>
        <v>0.1</v>
      </c>
      <c r="E7" s="11">
        <f>IFERROR(100/'Skjema total MA'!C7*C7,0)</f>
        <v>26.16030651131522</v>
      </c>
      <c r="F7" s="299"/>
      <c r="G7" s="300"/>
      <c r="H7" s="340"/>
      <c r="I7" s="159"/>
      <c r="J7" s="301">
        <f t="shared" ref="J7:K9" si="0">SUM(B7,F7)</f>
        <v>453020.45799999998</v>
      </c>
      <c r="K7" s="302">
        <f t="shared" si="0"/>
        <v>453515.853</v>
      </c>
      <c r="L7" s="413">
        <f>IF(J7=0, "    ---- ", IF(ABS(ROUND(100/J7*K7-100,1))&lt;999,ROUND(100/J7*K7-100,1),IF(ROUND(100/J7*K7-100,1)&gt;999,999,-999)))</f>
        <v>0.1</v>
      </c>
      <c r="M7" s="11">
        <f>IFERROR(100/'Skjema total MA'!I7*K7,0)</f>
        <v>8.7744016459963294</v>
      </c>
    </row>
    <row r="8" spans="1:14" ht="15.75" x14ac:dyDescent="0.2">
      <c r="A8" s="21" t="s">
        <v>25</v>
      </c>
      <c r="B8" s="277">
        <v>291603.80800000002</v>
      </c>
      <c r="C8" s="278">
        <v>295334.62800000003</v>
      </c>
      <c r="D8" s="165">
        <f t="shared" ref="D8:D9" si="1">IF(B8=0, "    ---- ", IF(ABS(ROUND(100/B8*C8-100,1))&lt;999,ROUND(100/B8*C8-100,1),IF(ROUND(100/B8*C8-100,1)&gt;999,999,-999)))</f>
        <v>1.3</v>
      </c>
      <c r="E8" s="27">
        <f>IFERROR(100/'Skjema total MA'!C8*C8,0)</f>
        <v>25.394278838410735</v>
      </c>
      <c r="F8" s="281"/>
      <c r="G8" s="282"/>
      <c r="H8" s="165"/>
      <c r="I8" s="174"/>
      <c r="J8" s="230">
        <f t="shared" si="0"/>
        <v>291603.80800000002</v>
      </c>
      <c r="K8" s="283">
        <f t="shared" si="0"/>
        <v>295334.62800000003</v>
      </c>
      <c r="L8" s="165">
        <f t="shared" ref="L8:L9" si="2">IF(J8=0, "    ---- ", IF(ABS(ROUND(100/J8*K8-100,1))&lt;999,ROUND(100/J8*K8-100,1),IF(ROUND(100/J8*K8-100,1)&gt;999,999,-999)))</f>
        <v>1.3</v>
      </c>
      <c r="M8" s="27">
        <f>IFERROR(100/'Skjema total MA'!I8*K8,0)</f>
        <v>25.394278838410735</v>
      </c>
    </row>
    <row r="9" spans="1:14" ht="15.75" x14ac:dyDescent="0.2">
      <c r="A9" s="21" t="s">
        <v>24</v>
      </c>
      <c r="B9" s="277">
        <v>161416.65</v>
      </c>
      <c r="C9" s="278">
        <v>158181.22500000001</v>
      </c>
      <c r="D9" s="165">
        <f t="shared" si="1"/>
        <v>-2</v>
      </c>
      <c r="E9" s="27">
        <f>IFERROR(100/'Skjema total MA'!C9*C9,0)</f>
        <v>43.737179689664707</v>
      </c>
      <c r="F9" s="281"/>
      <c r="G9" s="282"/>
      <c r="H9" s="165"/>
      <c r="I9" s="174"/>
      <c r="J9" s="230">
        <f t="shared" si="0"/>
        <v>161416.65</v>
      </c>
      <c r="K9" s="283">
        <f t="shared" si="0"/>
        <v>158181.22500000001</v>
      </c>
      <c r="L9" s="165">
        <f t="shared" si="2"/>
        <v>-2</v>
      </c>
      <c r="M9" s="27">
        <f>IFERROR(100/'Skjema total MA'!I9*K9,0)</f>
        <v>43.737179689664707</v>
      </c>
    </row>
    <row r="10" spans="1:14" ht="15.75" x14ac:dyDescent="0.2">
      <c r="A10" s="13" t="s">
        <v>359</v>
      </c>
      <c r="B10" s="303"/>
      <c r="C10" s="304"/>
      <c r="D10" s="170"/>
      <c r="E10" s="11"/>
      <c r="F10" s="303"/>
      <c r="G10" s="304"/>
      <c r="H10" s="170"/>
      <c r="I10" s="159"/>
      <c r="J10" s="301"/>
      <c r="K10" s="302"/>
      <c r="L10" s="414"/>
      <c r="M10" s="11"/>
    </row>
    <row r="11" spans="1:14" s="43" customFormat="1" ht="15.75" x14ac:dyDescent="0.2">
      <c r="A11" s="13" t="s">
        <v>360</v>
      </c>
      <c r="B11" s="303"/>
      <c r="C11" s="304"/>
      <c r="D11" s="170"/>
      <c r="E11" s="11"/>
      <c r="F11" s="303"/>
      <c r="G11" s="304"/>
      <c r="H11" s="170"/>
      <c r="I11" s="159"/>
      <c r="J11" s="301"/>
      <c r="K11" s="302"/>
      <c r="L11" s="414"/>
      <c r="M11" s="11"/>
      <c r="N11" s="143"/>
    </row>
    <row r="12" spans="1:14" s="43" customFormat="1" ht="15.75" x14ac:dyDescent="0.2">
      <c r="A12" s="41" t="s">
        <v>361</v>
      </c>
      <c r="B12" s="305"/>
      <c r="C12" s="306"/>
      <c r="D12" s="168"/>
      <c r="E12" s="36"/>
      <c r="F12" s="305"/>
      <c r="G12" s="306"/>
      <c r="H12" s="168"/>
      <c r="I12" s="168"/>
      <c r="J12" s="307"/>
      <c r="K12" s="308"/>
      <c r="L12" s="415"/>
      <c r="M12" s="36"/>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292"/>
      <c r="F18" s="724"/>
      <c r="G18" s="724"/>
      <c r="H18" s="724"/>
      <c r="I18" s="292"/>
      <c r="J18" s="724"/>
      <c r="K18" s="724"/>
      <c r="L18" s="724"/>
      <c r="M18" s="292"/>
    </row>
    <row r="19" spans="1:14" x14ac:dyDescent="0.2">
      <c r="A19" s="144"/>
      <c r="B19" s="725" t="s">
        <v>0</v>
      </c>
      <c r="C19" s="726"/>
      <c r="D19" s="726"/>
      <c r="E19" s="294"/>
      <c r="F19" s="725" t="s">
        <v>1</v>
      </c>
      <c r="G19" s="726"/>
      <c r="H19" s="726"/>
      <c r="I19" s="297"/>
      <c r="J19" s="725" t="s">
        <v>2</v>
      </c>
      <c r="K19" s="726"/>
      <c r="L19" s="726"/>
      <c r="M19" s="297"/>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303"/>
      <c r="C22" s="303"/>
      <c r="D22" s="340"/>
      <c r="E22" s="11"/>
      <c r="F22" s="311"/>
      <c r="G22" s="311"/>
      <c r="H22" s="340"/>
      <c r="I22" s="11"/>
      <c r="J22" s="309"/>
      <c r="K22" s="309"/>
      <c r="L22" s="413"/>
      <c r="M22" s="24"/>
    </row>
    <row r="23" spans="1:14" ht="15.75" x14ac:dyDescent="0.2">
      <c r="A23" s="555" t="s">
        <v>362</v>
      </c>
      <c r="B23" s="277"/>
      <c r="C23" s="277"/>
      <c r="D23" s="165"/>
      <c r="E23" s="11"/>
      <c r="F23" s="286"/>
      <c r="G23" s="286"/>
      <c r="H23" s="165"/>
      <c r="I23" s="403"/>
      <c r="J23" s="286"/>
      <c r="K23" s="286"/>
      <c r="L23" s="165"/>
      <c r="M23" s="23"/>
    </row>
    <row r="24" spans="1:14" ht="15.75" x14ac:dyDescent="0.2">
      <c r="A24" s="555" t="s">
        <v>363</v>
      </c>
      <c r="B24" s="277"/>
      <c r="C24" s="277"/>
      <c r="D24" s="165"/>
      <c r="E24" s="11"/>
      <c r="F24" s="286"/>
      <c r="G24" s="286"/>
      <c r="H24" s="165"/>
      <c r="I24" s="403"/>
      <c r="J24" s="286"/>
      <c r="K24" s="286"/>
      <c r="L24" s="165"/>
      <c r="M24" s="23"/>
    </row>
    <row r="25" spans="1:14" ht="15.75" x14ac:dyDescent="0.2">
      <c r="A25" s="555" t="s">
        <v>364</v>
      </c>
      <c r="B25" s="277"/>
      <c r="C25" s="277"/>
      <c r="D25" s="165"/>
      <c r="E25" s="11"/>
      <c r="F25" s="286"/>
      <c r="G25" s="286"/>
      <c r="H25" s="165"/>
      <c r="I25" s="403"/>
      <c r="J25" s="286"/>
      <c r="K25" s="286"/>
      <c r="L25" s="165"/>
      <c r="M25" s="23"/>
    </row>
    <row r="26" spans="1:14" ht="15.75" x14ac:dyDescent="0.2">
      <c r="A26" s="555" t="s">
        <v>365</v>
      </c>
      <c r="B26" s="277"/>
      <c r="C26" s="277"/>
      <c r="D26" s="165"/>
      <c r="E26" s="11"/>
      <c r="F26" s="286"/>
      <c r="G26" s="286"/>
      <c r="H26" s="165"/>
      <c r="I26" s="403"/>
      <c r="J26" s="286"/>
      <c r="K26" s="286"/>
      <c r="L26" s="165"/>
      <c r="M26" s="23"/>
    </row>
    <row r="27" spans="1:14" x14ac:dyDescent="0.2">
      <c r="A27" s="555" t="s">
        <v>11</v>
      </c>
      <c r="B27" s="277"/>
      <c r="C27" s="277"/>
      <c r="D27" s="165"/>
      <c r="E27" s="11"/>
      <c r="F27" s="286"/>
      <c r="G27" s="286"/>
      <c r="H27" s="165"/>
      <c r="I27" s="403"/>
      <c r="J27" s="286"/>
      <c r="K27" s="286"/>
      <c r="L27" s="165"/>
      <c r="M27" s="23"/>
    </row>
    <row r="28" spans="1:14" ht="15.75" x14ac:dyDescent="0.2">
      <c r="A28" s="49" t="s">
        <v>270</v>
      </c>
      <c r="B28" s="44"/>
      <c r="C28" s="283"/>
      <c r="D28" s="165"/>
      <c r="E28" s="11"/>
      <c r="F28" s="230"/>
      <c r="G28" s="283"/>
      <c r="H28" s="165"/>
      <c r="I28" s="27"/>
      <c r="J28" s="44"/>
      <c r="K28" s="44"/>
      <c r="L28" s="250"/>
      <c r="M28" s="23"/>
    </row>
    <row r="29" spans="1:14" s="3" customFormat="1" ht="15.75" x14ac:dyDescent="0.2">
      <c r="A29" s="13" t="s">
        <v>359</v>
      </c>
      <c r="B29" s="232"/>
      <c r="C29" s="232"/>
      <c r="D29" s="170"/>
      <c r="E29" s="11"/>
      <c r="F29" s="301"/>
      <c r="G29" s="301"/>
      <c r="H29" s="170"/>
      <c r="I29" s="11"/>
      <c r="J29" s="232"/>
      <c r="K29" s="232"/>
      <c r="L29" s="414"/>
      <c r="M29" s="24"/>
      <c r="N29" s="148"/>
    </row>
    <row r="30" spans="1:14" s="3" customFormat="1" ht="15.75" x14ac:dyDescent="0.2">
      <c r="A30" s="555" t="s">
        <v>362</v>
      </c>
      <c r="B30" s="277"/>
      <c r="C30" s="277"/>
      <c r="D30" s="165"/>
      <c r="E30" s="11"/>
      <c r="F30" s="286"/>
      <c r="G30" s="286"/>
      <c r="H30" s="165"/>
      <c r="I30" s="403"/>
      <c r="J30" s="286"/>
      <c r="K30" s="286"/>
      <c r="L30" s="165"/>
      <c r="M30" s="23"/>
      <c r="N30" s="148"/>
    </row>
    <row r="31" spans="1:14" s="3" customFormat="1" ht="15.75" x14ac:dyDescent="0.2">
      <c r="A31" s="555" t="s">
        <v>363</v>
      </c>
      <c r="B31" s="277"/>
      <c r="C31" s="277"/>
      <c r="D31" s="165"/>
      <c r="E31" s="11"/>
      <c r="F31" s="286"/>
      <c r="G31" s="286"/>
      <c r="H31" s="165"/>
      <c r="I31" s="403"/>
      <c r="J31" s="286"/>
      <c r="K31" s="286"/>
      <c r="L31" s="165"/>
      <c r="M31" s="23"/>
      <c r="N31" s="148"/>
    </row>
    <row r="32" spans="1:14" ht="15.75" x14ac:dyDescent="0.2">
      <c r="A32" s="555" t="s">
        <v>364</v>
      </c>
      <c r="B32" s="277"/>
      <c r="C32" s="277"/>
      <c r="D32" s="165"/>
      <c r="E32" s="11"/>
      <c r="F32" s="286"/>
      <c r="G32" s="286"/>
      <c r="H32" s="165"/>
      <c r="I32" s="403"/>
      <c r="J32" s="286"/>
      <c r="K32" s="286"/>
      <c r="L32" s="165"/>
      <c r="M32" s="23"/>
    </row>
    <row r="33" spans="1:14" ht="15.75" x14ac:dyDescent="0.2">
      <c r="A33" s="555" t="s">
        <v>365</v>
      </c>
      <c r="B33" s="277"/>
      <c r="C33" s="277"/>
      <c r="D33" s="165"/>
      <c r="E33" s="11"/>
      <c r="F33" s="286"/>
      <c r="G33" s="286"/>
      <c r="H33" s="165"/>
      <c r="I33" s="403"/>
      <c r="J33" s="286"/>
      <c r="K33" s="286"/>
      <c r="L33" s="165"/>
      <c r="M33" s="23"/>
    </row>
    <row r="34" spans="1:14" ht="15.75" x14ac:dyDescent="0.2">
      <c r="A34" s="13" t="s">
        <v>360</v>
      </c>
      <c r="B34" s="232"/>
      <c r="C34" s="302"/>
      <c r="D34" s="170"/>
      <c r="E34" s="11"/>
      <c r="F34" s="301"/>
      <c r="G34" s="302"/>
      <c r="H34" s="170"/>
      <c r="I34" s="11"/>
      <c r="J34" s="232"/>
      <c r="K34" s="232"/>
      <c r="L34" s="414"/>
      <c r="M34" s="24"/>
    </row>
    <row r="35" spans="1:14" ht="15.75" x14ac:dyDescent="0.2">
      <c r="A35" s="13" t="s">
        <v>361</v>
      </c>
      <c r="B35" s="232"/>
      <c r="C35" s="302"/>
      <c r="D35" s="170"/>
      <c r="E35" s="11"/>
      <c r="F35" s="301"/>
      <c r="G35" s="302"/>
      <c r="H35" s="170"/>
      <c r="I35" s="11"/>
      <c r="J35" s="232"/>
      <c r="K35" s="232"/>
      <c r="L35" s="414"/>
      <c r="M35" s="24"/>
    </row>
    <row r="36" spans="1:14" ht="15.75" x14ac:dyDescent="0.2">
      <c r="A36" s="12" t="s">
        <v>278</v>
      </c>
      <c r="B36" s="232"/>
      <c r="C36" s="302"/>
      <c r="D36" s="170"/>
      <c r="E36" s="11"/>
      <c r="F36" s="312"/>
      <c r="G36" s="313"/>
      <c r="H36" s="170"/>
      <c r="I36" s="420"/>
      <c r="J36" s="232"/>
      <c r="K36" s="232"/>
      <c r="L36" s="414"/>
      <c r="M36" s="24"/>
    </row>
    <row r="37" spans="1:14" ht="15.75" x14ac:dyDescent="0.2">
      <c r="A37" s="12" t="s">
        <v>367</v>
      </c>
      <c r="B37" s="232"/>
      <c r="C37" s="302"/>
      <c r="D37" s="170"/>
      <c r="E37" s="11"/>
      <c r="F37" s="312"/>
      <c r="G37" s="314"/>
      <c r="H37" s="170"/>
      <c r="I37" s="420"/>
      <c r="J37" s="232"/>
      <c r="K37" s="232"/>
      <c r="L37" s="414"/>
      <c r="M37" s="24"/>
    </row>
    <row r="38" spans="1:14" ht="15.75" x14ac:dyDescent="0.2">
      <c r="A38" s="12" t="s">
        <v>368</v>
      </c>
      <c r="B38" s="232"/>
      <c r="C38" s="302"/>
      <c r="D38" s="170"/>
      <c r="E38" s="24"/>
      <c r="F38" s="312"/>
      <c r="G38" s="313"/>
      <c r="H38" s="170"/>
      <c r="I38" s="420"/>
      <c r="J38" s="232"/>
      <c r="K38" s="232"/>
      <c r="L38" s="414"/>
      <c r="M38" s="24"/>
    </row>
    <row r="39" spans="1:14" ht="15.75" x14ac:dyDescent="0.2">
      <c r="A39" s="18" t="s">
        <v>369</v>
      </c>
      <c r="B39" s="272"/>
      <c r="C39" s="308"/>
      <c r="D39" s="168"/>
      <c r="E39" s="36"/>
      <c r="F39" s="315"/>
      <c r="G39" s="316"/>
      <c r="H39" s="168"/>
      <c r="I39" s="36"/>
      <c r="J39" s="232"/>
      <c r="K39" s="232"/>
      <c r="L39" s="415"/>
      <c r="M39" s="36"/>
    </row>
    <row r="40" spans="1:14" ht="15.75" x14ac:dyDescent="0.25">
      <c r="A40" s="47"/>
      <c r="B40" s="249"/>
      <c r="C40" s="249"/>
      <c r="D40" s="728"/>
      <c r="E40" s="728"/>
      <c r="F40" s="728"/>
      <c r="G40" s="728"/>
      <c r="H40" s="728"/>
      <c r="I40" s="728"/>
      <c r="J40" s="728"/>
      <c r="K40" s="728"/>
      <c r="L40" s="728"/>
      <c r="M40" s="295"/>
    </row>
    <row r="41" spans="1:14" x14ac:dyDescent="0.2">
      <c r="A41" s="154"/>
    </row>
    <row r="42" spans="1:14" ht="15.75" x14ac:dyDescent="0.25">
      <c r="A42" s="147" t="s">
        <v>267</v>
      </c>
      <c r="B42" s="729"/>
      <c r="C42" s="729"/>
      <c r="D42" s="729"/>
      <c r="E42" s="292"/>
      <c r="F42" s="730"/>
      <c r="G42" s="730"/>
      <c r="H42" s="730"/>
      <c r="I42" s="295"/>
      <c r="J42" s="730"/>
      <c r="K42" s="730"/>
      <c r="L42" s="730"/>
      <c r="M42" s="295"/>
    </row>
    <row r="43" spans="1:14" ht="15.75" x14ac:dyDescent="0.25">
      <c r="A43" s="162"/>
      <c r="B43" s="296"/>
      <c r="C43" s="296"/>
      <c r="D43" s="296"/>
      <c r="E43" s="296"/>
      <c r="F43" s="295"/>
      <c r="G43" s="295"/>
      <c r="H43" s="295"/>
      <c r="I43" s="295"/>
      <c r="J43" s="295"/>
      <c r="K43" s="295"/>
      <c r="L43" s="295"/>
      <c r="M43" s="295"/>
    </row>
    <row r="44" spans="1:14" ht="15.75" x14ac:dyDescent="0.25">
      <c r="A44" s="243"/>
      <c r="B44" s="725" t="s">
        <v>0</v>
      </c>
      <c r="C44" s="726"/>
      <c r="D44" s="726"/>
      <c r="E44" s="239"/>
      <c r="F44" s="295"/>
      <c r="G44" s="295"/>
      <c r="H44" s="295"/>
      <c r="I44" s="295"/>
      <c r="J44" s="295"/>
      <c r="K44" s="295"/>
      <c r="L44" s="295"/>
      <c r="M44" s="295"/>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v>822714.65899999999</v>
      </c>
      <c r="C47" s="304">
        <v>928355.43200000003</v>
      </c>
      <c r="D47" s="413">
        <f t="shared" ref="D47:D57" si="3">IF(B47=0, "    ---- ", IF(ABS(ROUND(100/B47*C47-100,1))&lt;999,ROUND(100/B47*C47-100,1),IF(ROUND(100/B47*C47-100,1)&gt;999,999,-999)))</f>
        <v>12.8</v>
      </c>
      <c r="E47" s="11">
        <f>IFERROR(100/'Skjema total MA'!C47*C47,0)</f>
        <v>26.866092751673889</v>
      </c>
      <c r="F47" s="145"/>
      <c r="G47" s="33"/>
      <c r="H47" s="158"/>
      <c r="I47" s="158"/>
      <c r="J47" s="37"/>
      <c r="K47" s="37"/>
      <c r="L47" s="158"/>
      <c r="M47" s="158"/>
      <c r="N47" s="148"/>
    </row>
    <row r="48" spans="1:14" s="3" customFormat="1" ht="15.75" x14ac:dyDescent="0.2">
      <c r="A48" s="38" t="s">
        <v>370</v>
      </c>
      <c r="B48" s="277">
        <v>515058.91700000002</v>
      </c>
      <c r="C48" s="278">
        <v>580680.14800000004</v>
      </c>
      <c r="D48" s="250">
        <f t="shared" si="3"/>
        <v>12.7</v>
      </c>
      <c r="E48" s="27">
        <f>IFERROR(100/'Skjema total MA'!C48*C48,0)</f>
        <v>30.728553124266149</v>
      </c>
      <c r="F48" s="145"/>
      <c r="G48" s="33"/>
      <c r="H48" s="145"/>
      <c r="I48" s="145"/>
      <c r="J48" s="33"/>
      <c r="K48" s="33"/>
      <c r="L48" s="158"/>
      <c r="M48" s="158"/>
      <c r="N48" s="148"/>
    </row>
    <row r="49" spans="1:14" s="3" customFormat="1" ht="15.75" x14ac:dyDescent="0.2">
      <c r="A49" s="38" t="s">
        <v>371</v>
      </c>
      <c r="B49" s="44">
        <v>307655.74200000003</v>
      </c>
      <c r="C49" s="283">
        <v>347675.28399999999</v>
      </c>
      <c r="D49" s="250">
        <f>IF(B49=0, "    ---- ", IF(ABS(ROUND(100/B49*C49-100,1))&lt;999,ROUND(100/B49*C49-100,1),IF(ROUND(100/B49*C49-100,1)&gt;999,999,-999)))</f>
        <v>13</v>
      </c>
      <c r="E49" s="27">
        <f>IFERROR(100/'Skjema total MA'!C49*C49,0)</f>
        <v>22.204573149976724</v>
      </c>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v>159728</v>
      </c>
      <c r="C53" s="304">
        <v>36974</v>
      </c>
      <c r="D53" s="414">
        <f t="shared" si="3"/>
        <v>-76.900000000000006</v>
      </c>
      <c r="E53" s="11">
        <f>IFERROR(100/'Skjema total MA'!C53*C53,0)</f>
        <v>34.564329453083658</v>
      </c>
      <c r="F53" s="145"/>
      <c r="G53" s="33"/>
      <c r="H53" s="145"/>
      <c r="I53" s="145"/>
      <c r="J53" s="33"/>
      <c r="K53" s="33"/>
      <c r="L53" s="158"/>
      <c r="M53" s="158"/>
      <c r="N53" s="148"/>
    </row>
    <row r="54" spans="1:14" s="3" customFormat="1" ht="15.75" x14ac:dyDescent="0.2">
      <c r="A54" s="38" t="s">
        <v>370</v>
      </c>
      <c r="B54" s="277">
        <v>159728</v>
      </c>
      <c r="C54" s="278">
        <v>36974</v>
      </c>
      <c r="D54" s="250">
        <f t="shared" si="3"/>
        <v>-76.900000000000006</v>
      </c>
      <c r="E54" s="27">
        <f>IFERROR(100/'Skjema total MA'!C54*C54,0)</f>
        <v>39.747350301168368</v>
      </c>
      <c r="F54" s="145"/>
      <c r="G54" s="33"/>
      <c r="H54" s="145"/>
      <c r="I54" s="145"/>
      <c r="J54" s="33"/>
      <c r="K54" s="33"/>
      <c r="L54" s="158"/>
      <c r="M54" s="158"/>
      <c r="N54" s="148"/>
    </row>
    <row r="55" spans="1:14" s="3" customFormat="1" ht="15.75" x14ac:dyDescent="0.2">
      <c r="A55" s="38" t="s">
        <v>371</v>
      </c>
      <c r="B55" s="277"/>
      <c r="C55" s="278"/>
      <c r="D55" s="250"/>
      <c r="E55" s="27"/>
      <c r="F55" s="145"/>
      <c r="G55" s="33"/>
      <c r="H55" s="145"/>
      <c r="I55" s="145"/>
      <c r="J55" s="33"/>
      <c r="K55" s="33"/>
      <c r="L55" s="158"/>
      <c r="M55" s="158"/>
      <c r="N55" s="148"/>
    </row>
    <row r="56" spans="1:14" s="3" customFormat="1" ht="15.75" x14ac:dyDescent="0.2">
      <c r="A56" s="39" t="s">
        <v>373</v>
      </c>
      <c r="B56" s="303">
        <v>18327</v>
      </c>
      <c r="C56" s="304">
        <v>5920</v>
      </c>
      <c r="D56" s="414">
        <f t="shared" si="3"/>
        <v>-67.7</v>
      </c>
      <c r="E56" s="11">
        <f>IFERROR(100/'Skjema total MA'!C56*C56,0)</f>
        <v>10.009916073109926</v>
      </c>
      <c r="F56" s="145"/>
      <c r="G56" s="33"/>
      <c r="H56" s="145"/>
      <c r="I56" s="145"/>
      <c r="J56" s="33"/>
      <c r="K56" s="33"/>
      <c r="L56" s="158"/>
      <c r="M56" s="158"/>
      <c r="N56" s="148"/>
    </row>
    <row r="57" spans="1:14" s="3" customFormat="1" ht="15.75" x14ac:dyDescent="0.2">
      <c r="A57" s="38" t="s">
        <v>370</v>
      </c>
      <c r="B57" s="277">
        <v>18327</v>
      </c>
      <c r="C57" s="278">
        <v>5920</v>
      </c>
      <c r="D57" s="250">
        <f t="shared" si="3"/>
        <v>-67.7</v>
      </c>
      <c r="E57" s="27">
        <f>IFERROR(100/'Skjema total MA'!C57*C57,0)</f>
        <v>10.009916073109926</v>
      </c>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292"/>
      <c r="F62" s="724"/>
      <c r="G62" s="724"/>
      <c r="H62" s="724"/>
      <c r="I62" s="292"/>
      <c r="J62" s="724"/>
      <c r="K62" s="724"/>
      <c r="L62" s="724"/>
      <c r="M62" s="292"/>
    </row>
    <row r="63" spans="1:14" x14ac:dyDescent="0.2">
      <c r="A63" s="144"/>
      <c r="B63" s="725" t="s">
        <v>0</v>
      </c>
      <c r="C63" s="726"/>
      <c r="D63" s="727"/>
      <c r="E63" s="293"/>
      <c r="F63" s="726" t="s">
        <v>1</v>
      </c>
      <c r="G63" s="726"/>
      <c r="H63" s="726"/>
      <c r="I63" s="297"/>
      <c r="J63" s="725" t="s">
        <v>2</v>
      </c>
      <c r="K63" s="726"/>
      <c r="L63" s="726"/>
      <c r="M63" s="297"/>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c r="C66" s="343"/>
      <c r="D66" s="340"/>
      <c r="E66" s="11"/>
      <c r="F66" s="342"/>
      <c r="G66" s="342"/>
      <c r="H66" s="340"/>
      <c r="I66" s="11"/>
      <c r="J66" s="302"/>
      <c r="K66" s="309"/>
      <c r="L66" s="414"/>
      <c r="M66" s="11"/>
    </row>
    <row r="67" spans="1:14" x14ac:dyDescent="0.2">
      <c r="A67" s="405" t="s">
        <v>9</v>
      </c>
      <c r="B67" s="44"/>
      <c r="C67" s="145"/>
      <c r="D67" s="165"/>
      <c r="E67" s="27"/>
      <c r="F67" s="230"/>
      <c r="G67" s="145"/>
      <c r="H67" s="165"/>
      <c r="I67" s="27"/>
      <c r="J67" s="283"/>
      <c r="K67" s="44"/>
      <c r="L67" s="250"/>
      <c r="M67" s="27"/>
    </row>
    <row r="68" spans="1:14" x14ac:dyDescent="0.2">
      <c r="A68" s="21" t="s">
        <v>10</v>
      </c>
      <c r="B68" s="287"/>
      <c r="C68" s="288"/>
      <c r="D68" s="165"/>
      <c r="E68" s="27"/>
      <c r="F68" s="287"/>
      <c r="G68" s="288"/>
      <c r="H68" s="165"/>
      <c r="I68" s="27"/>
      <c r="J68" s="283"/>
      <c r="K68" s="44"/>
      <c r="L68" s="250"/>
      <c r="M68" s="27"/>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c r="C75" s="145"/>
      <c r="D75" s="165"/>
      <c r="E75" s="27"/>
      <c r="F75" s="230"/>
      <c r="G75" s="145"/>
      <c r="H75" s="165"/>
      <c r="I75" s="27"/>
      <c r="J75" s="283"/>
      <c r="K75" s="44"/>
      <c r="L75" s="250"/>
      <c r="M75" s="27"/>
      <c r="N75" s="148"/>
    </row>
    <row r="76" spans="1:14" s="3" customFormat="1" x14ac:dyDescent="0.2">
      <c r="A76" s="21" t="s">
        <v>343</v>
      </c>
      <c r="B76" s="230"/>
      <c r="C76" s="145"/>
      <c r="D76" s="165"/>
      <c r="E76" s="27"/>
      <c r="F76" s="230"/>
      <c r="G76" s="145"/>
      <c r="H76" s="165"/>
      <c r="I76" s="27"/>
      <c r="J76" s="283"/>
      <c r="K76" s="44"/>
      <c r="L76" s="250"/>
      <c r="M76" s="27"/>
      <c r="N76" s="148"/>
    </row>
    <row r="77" spans="1:14" ht="15.75" x14ac:dyDescent="0.2">
      <c r="A77" s="21" t="s">
        <v>376</v>
      </c>
      <c r="B77" s="230"/>
      <c r="C77" s="230"/>
      <c r="D77" s="165"/>
      <c r="E77" s="27"/>
      <c r="F77" s="230"/>
      <c r="G77" s="145"/>
      <c r="H77" s="165"/>
      <c r="I77" s="27"/>
      <c r="J77" s="283"/>
      <c r="K77" s="44"/>
      <c r="L77" s="250"/>
      <c r="M77" s="27"/>
    </row>
    <row r="78" spans="1:14" x14ac:dyDescent="0.2">
      <c r="A78" s="21" t="s">
        <v>9</v>
      </c>
      <c r="B78" s="230"/>
      <c r="C78" s="145"/>
      <c r="D78" s="165"/>
      <c r="E78" s="27"/>
      <c r="F78" s="230"/>
      <c r="G78" s="145"/>
      <c r="H78" s="165"/>
      <c r="I78" s="27"/>
      <c r="J78" s="283"/>
      <c r="K78" s="44"/>
      <c r="L78" s="250"/>
      <c r="M78" s="27"/>
    </row>
    <row r="79" spans="1:14" x14ac:dyDescent="0.2">
      <c r="A79" s="38" t="s">
        <v>413</v>
      </c>
      <c r="B79" s="287"/>
      <c r="C79" s="288"/>
      <c r="D79" s="165"/>
      <c r="E79" s="27"/>
      <c r="F79" s="287"/>
      <c r="G79" s="288"/>
      <c r="H79" s="165"/>
      <c r="I79" s="27"/>
      <c r="J79" s="283"/>
      <c r="K79" s="44"/>
      <c r="L79" s="250"/>
      <c r="M79" s="27"/>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c r="C86" s="145"/>
      <c r="D86" s="165"/>
      <c r="E86" s="27"/>
      <c r="F86" s="230"/>
      <c r="G86" s="145"/>
      <c r="H86" s="165"/>
      <c r="I86" s="27"/>
      <c r="J86" s="283"/>
      <c r="K86" s="44"/>
      <c r="L86" s="250"/>
      <c r="M86" s="27"/>
    </row>
    <row r="87" spans="1:13" ht="15.75" x14ac:dyDescent="0.2">
      <c r="A87" s="13" t="s">
        <v>359</v>
      </c>
      <c r="B87" s="343"/>
      <c r="C87" s="343"/>
      <c r="D87" s="170"/>
      <c r="E87" s="11"/>
      <c r="F87" s="342"/>
      <c r="G87" s="342"/>
      <c r="H87" s="170"/>
      <c r="I87" s="11"/>
      <c r="J87" s="302"/>
      <c r="K87" s="232"/>
      <c r="L87" s="414"/>
      <c r="M87" s="11"/>
    </row>
    <row r="88" spans="1:13" x14ac:dyDescent="0.2">
      <c r="A88" s="21" t="s">
        <v>9</v>
      </c>
      <c r="B88" s="230"/>
      <c r="C88" s="145"/>
      <c r="D88" s="165"/>
      <c r="E88" s="27"/>
      <c r="F88" s="230"/>
      <c r="G88" s="145"/>
      <c r="H88" s="165"/>
      <c r="I88" s="27"/>
      <c r="J88" s="283"/>
      <c r="K88" s="44"/>
      <c r="L88" s="250"/>
      <c r="M88" s="27"/>
    </row>
    <row r="89" spans="1:13" x14ac:dyDescent="0.2">
      <c r="A89" s="21" t="s">
        <v>10</v>
      </c>
      <c r="B89" s="230"/>
      <c r="C89" s="145"/>
      <c r="D89" s="165"/>
      <c r="E89" s="27"/>
      <c r="F89" s="230"/>
      <c r="G89" s="145"/>
      <c r="H89" s="165"/>
      <c r="I89" s="27"/>
      <c r="J89" s="283"/>
      <c r="K89" s="44"/>
      <c r="L89" s="250"/>
      <c r="M89" s="27"/>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c r="C97" s="145"/>
      <c r="D97" s="165"/>
      <c r="E97" s="27"/>
      <c r="F97" s="230"/>
      <c r="G97" s="145"/>
      <c r="H97" s="165"/>
      <c r="I97" s="27"/>
      <c r="J97" s="283"/>
      <c r="K97" s="44"/>
      <c r="L97" s="250"/>
      <c r="M97" s="27"/>
    </row>
    <row r="98" spans="1:13" ht="15.75" x14ac:dyDescent="0.2">
      <c r="A98" s="21" t="s">
        <v>376</v>
      </c>
      <c r="B98" s="230"/>
      <c r="C98" s="230"/>
      <c r="D98" s="165"/>
      <c r="E98" s="27"/>
      <c r="F98" s="287"/>
      <c r="G98" s="287"/>
      <c r="H98" s="165"/>
      <c r="I98" s="27"/>
      <c r="J98" s="283"/>
      <c r="K98" s="44"/>
      <c r="L98" s="250"/>
      <c r="M98" s="27"/>
    </row>
    <row r="99" spans="1:13" x14ac:dyDescent="0.2">
      <c r="A99" s="21" t="s">
        <v>9</v>
      </c>
      <c r="B99" s="287"/>
      <c r="C99" s="288"/>
      <c r="D99" s="165"/>
      <c r="E99" s="27"/>
      <c r="F99" s="230"/>
      <c r="G99" s="145"/>
      <c r="H99" s="165"/>
      <c r="I99" s="27"/>
      <c r="J99" s="283"/>
      <c r="K99" s="44"/>
      <c r="L99" s="250"/>
      <c r="M99" s="27"/>
    </row>
    <row r="100" spans="1:13" x14ac:dyDescent="0.2">
      <c r="A100" s="38" t="s">
        <v>413</v>
      </c>
      <c r="B100" s="287"/>
      <c r="C100" s="288"/>
      <c r="D100" s="165"/>
      <c r="E100" s="27"/>
      <c r="F100" s="230"/>
      <c r="G100" s="230"/>
      <c r="H100" s="165"/>
      <c r="I100" s="27"/>
      <c r="J100" s="283"/>
      <c r="K100" s="44"/>
      <c r="L100" s="250"/>
      <c r="M100" s="27"/>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c r="C107" s="145"/>
      <c r="D107" s="165"/>
      <c r="E107" s="27"/>
      <c r="F107" s="230"/>
      <c r="G107" s="145"/>
      <c r="H107" s="165"/>
      <c r="I107" s="27"/>
      <c r="J107" s="283"/>
      <c r="K107" s="44"/>
      <c r="L107" s="250"/>
      <c r="M107" s="27"/>
    </row>
    <row r="108" spans="1:13" ht="15.75" x14ac:dyDescent="0.2">
      <c r="A108" s="21" t="s">
        <v>378</v>
      </c>
      <c r="B108" s="230"/>
      <c r="C108" s="230"/>
      <c r="D108" s="165"/>
      <c r="E108" s="27"/>
      <c r="F108" s="230"/>
      <c r="G108" s="230"/>
      <c r="H108" s="165"/>
      <c r="I108" s="27"/>
      <c r="J108" s="283"/>
      <c r="K108" s="44"/>
      <c r="L108" s="250"/>
      <c r="M108" s="27"/>
    </row>
    <row r="109" spans="1:13" ht="15.6" customHeight="1" x14ac:dyDescent="0.2">
      <c r="A109" s="21" t="s">
        <v>430</v>
      </c>
      <c r="B109" s="230"/>
      <c r="C109" s="230"/>
      <c r="D109" s="165"/>
      <c r="E109" s="27"/>
      <c r="F109" s="230"/>
      <c r="G109" s="230"/>
      <c r="H109" s="165"/>
      <c r="I109" s="27"/>
      <c r="J109" s="283"/>
      <c r="K109" s="44"/>
      <c r="L109" s="250"/>
      <c r="M109" s="27"/>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c r="C111" s="158"/>
      <c r="D111" s="170"/>
      <c r="E111" s="11"/>
      <c r="F111" s="301"/>
      <c r="G111" s="158"/>
      <c r="H111" s="170"/>
      <c r="I111" s="11"/>
      <c r="J111" s="302"/>
      <c r="K111" s="232"/>
      <c r="L111" s="414"/>
      <c r="M111" s="11"/>
    </row>
    <row r="112" spans="1:13" x14ac:dyDescent="0.2">
      <c r="A112" s="21" t="s">
        <v>9</v>
      </c>
      <c r="B112" s="230"/>
      <c r="C112" s="145"/>
      <c r="D112" s="165"/>
      <c r="E112" s="27"/>
      <c r="F112" s="230"/>
      <c r="G112" s="145"/>
      <c r="H112" s="165"/>
      <c r="I112" s="27"/>
      <c r="J112" s="283"/>
      <c r="K112" s="44"/>
      <c r="L112" s="250"/>
      <c r="M112" s="27"/>
    </row>
    <row r="113" spans="1:14" x14ac:dyDescent="0.2">
      <c r="A113" s="21" t="s">
        <v>10</v>
      </c>
      <c r="B113" s="230"/>
      <c r="C113" s="145"/>
      <c r="D113" s="165"/>
      <c r="E113" s="27"/>
      <c r="F113" s="230"/>
      <c r="G113" s="145"/>
      <c r="H113" s="165"/>
      <c r="I113" s="27"/>
      <c r="J113" s="283"/>
      <c r="K113" s="44"/>
      <c r="L113" s="250"/>
      <c r="M113" s="27"/>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c r="C116" s="230"/>
      <c r="D116" s="165"/>
      <c r="E116" s="27"/>
      <c r="F116" s="230"/>
      <c r="G116" s="230"/>
      <c r="H116" s="165"/>
      <c r="I116" s="27"/>
      <c r="J116" s="283"/>
      <c r="K116" s="44"/>
      <c r="L116" s="250"/>
      <c r="M116" s="27"/>
    </row>
    <row r="117" spans="1:14" ht="15.6" customHeight="1" x14ac:dyDescent="0.2">
      <c r="A117" s="21" t="s">
        <v>430</v>
      </c>
      <c r="B117" s="230"/>
      <c r="C117" s="230"/>
      <c r="D117" s="165"/>
      <c r="E117" s="27"/>
      <c r="F117" s="230"/>
      <c r="G117" s="230"/>
      <c r="H117" s="165"/>
      <c r="I117" s="27"/>
      <c r="J117" s="283"/>
      <c r="K117" s="44"/>
      <c r="L117" s="250"/>
      <c r="M117" s="27"/>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c r="C119" s="158"/>
      <c r="D119" s="170"/>
      <c r="E119" s="11"/>
      <c r="F119" s="301"/>
      <c r="G119" s="158"/>
      <c r="H119" s="170"/>
      <c r="I119" s="11"/>
      <c r="J119" s="302"/>
      <c r="K119" s="232"/>
      <c r="L119" s="414"/>
      <c r="M119" s="11"/>
    </row>
    <row r="120" spans="1:14" x14ac:dyDescent="0.2">
      <c r="A120" s="21" t="s">
        <v>9</v>
      </c>
      <c r="B120" s="230"/>
      <c r="C120" s="145"/>
      <c r="D120" s="165"/>
      <c r="E120" s="27"/>
      <c r="F120" s="230"/>
      <c r="G120" s="145"/>
      <c r="H120" s="165"/>
      <c r="I120" s="27"/>
      <c r="J120" s="283"/>
      <c r="K120" s="44"/>
      <c r="L120" s="250"/>
      <c r="M120" s="27"/>
    </row>
    <row r="121" spans="1:14" x14ac:dyDescent="0.2">
      <c r="A121" s="21" t="s">
        <v>10</v>
      </c>
      <c r="B121" s="230"/>
      <c r="C121" s="145"/>
      <c r="D121" s="165"/>
      <c r="E121" s="27"/>
      <c r="F121" s="230"/>
      <c r="G121" s="145"/>
      <c r="H121" s="165"/>
      <c r="I121" s="27"/>
      <c r="J121" s="283"/>
      <c r="K121" s="44"/>
      <c r="L121" s="250"/>
      <c r="M121" s="27"/>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c r="C125" s="230"/>
      <c r="D125" s="165"/>
      <c r="E125" s="27"/>
      <c r="F125" s="230"/>
      <c r="G125" s="230"/>
      <c r="H125" s="165"/>
      <c r="I125" s="27"/>
      <c r="J125" s="283"/>
      <c r="K125" s="44"/>
      <c r="L125" s="250"/>
      <c r="M125" s="27"/>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292"/>
      <c r="F130" s="724"/>
      <c r="G130" s="724"/>
      <c r="H130" s="724"/>
      <c r="I130" s="292"/>
      <c r="J130" s="724"/>
      <c r="K130" s="724"/>
      <c r="L130" s="724"/>
      <c r="M130" s="292"/>
    </row>
    <row r="131" spans="1:14" s="3" customFormat="1" x14ac:dyDescent="0.2">
      <c r="A131" s="144"/>
      <c r="B131" s="725" t="s">
        <v>0</v>
      </c>
      <c r="C131" s="726"/>
      <c r="D131" s="726"/>
      <c r="E131" s="294"/>
      <c r="F131" s="725" t="s">
        <v>1</v>
      </c>
      <c r="G131" s="726"/>
      <c r="H131" s="726"/>
      <c r="I131" s="297"/>
      <c r="J131" s="725" t="s">
        <v>2</v>
      </c>
      <c r="K131" s="726"/>
      <c r="L131" s="726"/>
      <c r="M131" s="297"/>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c r="C134" s="302"/>
      <c r="D134" s="340"/>
      <c r="E134" s="11"/>
      <c r="F134" s="309"/>
      <c r="G134" s="310"/>
      <c r="H134" s="417"/>
      <c r="I134" s="24"/>
      <c r="J134" s="311"/>
      <c r="K134" s="311"/>
      <c r="L134" s="413"/>
      <c r="M134" s="11"/>
      <c r="N134" s="148"/>
    </row>
    <row r="135" spans="1:14" s="3" customFormat="1" ht="15.75" x14ac:dyDescent="0.2">
      <c r="A135" s="13" t="s">
        <v>386</v>
      </c>
      <c r="B135" s="232"/>
      <c r="C135" s="302"/>
      <c r="D135" s="170"/>
      <c r="E135" s="11"/>
      <c r="F135" s="232"/>
      <c r="G135" s="302"/>
      <c r="H135" s="418"/>
      <c r="I135" s="24"/>
      <c r="J135" s="301"/>
      <c r="K135" s="301"/>
      <c r="L135" s="414"/>
      <c r="M135" s="11"/>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63" priority="12">
      <formula>kvartal &lt; 4</formula>
    </cfRule>
  </conditionalFormatting>
  <conditionalFormatting sqref="A69:A74">
    <cfRule type="expression" dxfId="362" priority="10">
      <formula>kvartal &lt; 4</formula>
    </cfRule>
  </conditionalFormatting>
  <conditionalFormatting sqref="A80:A85">
    <cfRule type="expression" dxfId="361" priority="9">
      <formula>kvartal &lt; 4</formula>
    </cfRule>
  </conditionalFormatting>
  <conditionalFormatting sqref="A90:A95">
    <cfRule type="expression" dxfId="360" priority="6">
      <formula>kvartal &lt; 4</formula>
    </cfRule>
  </conditionalFormatting>
  <conditionalFormatting sqref="A101:A106">
    <cfRule type="expression" dxfId="359" priority="5">
      <formula>kvartal &lt; 4</formula>
    </cfRule>
  </conditionalFormatting>
  <conditionalFormatting sqref="A115">
    <cfRule type="expression" dxfId="358" priority="4">
      <formula>kvartal &lt; 4</formula>
    </cfRule>
  </conditionalFormatting>
  <conditionalFormatting sqref="A123">
    <cfRule type="expression" dxfId="357" priority="3">
      <formula>kvartal &lt; 4</formula>
    </cfRule>
  </conditionalFormatting>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N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244" t="s">
        <v>89</v>
      </c>
      <c r="D1" s="26"/>
      <c r="E1" s="26"/>
      <c r="F1" s="26"/>
      <c r="G1" s="26"/>
      <c r="H1" s="26"/>
      <c r="I1" s="26"/>
      <c r="J1" s="26"/>
      <c r="K1" s="26"/>
      <c r="L1" s="26"/>
      <c r="M1" s="26"/>
    </row>
    <row r="2" spans="1:14" ht="15.75" x14ac:dyDescent="0.25">
      <c r="A2" s="164" t="s">
        <v>28</v>
      </c>
      <c r="B2" s="729"/>
      <c r="C2" s="729"/>
      <c r="D2" s="729"/>
      <c r="E2" s="292"/>
      <c r="F2" s="729"/>
      <c r="G2" s="729"/>
      <c r="H2" s="729"/>
      <c r="I2" s="292"/>
      <c r="J2" s="729"/>
      <c r="K2" s="729"/>
      <c r="L2" s="729"/>
      <c r="M2" s="292"/>
    </row>
    <row r="3" spans="1:14" ht="15.75" x14ac:dyDescent="0.25">
      <c r="A3" s="162"/>
      <c r="B3" s="292"/>
      <c r="C3" s="292"/>
      <c r="D3" s="292"/>
      <c r="E3" s="292"/>
      <c r="F3" s="292"/>
      <c r="G3" s="292"/>
      <c r="H3" s="292"/>
      <c r="I3" s="292"/>
      <c r="J3" s="292"/>
      <c r="K3" s="292"/>
      <c r="L3" s="292"/>
      <c r="M3" s="292"/>
    </row>
    <row r="4" spans="1:14" x14ac:dyDescent="0.2">
      <c r="A4" s="144"/>
      <c r="B4" s="725" t="s">
        <v>0</v>
      </c>
      <c r="C4" s="726"/>
      <c r="D4" s="726"/>
      <c r="E4" s="294"/>
      <c r="F4" s="725" t="s">
        <v>1</v>
      </c>
      <c r="G4" s="726"/>
      <c r="H4" s="726"/>
      <c r="I4" s="297"/>
      <c r="J4" s="725" t="s">
        <v>2</v>
      </c>
      <c r="K4" s="726"/>
      <c r="L4" s="726"/>
      <c r="M4" s="297"/>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c r="C7" s="300"/>
      <c r="D7" s="340"/>
      <c r="E7" s="11"/>
      <c r="F7" s="299">
        <v>48331</v>
      </c>
      <c r="G7" s="300">
        <v>36075</v>
      </c>
      <c r="H7" s="340">
        <f>IF(F7=0, "    ---- ", IF(ABS(ROUND(100/F7*G7-100,1))&lt;999,ROUND(100/F7*G7-100,1),IF(ROUND(100/F7*G7-100,1)&gt;999,999,-999)))</f>
        <v>-25.4</v>
      </c>
      <c r="I7" s="159">
        <f>IFERROR(100/'Skjema total MA'!F7*G7,0)</f>
        <v>1.0502118312149806</v>
      </c>
      <c r="J7" s="301">
        <f t="shared" ref="J7:K12" si="0">SUM(B7,F7)</f>
        <v>48331</v>
      </c>
      <c r="K7" s="302">
        <f t="shared" si="0"/>
        <v>36075</v>
      </c>
      <c r="L7" s="413">
        <f>IF(J7=0, "    ---- ", IF(ABS(ROUND(100/J7*K7-100,1))&lt;999,ROUND(100/J7*K7-100,1),IF(ROUND(100/J7*K7-100,1)&gt;999,999,-999)))</f>
        <v>-25.4</v>
      </c>
      <c r="M7" s="11">
        <f>IFERROR(100/'Skjema total MA'!I7*K7,0)</f>
        <v>0.69796135523253156</v>
      </c>
    </row>
    <row r="8" spans="1:14" ht="15.75" x14ac:dyDescent="0.2">
      <c r="A8" s="21" t="s">
        <v>25</v>
      </c>
      <c r="B8" s="277"/>
      <c r="C8" s="278"/>
      <c r="D8" s="165"/>
      <c r="E8" s="27"/>
      <c r="F8" s="281"/>
      <c r="G8" s="282"/>
      <c r="H8" s="165"/>
      <c r="I8" s="174"/>
      <c r="J8" s="230"/>
      <c r="K8" s="283"/>
      <c r="L8" s="165"/>
      <c r="M8" s="27"/>
    </row>
    <row r="9" spans="1:14" ht="15.75" x14ac:dyDescent="0.2">
      <c r="A9" s="21" t="s">
        <v>24</v>
      </c>
      <c r="B9" s="277"/>
      <c r="C9" s="278"/>
      <c r="D9" s="165"/>
      <c r="E9" s="27"/>
      <c r="F9" s="281"/>
      <c r="G9" s="282"/>
      <c r="H9" s="165"/>
      <c r="I9" s="174"/>
      <c r="J9" s="230"/>
      <c r="K9" s="283"/>
      <c r="L9" s="165"/>
      <c r="M9" s="27"/>
    </row>
    <row r="10" spans="1:14" ht="15.75" x14ac:dyDescent="0.2">
      <c r="A10" s="13" t="s">
        <v>359</v>
      </c>
      <c r="B10" s="303"/>
      <c r="C10" s="304"/>
      <c r="D10" s="170"/>
      <c r="E10" s="11"/>
      <c r="F10" s="303">
        <v>900016</v>
      </c>
      <c r="G10" s="304">
        <v>1010990</v>
      </c>
      <c r="H10" s="170">
        <f t="shared" ref="H10:H12" si="1">IF(F10=0, "    ---- ", IF(ABS(ROUND(100/F10*G10-100,1))&lt;999,ROUND(100/F10*G10-100,1),IF(ROUND(100/F10*G10-100,1)&gt;999,999,-999)))</f>
        <v>12.3</v>
      </c>
      <c r="I10" s="159">
        <f>IFERROR(100/'Skjema total MA'!F10*G10,0)</f>
        <v>1.3492596071714185</v>
      </c>
      <c r="J10" s="301">
        <f t="shared" si="0"/>
        <v>900016</v>
      </c>
      <c r="K10" s="302">
        <f t="shared" si="0"/>
        <v>1010990</v>
      </c>
      <c r="L10" s="414">
        <f t="shared" ref="L10:L12" si="2">IF(J10=0, "    ---- ", IF(ABS(ROUND(100/J10*K10-100,1))&lt;999,ROUND(100/J10*K10-100,1),IF(ROUND(100/J10*K10-100,1)&gt;999,999,-999)))</f>
        <v>12.3</v>
      </c>
      <c r="M10" s="11">
        <f>IFERROR(100/'Skjema total MA'!I10*K10,0)</f>
        <v>1.1068989955625625</v>
      </c>
    </row>
    <row r="11" spans="1:14" s="43" customFormat="1" ht="15.75" x14ac:dyDescent="0.2">
      <c r="A11" s="13" t="s">
        <v>360</v>
      </c>
      <c r="B11" s="303"/>
      <c r="C11" s="304"/>
      <c r="D11" s="170"/>
      <c r="E11" s="11"/>
      <c r="F11" s="303">
        <v>725</v>
      </c>
      <c r="G11" s="304">
        <v>1585</v>
      </c>
      <c r="H11" s="170">
        <f t="shared" si="1"/>
        <v>118.6</v>
      </c>
      <c r="I11" s="159">
        <f>IFERROR(100/'Skjema total MA'!F11*G11,0)</f>
        <v>0.52899859067566368</v>
      </c>
      <c r="J11" s="301">
        <f t="shared" si="0"/>
        <v>725</v>
      </c>
      <c r="K11" s="302">
        <f t="shared" si="0"/>
        <v>1585</v>
      </c>
      <c r="L11" s="414">
        <f t="shared" si="2"/>
        <v>118.6</v>
      </c>
      <c r="M11" s="11">
        <f>IFERROR(100/'Skjema total MA'!I11*K11,0)</f>
        <v>0.50070451905768165</v>
      </c>
      <c r="N11" s="143"/>
    </row>
    <row r="12" spans="1:14" s="43" customFormat="1" ht="15.75" x14ac:dyDescent="0.2">
      <c r="A12" s="41" t="s">
        <v>361</v>
      </c>
      <c r="B12" s="305"/>
      <c r="C12" s="306"/>
      <c r="D12" s="168"/>
      <c r="E12" s="36"/>
      <c r="F12" s="305">
        <v>442</v>
      </c>
      <c r="G12" s="306">
        <v>733</v>
      </c>
      <c r="H12" s="168">
        <f t="shared" si="1"/>
        <v>65.8</v>
      </c>
      <c r="I12" s="168">
        <f>IFERROR(100/'Skjema total MA'!F12*G12,0)</f>
        <v>1.3580911718571613</v>
      </c>
      <c r="J12" s="307">
        <f t="shared" si="0"/>
        <v>442</v>
      </c>
      <c r="K12" s="308">
        <f t="shared" si="0"/>
        <v>733</v>
      </c>
      <c r="L12" s="415">
        <f t="shared" si="2"/>
        <v>65.8</v>
      </c>
      <c r="M12" s="36">
        <f>IFERROR(100/'Skjema total MA'!I12*K12,0)</f>
        <v>1.3200138231127223</v>
      </c>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292"/>
      <c r="F18" s="724"/>
      <c r="G18" s="724"/>
      <c r="H18" s="724"/>
      <c r="I18" s="292"/>
      <c r="J18" s="724"/>
      <c r="K18" s="724"/>
      <c r="L18" s="724"/>
      <c r="M18" s="292"/>
    </row>
    <row r="19" spans="1:14" x14ac:dyDescent="0.2">
      <c r="A19" s="144"/>
      <c r="B19" s="725" t="s">
        <v>0</v>
      </c>
      <c r="C19" s="726"/>
      <c r="D19" s="726"/>
      <c r="E19" s="294"/>
      <c r="F19" s="725" t="s">
        <v>1</v>
      </c>
      <c r="G19" s="726"/>
      <c r="H19" s="726"/>
      <c r="I19" s="297"/>
      <c r="J19" s="725" t="s">
        <v>2</v>
      </c>
      <c r="K19" s="726"/>
      <c r="L19" s="726"/>
      <c r="M19" s="297"/>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303">
        <v>163791</v>
      </c>
      <c r="C22" s="303">
        <v>185197</v>
      </c>
      <c r="D22" s="340">
        <f t="shared" ref="D22:D29" si="3">IF(B22=0, "    ---- ", IF(ABS(ROUND(100/B22*C22-100,1))&lt;999,ROUND(100/B22*C22-100,1),IF(ROUND(100/B22*C22-100,1)&gt;999,999,-999)))</f>
        <v>13.1</v>
      </c>
      <c r="E22" s="11">
        <f>IFERROR(100/'Skjema total MA'!C22*C22,0)</f>
        <v>24.331511393615859</v>
      </c>
      <c r="F22" s="311">
        <v>24725</v>
      </c>
      <c r="G22" s="311">
        <v>15070</v>
      </c>
      <c r="H22" s="340">
        <f t="shared" ref="H22:H35" si="4">IF(F22=0, "    ---- ", IF(ABS(ROUND(100/F22*G22-100,1))&lt;999,ROUND(100/F22*G22-100,1),IF(ROUND(100/F22*G22-100,1)&gt;999,999,-999)))</f>
        <v>-39</v>
      </c>
      <c r="I22" s="11">
        <f>IFERROR(100/'Skjema total MA'!F22*G22,0)</f>
        <v>5.5123523049709515</v>
      </c>
      <c r="J22" s="309">
        <f t="shared" ref="J22:K35" si="5">SUM(B22,F22)</f>
        <v>188516</v>
      </c>
      <c r="K22" s="309">
        <f t="shared" si="5"/>
        <v>200267</v>
      </c>
      <c r="L22" s="413">
        <f t="shared" ref="L22:L35" si="6">IF(J22=0, "    ---- ", IF(ABS(ROUND(100/J22*K22-100,1))&lt;999,ROUND(100/J22*K22-100,1),IF(ROUND(100/J22*K22-100,1)&gt;999,999,-999)))</f>
        <v>6.2</v>
      </c>
      <c r="M22" s="24">
        <f>IFERROR(100/'Skjema total MA'!I22*K22,0)</f>
        <v>19.358323656818051</v>
      </c>
    </row>
    <row r="23" spans="1:14" ht="15.75" x14ac:dyDescent="0.2">
      <c r="A23" s="555" t="s">
        <v>362</v>
      </c>
      <c r="B23" s="277"/>
      <c r="C23" s="277"/>
      <c r="D23" s="165"/>
      <c r="E23" s="11"/>
      <c r="F23" s="286"/>
      <c r="G23" s="286"/>
      <c r="H23" s="165"/>
      <c r="I23" s="403"/>
      <c r="J23" s="286"/>
      <c r="K23" s="286"/>
      <c r="L23" s="165"/>
      <c r="M23" s="23"/>
    </row>
    <row r="24" spans="1:14" ht="15.75" x14ac:dyDescent="0.2">
      <c r="A24" s="555" t="s">
        <v>363</v>
      </c>
      <c r="B24" s="277"/>
      <c r="C24" s="277"/>
      <c r="D24" s="165"/>
      <c r="E24" s="11"/>
      <c r="F24" s="286"/>
      <c r="G24" s="286"/>
      <c r="H24" s="165"/>
      <c r="I24" s="403"/>
      <c r="J24" s="286"/>
      <c r="K24" s="286"/>
      <c r="L24" s="165"/>
      <c r="M24" s="23"/>
    </row>
    <row r="25" spans="1:14" ht="15.75" x14ac:dyDescent="0.2">
      <c r="A25" s="555" t="s">
        <v>364</v>
      </c>
      <c r="B25" s="277"/>
      <c r="C25" s="277"/>
      <c r="D25" s="165"/>
      <c r="E25" s="11"/>
      <c r="F25" s="286"/>
      <c r="G25" s="286"/>
      <c r="H25" s="165"/>
      <c r="I25" s="403"/>
      <c r="J25" s="286"/>
      <c r="K25" s="286"/>
      <c r="L25" s="165"/>
      <c r="M25" s="23"/>
    </row>
    <row r="26" spans="1:14" ht="15.75" x14ac:dyDescent="0.2">
      <c r="A26" s="555" t="s">
        <v>365</v>
      </c>
      <c r="B26" s="277"/>
      <c r="C26" s="277"/>
      <c r="D26" s="165"/>
      <c r="E26" s="11"/>
      <c r="F26" s="286">
        <v>24725</v>
      </c>
      <c r="G26" s="286">
        <v>15070</v>
      </c>
      <c r="H26" s="165">
        <f t="shared" si="4"/>
        <v>-39</v>
      </c>
      <c r="I26" s="403">
        <f>IFERROR(100/'Skjema total MA'!F26*G26,0)</f>
        <v>6.0392121870752753</v>
      </c>
      <c r="J26" s="286">
        <f t="shared" ref="J26" si="7">SUM(B26,F26)</f>
        <v>24725</v>
      </c>
      <c r="K26" s="286">
        <f t="shared" ref="K26" si="8">SUM(C26,G26)</f>
        <v>15070</v>
      </c>
      <c r="L26" s="165">
        <f t="shared" si="6"/>
        <v>-39</v>
      </c>
      <c r="M26" s="23">
        <f>IFERROR(100/'Skjema total MA'!I26*K26,0)</f>
        <v>6.0392121870752753</v>
      </c>
    </row>
    <row r="27" spans="1:14" x14ac:dyDescent="0.2">
      <c r="A27" s="555" t="s">
        <v>11</v>
      </c>
      <c r="B27" s="277"/>
      <c r="C27" s="277"/>
      <c r="D27" s="165"/>
      <c r="E27" s="11"/>
      <c r="F27" s="286"/>
      <c r="G27" s="286"/>
      <c r="H27" s="165"/>
      <c r="I27" s="403"/>
      <c r="J27" s="286"/>
      <c r="K27" s="286"/>
      <c r="L27" s="165"/>
      <c r="M27" s="23"/>
    </row>
    <row r="28" spans="1:14" ht="15.75" x14ac:dyDescent="0.2">
      <c r="A28" s="49" t="s">
        <v>270</v>
      </c>
      <c r="B28" s="44">
        <v>163791</v>
      </c>
      <c r="C28" s="283">
        <v>185197</v>
      </c>
      <c r="D28" s="165">
        <f t="shared" si="3"/>
        <v>13.1</v>
      </c>
      <c r="E28" s="11">
        <f>IFERROR(100/'Skjema total MA'!C28*C28,0)</f>
        <v>22.077738194772273</v>
      </c>
      <c r="F28" s="230"/>
      <c r="G28" s="283"/>
      <c r="H28" s="165"/>
      <c r="I28" s="27"/>
      <c r="J28" s="44">
        <f t="shared" si="5"/>
        <v>163791</v>
      </c>
      <c r="K28" s="44">
        <f t="shared" si="5"/>
        <v>185197</v>
      </c>
      <c r="L28" s="250">
        <f t="shared" si="6"/>
        <v>13.1</v>
      </c>
      <c r="M28" s="23">
        <f>IFERROR(100/'Skjema total MA'!I28*K28,0)</f>
        <v>22.077738194772273</v>
      </c>
    </row>
    <row r="29" spans="1:14" s="3" customFormat="1" ht="15.75" x14ac:dyDescent="0.2">
      <c r="A29" s="13" t="s">
        <v>359</v>
      </c>
      <c r="B29" s="232">
        <v>2405898</v>
      </c>
      <c r="C29" s="232">
        <v>2797456</v>
      </c>
      <c r="D29" s="170">
        <f t="shared" si="3"/>
        <v>16.3</v>
      </c>
      <c r="E29" s="11">
        <f>IFERROR(100/'Skjema total MA'!C29*C29,0)</f>
        <v>6.1564021423648221</v>
      </c>
      <c r="F29" s="301">
        <v>1686501</v>
      </c>
      <c r="G29" s="301">
        <v>1678715</v>
      </c>
      <c r="H29" s="170">
        <f t="shared" si="4"/>
        <v>-0.5</v>
      </c>
      <c r="I29" s="11">
        <f>IFERROR(100/'Skjema total MA'!F29*G29,0)</f>
        <v>6.643925323257359</v>
      </c>
      <c r="J29" s="232">
        <f t="shared" si="5"/>
        <v>4092399</v>
      </c>
      <c r="K29" s="232">
        <f t="shared" si="5"/>
        <v>4476171</v>
      </c>
      <c r="L29" s="414">
        <f t="shared" si="6"/>
        <v>9.4</v>
      </c>
      <c r="M29" s="24">
        <f>IFERROR(100/'Skjema total MA'!I29*K29,0)</f>
        <v>6.3306176926683309</v>
      </c>
      <c r="N29" s="148"/>
    </row>
    <row r="30" spans="1:14" s="3" customFormat="1" ht="15.75" x14ac:dyDescent="0.2">
      <c r="A30" s="555" t="s">
        <v>362</v>
      </c>
      <c r="B30" s="277"/>
      <c r="C30" s="277"/>
      <c r="D30" s="165"/>
      <c r="E30" s="11"/>
      <c r="F30" s="286">
        <v>26452</v>
      </c>
      <c r="G30" s="286">
        <v>23447</v>
      </c>
      <c r="H30" s="165">
        <f t="shared" si="4"/>
        <v>-11.4</v>
      </c>
      <c r="I30" s="403">
        <f>IFERROR(100/'Skjema total MA'!F30*G30,0)</f>
        <v>0.61521688840695266</v>
      </c>
      <c r="J30" s="286">
        <f t="shared" ref="J30:J33" si="9">SUM(B30,F30)</f>
        <v>26452</v>
      </c>
      <c r="K30" s="286">
        <f t="shared" ref="K30:K33" si="10">SUM(C30,G30)</f>
        <v>23447</v>
      </c>
      <c r="L30" s="165">
        <f t="shared" si="6"/>
        <v>-11.4</v>
      </c>
      <c r="M30" s="23">
        <f>IFERROR(100/'Skjema total MA'!I30*K30,0)</f>
        <v>0.16777616138840085</v>
      </c>
      <c r="N30" s="148"/>
    </row>
    <row r="31" spans="1:14" s="3" customFormat="1" ht="15.75" x14ac:dyDescent="0.2">
      <c r="A31" s="555" t="s">
        <v>363</v>
      </c>
      <c r="B31" s="277"/>
      <c r="C31" s="277"/>
      <c r="D31" s="165"/>
      <c r="E31" s="11"/>
      <c r="F31" s="286">
        <v>1091293</v>
      </c>
      <c r="G31" s="286">
        <v>971061</v>
      </c>
      <c r="H31" s="165">
        <f t="shared" si="4"/>
        <v>-11</v>
      </c>
      <c r="I31" s="403">
        <f>IFERROR(100/'Skjema total MA'!F31*G31,0)</f>
        <v>11.249384219956932</v>
      </c>
      <c r="J31" s="286">
        <f t="shared" si="9"/>
        <v>1091293</v>
      </c>
      <c r="K31" s="286">
        <f t="shared" si="10"/>
        <v>971061</v>
      </c>
      <c r="L31" s="165">
        <f t="shared" si="6"/>
        <v>-11</v>
      </c>
      <c r="M31" s="23">
        <f>IFERROR(100/'Skjema total MA'!I31*K31,0)</f>
        <v>2.8015978906258479</v>
      </c>
      <c r="N31" s="148"/>
    </row>
    <row r="32" spans="1:14" ht="15.75" x14ac:dyDescent="0.2">
      <c r="A32" s="555" t="s">
        <v>364</v>
      </c>
      <c r="B32" s="277"/>
      <c r="C32" s="277"/>
      <c r="D32" s="165"/>
      <c r="E32" s="11"/>
      <c r="F32" s="286">
        <v>131416</v>
      </c>
      <c r="G32" s="286">
        <v>128851</v>
      </c>
      <c r="H32" s="165">
        <f t="shared" si="4"/>
        <v>-2</v>
      </c>
      <c r="I32" s="403">
        <f>IFERROR(100/'Skjema total MA'!F32*G32,0)</f>
        <v>2.2837155869087744</v>
      </c>
      <c r="J32" s="286">
        <f t="shared" si="9"/>
        <v>131416</v>
      </c>
      <c r="K32" s="286">
        <f t="shared" si="10"/>
        <v>128851</v>
      </c>
      <c r="L32" s="165">
        <f t="shared" si="6"/>
        <v>-2</v>
      </c>
      <c r="M32" s="23">
        <f>IFERROR(100/'Skjema total MA'!I32*K32,0)</f>
        <v>1.5975731341833403</v>
      </c>
    </row>
    <row r="33" spans="1:14" ht="15.75" x14ac:dyDescent="0.2">
      <c r="A33" s="555" t="s">
        <v>365</v>
      </c>
      <c r="B33" s="277"/>
      <c r="C33" s="277"/>
      <c r="D33" s="165"/>
      <c r="E33" s="11"/>
      <c r="F33" s="286">
        <v>437340</v>
      </c>
      <c r="G33" s="286">
        <v>555356</v>
      </c>
      <c r="H33" s="165">
        <f t="shared" si="4"/>
        <v>27</v>
      </c>
      <c r="I33" s="403">
        <f>IFERROR(100/'Skjema total MA'!F33*G33,0)</f>
        <v>7.7071914689182286</v>
      </c>
      <c r="J33" s="286">
        <f t="shared" si="9"/>
        <v>437340</v>
      </c>
      <c r="K33" s="286">
        <f t="shared" si="10"/>
        <v>555356</v>
      </c>
      <c r="L33" s="165">
        <f t="shared" si="6"/>
        <v>27</v>
      </c>
      <c r="M33" s="23">
        <f>IFERROR(100/'Skjema total MA'!I33*K33,0)</f>
        <v>7.7071914689182286</v>
      </c>
    </row>
    <row r="34" spans="1:14" ht="15.75" x14ac:dyDescent="0.2">
      <c r="A34" s="13" t="s">
        <v>360</v>
      </c>
      <c r="B34" s="232"/>
      <c r="C34" s="302"/>
      <c r="D34" s="170"/>
      <c r="E34" s="11"/>
      <c r="F34" s="301">
        <v>3194</v>
      </c>
      <c r="G34" s="302">
        <v>2978</v>
      </c>
      <c r="H34" s="170">
        <f t="shared" si="4"/>
        <v>-6.8</v>
      </c>
      <c r="I34" s="11">
        <f>IFERROR(100/'Skjema total MA'!F34*G34,0)</f>
        <v>12.677464300554265</v>
      </c>
      <c r="J34" s="232">
        <f t="shared" si="5"/>
        <v>3194</v>
      </c>
      <c r="K34" s="232">
        <f t="shared" si="5"/>
        <v>2978</v>
      </c>
      <c r="L34" s="414">
        <f t="shared" si="6"/>
        <v>-6.8</v>
      </c>
      <c r="M34" s="24">
        <f>IFERROR(100/'Skjema total MA'!I34*K34,0)</f>
        <v>10.049472941117166</v>
      </c>
    </row>
    <row r="35" spans="1:14" ht="15.75" x14ac:dyDescent="0.2">
      <c r="A35" s="13" t="s">
        <v>361</v>
      </c>
      <c r="B35" s="232"/>
      <c r="C35" s="302"/>
      <c r="D35" s="170"/>
      <c r="E35" s="11"/>
      <c r="F35" s="301">
        <v>4657</v>
      </c>
      <c r="G35" s="302">
        <v>3721</v>
      </c>
      <c r="H35" s="170">
        <f t="shared" si="4"/>
        <v>-20.100000000000001</v>
      </c>
      <c r="I35" s="11">
        <f>IFERROR(100/'Skjema total MA'!F35*G35,0)</f>
        <v>14.840021300076796</v>
      </c>
      <c r="J35" s="232">
        <f t="shared" si="5"/>
        <v>4657</v>
      </c>
      <c r="K35" s="232">
        <f t="shared" si="5"/>
        <v>3721</v>
      </c>
      <c r="L35" s="414">
        <f t="shared" si="6"/>
        <v>-20.100000000000001</v>
      </c>
      <c r="M35" s="24">
        <f>IFERROR(100/'Skjema total MA'!I35*K35,0)</f>
        <v>15.107638744968147</v>
      </c>
    </row>
    <row r="36" spans="1:14" ht="15.75" x14ac:dyDescent="0.2">
      <c r="A36" s="12" t="s">
        <v>278</v>
      </c>
      <c r="B36" s="232"/>
      <c r="C36" s="302"/>
      <c r="D36" s="170"/>
      <c r="E36" s="11"/>
      <c r="F36" s="312"/>
      <c r="G36" s="313"/>
      <c r="H36" s="170"/>
      <c r="I36" s="420"/>
      <c r="J36" s="232"/>
      <c r="K36" s="232"/>
      <c r="L36" s="414"/>
      <c r="M36" s="24"/>
    </row>
    <row r="37" spans="1:14" ht="15.75" x14ac:dyDescent="0.2">
      <c r="A37" s="12" t="s">
        <v>367</v>
      </c>
      <c r="B37" s="232"/>
      <c r="C37" s="302"/>
      <c r="D37" s="170"/>
      <c r="E37" s="11"/>
      <c r="F37" s="312"/>
      <c r="G37" s="314"/>
      <c r="H37" s="170"/>
      <c r="I37" s="420"/>
      <c r="J37" s="232"/>
      <c r="K37" s="232"/>
      <c r="L37" s="414"/>
      <c r="M37" s="24"/>
    </row>
    <row r="38" spans="1:14" ht="15.75" x14ac:dyDescent="0.2">
      <c r="A38" s="12" t="s">
        <v>368</v>
      </c>
      <c r="B38" s="232"/>
      <c r="C38" s="302"/>
      <c r="D38" s="170"/>
      <c r="E38" s="24"/>
      <c r="F38" s="312"/>
      <c r="G38" s="313"/>
      <c r="H38" s="170"/>
      <c r="I38" s="420"/>
      <c r="J38" s="232"/>
      <c r="K38" s="232"/>
      <c r="L38" s="414"/>
      <c r="M38" s="24"/>
    </row>
    <row r="39" spans="1:14" ht="15.75" x14ac:dyDescent="0.2">
      <c r="A39" s="18" t="s">
        <v>369</v>
      </c>
      <c r="B39" s="272"/>
      <c r="C39" s="308"/>
      <c r="D39" s="168"/>
      <c r="E39" s="36"/>
      <c r="F39" s="315"/>
      <c r="G39" s="316"/>
      <c r="H39" s="168"/>
      <c r="I39" s="36"/>
      <c r="J39" s="232"/>
      <c r="K39" s="232"/>
      <c r="L39" s="415"/>
      <c r="M39" s="36"/>
    </row>
    <row r="40" spans="1:14" ht="15.75" x14ac:dyDescent="0.25">
      <c r="A40" s="47"/>
      <c r="B40" s="249"/>
      <c r="C40" s="249"/>
      <c r="D40" s="728"/>
      <c r="E40" s="728"/>
      <c r="F40" s="728"/>
      <c r="G40" s="728"/>
      <c r="H40" s="728"/>
      <c r="I40" s="728"/>
      <c r="J40" s="728"/>
      <c r="K40" s="728"/>
      <c r="L40" s="728"/>
      <c r="M40" s="295"/>
    </row>
    <row r="41" spans="1:14" x14ac:dyDescent="0.2">
      <c r="A41" s="154"/>
    </row>
    <row r="42" spans="1:14" ht="15.75" x14ac:dyDescent="0.25">
      <c r="A42" s="147" t="s">
        <v>267</v>
      </c>
      <c r="B42" s="729"/>
      <c r="C42" s="729"/>
      <c r="D42" s="729"/>
      <c r="E42" s="292"/>
      <c r="F42" s="730"/>
      <c r="G42" s="730"/>
      <c r="H42" s="730"/>
      <c r="I42" s="295"/>
      <c r="J42" s="730"/>
      <c r="K42" s="730"/>
      <c r="L42" s="730"/>
      <c r="M42" s="295"/>
    </row>
    <row r="43" spans="1:14" ht="15.75" x14ac:dyDescent="0.25">
      <c r="A43" s="162"/>
      <c r="B43" s="296"/>
      <c r="C43" s="296"/>
      <c r="D43" s="296"/>
      <c r="E43" s="296"/>
      <c r="F43" s="295"/>
      <c r="G43" s="295"/>
      <c r="H43" s="295"/>
      <c r="I43" s="295"/>
      <c r="J43" s="295"/>
      <c r="K43" s="295"/>
      <c r="L43" s="295"/>
      <c r="M43" s="295"/>
    </row>
    <row r="44" spans="1:14" ht="15.75" x14ac:dyDescent="0.25">
      <c r="A44" s="243"/>
      <c r="B44" s="725" t="s">
        <v>0</v>
      </c>
      <c r="C44" s="726"/>
      <c r="D44" s="726"/>
      <c r="E44" s="239"/>
      <c r="F44" s="295"/>
      <c r="G44" s="295"/>
      <c r="H44" s="295"/>
      <c r="I44" s="295"/>
      <c r="J44" s="295"/>
      <c r="K44" s="295"/>
      <c r="L44" s="295"/>
      <c r="M44" s="295"/>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c r="C47" s="304"/>
      <c r="D47" s="413"/>
      <c r="E47" s="11"/>
      <c r="F47" s="145"/>
      <c r="G47" s="33"/>
      <c r="H47" s="158"/>
      <c r="I47" s="158"/>
      <c r="J47" s="37"/>
      <c r="K47" s="37"/>
      <c r="L47" s="158"/>
      <c r="M47" s="158"/>
      <c r="N47" s="148"/>
    </row>
    <row r="48" spans="1:14" s="3" customFormat="1" ht="15.75" x14ac:dyDescent="0.2">
      <c r="A48" s="38" t="s">
        <v>370</v>
      </c>
      <c r="B48" s="277"/>
      <c r="C48" s="278"/>
      <c r="D48" s="250"/>
      <c r="E48" s="27"/>
      <c r="F48" s="145"/>
      <c r="G48" s="33"/>
      <c r="H48" s="145"/>
      <c r="I48" s="145"/>
      <c r="J48" s="33"/>
      <c r="K48" s="33"/>
      <c r="L48" s="158"/>
      <c r="M48" s="158"/>
      <c r="N48" s="148"/>
    </row>
    <row r="49" spans="1:14" s="3" customFormat="1" ht="15.75" x14ac:dyDescent="0.2">
      <c r="A49" s="38" t="s">
        <v>371</v>
      </c>
      <c r="B49" s="44"/>
      <c r="C49" s="283"/>
      <c r="D49" s="250"/>
      <c r="E49" s="27"/>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c r="C53" s="304"/>
      <c r="D53" s="414"/>
      <c r="E53" s="11"/>
      <c r="F53" s="145"/>
      <c r="G53" s="33"/>
      <c r="H53" s="145"/>
      <c r="I53" s="145"/>
      <c r="J53" s="33"/>
      <c r="K53" s="33"/>
      <c r="L53" s="158"/>
      <c r="M53" s="158"/>
      <c r="N53" s="148"/>
    </row>
    <row r="54" spans="1:14" s="3" customFormat="1" ht="15.75" x14ac:dyDescent="0.2">
      <c r="A54" s="38" t="s">
        <v>370</v>
      </c>
      <c r="B54" s="277"/>
      <c r="C54" s="278"/>
      <c r="D54" s="250"/>
      <c r="E54" s="27"/>
      <c r="F54" s="145"/>
      <c r="G54" s="33"/>
      <c r="H54" s="145"/>
      <c r="I54" s="145"/>
      <c r="J54" s="33"/>
      <c r="K54" s="33"/>
      <c r="L54" s="158"/>
      <c r="M54" s="158"/>
      <c r="N54" s="148"/>
    </row>
    <row r="55" spans="1:14" s="3" customFormat="1" ht="15.75" x14ac:dyDescent="0.2">
      <c r="A55" s="38" t="s">
        <v>371</v>
      </c>
      <c r="B55" s="277"/>
      <c r="C55" s="278"/>
      <c r="D55" s="250"/>
      <c r="E55" s="27"/>
      <c r="F55" s="145"/>
      <c r="G55" s="33"/>
      <c r="H55" s="145"/>
      <c r="I55" s="145"/>
      <c r="J55" s="33"/>
      <c r="K55" s="33"/>
      <c r="L55" s="158"/>
      <c r="M55" s="158"/>
      <c r="N55" s="148"/>
    </row>
    <row r="56" spans="1:14" s="3" customFormat="1" ht="15.75" x14ac:dyDescent="0.2">
      <c r="A56" s="39" t="s">
        <v>373</v>
      </c>
      <c r="B56" s="303"/>
      <c r="C56" s="304"/>
      <c r="D56" s="414"/>
      <c r="E56" s="11"/>
      <c r="F56" s="145"/>
      <c r="G56" s="33"/>
      <c r="H56" s="145"/>
      <c r="I56" s="145"/>
      <c r="J56" s="33"/>
      <c r="K56" s="33"/>
      <c r="L56" s="158"/>
      <c r="M56" s="158"/>
      <c r="N56" s="148"/>
    </row>
    <row r="57" spans="1:14" s="3" customFormat="1" ht="15.75" x14ac:dyDescent="0.2">
      <c r="A57" s="38" t="s">
        <v>370</v>
      </c>
      <c r="B57" s="277"/>
      <c r="C57" s="278"/>
      <c r="D57" s="250"/>
      <c r="E57" s="27"/>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292"/>
      <c r="F62" s="724"/>
      <c r="G62" s="724"/>
      <c r="H62" s="724"/>
      <c r="I62" s="292"/>
      <c r="J62" s="724"/>
      <c r="K62" s="724"/>
      <c r="L62" s="724"/>
      <c r="M62" s="292"/>
    </row>
    <row r="63" spans="1:14" x14ac:dyDescent="0.2">
      <c r="A63" s="144"/>
      <c r="B63" s="725" t="s">
        <v>0</v>
      </c>
      <c r="C63" s="726"/>
      <c r="D63" s="727"/>
      <c r="E63" s="293"/>
      <c r="F63" s="726" t="s">
        <v>1</v>
      </c>
      <c r="G63" s="726"/>
      <c r="H63" s="726"/>
      <c r="I63" s="297"/>
      <c r="J63" s="725" t="s">
        <v>2</v>
      </c>
      <c r="K63" s="726"/>
      <c r="L63" s="726"/>
      <c r="M63" s="297"/>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v>64941</v>
      </c>
      <c r="C66" s="343">
        <v>69586</v>
      </c>
      <c r="D66" s="340">
        <f t="shared" ref="D66:D111" si="11">IF(B66=0, "    ---- ", IF(ABS(ROUND(100/B66*C66-100,1))&lt;999,ROUND(100/B66*C66-100,1),IF(ROUND(100/B66*C66-100,1)&gt;999,999,-999)))</f>
        <v>7.2</v>
      </c>
      <c r="E66" s="11">
        <f>IFERROR(100/'Skjema total MA'!C66*C66,0)</f>
        <v>2.6229905776854929</v>
      </c>
      <c r="F66" s="342">
        <v>844819</v>
      </c>
      <c r="G66" s="342">
        <v>951854</v>
      </c>
      <c r="H66" s="340">
        <f t="shared" ref="H66:H111" si="12">IF(F66=0, "    ---- ", IF(ABS(ROUND(100/F66*G66-100,1))&lt;999,ROUND(100/F66*G66-100,1),IF(ROUND(100/F66*G66-100,1)&gt;999,999,-999)))</f>
        <v>12.7</v>
      </c>
      <c r="I66" s="11">
        <f>IFERROR(100/'Skjema total MA'!F66*G66,0)</f>
        <v>9.6203542523193377</v>
      </c>
      <c r="J66" s="302">
        <f t="shared" ref="J66:K86" si="13">SUM(B66,F66)</f>
        <v>909760</v>
      </c>
      <c r="K66" s="309">
        <f t="shared" si="13"/>
        <v>1021440</v>
      </c>
      <c r="L66" s="414">
        <f t="shared" ref="L66:L111" si="14">IF(J66=0, "    ---- ", IF(ABS(ROUND(100/J66*K66-100,1))&lt;999,ROUND(100/J66*K66-100,1),IF(ROUND(100/J66*K66-100,1)&gt;999,999,-999)))</f>
        <v>12.3</v>
      </c>
      <c r="M66" s="11">
        <f>IFERROR(100/'Skjema total MA'!I66*K66,0)</f>
        <v>8.1408492438417266</v>
      </c>
    </row>
    <row r="67" spans="1:14" x14ac:dyDescent="0.2">
      <c r="A67" s="405" t="s">
        <v>9</v>
      </c>
      <c r="B67" s="44">
        <v>64941</v>
      </c>
      <c r="C67" s="145">
        <v>69586</v>
      </c>
      <c r="D67" s="165">
        <f t="shared" si="11"/>
        <v>7.2</v>
      </c>
      <c r="E67" s="27">
        <f>IFERROR(100/'Skjema total MA'!C67*C67,0)</f>
        <v>3.5706922780769261</v>
      </c>
      <c r="F67" s="230"/>
      <c r="G67" s="145"/>
      <c r="H67" s="165"/>
      <c r="I67" s="27"/>
      <c r="J67" s="283">
        <f t="shared" si="13"/>
        <v>64941</v>
      </c>
      <c r="K67" s="44">
        <f t="shared" si="13"/>
        <v>69586</v>
      </c>
      <c r="L67" s="250">
        <f t="shared" si="14"/>
        <v>7.2</v>
      </c>
      <c r="M67" s="27">
        <f>IFERROR(100/'Skjema total MA'!I67*K67,0)</f>
        <v>3.5706922780769261</v>
      </c>
    </row>
    <row r="68" spans="1:14" x14ac:dyDescent="0.2">
      <c r="A68" s="21" t="s">
        <v>10</v>
      </c>
      <c r="B68" s="287"/>
      <c r="C68" s="288"/>
      <c r="D68" s="165"/>
      <c r="E68" s="27"/>
      <c r="F68" s="287">
        <v>844819</v>
      </c>
      <c r="G68" s="287">
        <v>951854</v>
      </c>
      <c r="H68" s="165">
        <f t="shared" si="12"/>
        <v>12.7</v>
      </c>
      <c r="I68" s="27">
        <f>IFERROR(100/'Skjema total MA'!F68*G68,0)</f>
        <v>10.02099942451418</v>
      </c>
      <c r="J68" s="283">
        <f t="shared" si="13"/>
        <v>844819</v>
      </c>
      <c r="K68" s="44">
        <f t="shared" si="13"/>
        <v>951854</v>
      </c>
      <c r="L68" s="250">
        <f t="shared" si="14"/>
        <v>12.7</v>
      </c>
      <c r="M68" s="27">
        <f>IFERROR(100/'Skjema total MA'!I68*K68,0)</f>
        <v>10.010038557082837</v>
      </c>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c r="C75" s="145"/>
      <c r="D75" s="165"/>
      <c r="E75" s="27"/>
      <c r="F75" s="230"/>
      <c r="G75" s="145"/>
      <c r="H75" s="165"/>
      <c r="I75" s="27"/>
      <c r="J75" s="283"/>
      <c r="K75" s="44"/>
      <c r="L75" s="250"/>
      <c r="M75" s="27"/>
      <c r="N75" s="148"/>
    </row>
    <row r="76" spans="1:14" s="3" customFormat="1" x14ac:dyDescent="0.2">
      <c r="A76" s="21" t="s">
        <v>343</v>
      </c>
      <c r="B76" s="230"/>
      <c r="C76" s="145"/>
      <c r="D76" s="165"/>
      <c r="E76" s="27"/>
      <c r="F76" s="230"/>
      <c r="G76" s="145"/>
      <c r="H76" s="165"/>
      <c r="I76" s="27"/>
      <c r="J76" s="283"/>
      <c r="K76" s="44"/>
      <c r="L76" s="250"/>
      <c r="M76" s="27"/>
      <c r="N76" s="148"/>
    </row>
    <row r="77" spans="1:14" ht="15.75" x14ac:dyDescent="0.2">
      <c r="A77" s="21" t="s">
        <v>376</v>
      </c>
      <c r="B77" s="230">
        <v>64765</v>
      </c>
      <c r="C77" s="230">
        <v>69430</v>
      </c>
      <c r="D77" s="165">
        <f t="shared" si="11"/>
        <v>7.2</v>
      </c>
      <c r="E77" s="27">
        <f>IFERROR(100/'Skjema total MA'!C77*C77,0)</f>
        <v>3.7251409463290823</v>
      </c>
      <c r="F77" s="230">
        <v>844819</v>
      </c>
      <c r="G77" s="145">
        <v>951854</v>
      </c>
      <c r="H77" s="165">
        <f t="shared" si="12"/>
        <v>12.7</v>
      </c>
      <c r="I77" s="27">
        <f>IFERROR(100/'Skjema total MA'!F77*G77,0)</f>
        <v>10.024842237868208</v>
      </c>
      <c r="J77" s="283">
        <f t="shared" si="13"/>
        <v>909584</v>
      </c>
      <c r="K77" s="44">
        <f t="shared" si="13"/>
        <v>1021284</v>
      </c>
      <c r="L77" s="250">
        <f t="shared" si="14"/>
        <v>12.3</v>
      </c>
      <c r="M77" s="27">
        <f>IFERROR(100/'Skjema total MA'!I77*K77,0)</f>
        <v>8.9911460018410683</v>
      </c>
    </row>
    <row r="78" spans="1:14" x14ac:dyDescent="0.2">
      <c r="A78" s="21" t="s">
        <v>9</v>
      </c>
      <c r="B78" s="230">
        <v>64765</v>
      </c>
      <c r="C78" s="145">
        <v>69430</v>
      </c>
      <c r="D78" s="165">
        <f t="shared" si="11"/>
        <v>7.2</v>
      </c>
      <c r="E78" s="27">
        <f>IFERROR(100/'Skjema total MA'!C78*C78,0)</f>
        <v>3.7439569765597107</v>
      </c>
      <c r="F78" s="230"/>
      <c r="G78" s="145"/>
      <c r="H78" s="165"/>
      <c r="I78" s="27"/>
      <c r="J78" s="283">
        <f t="shared" si="13"/>
        <v>64765</v>
      </c>
      <c r="K78" s="44">
        <f t="shared" si="13"/>
        <v>69430</v>
      </c>
      <c r="L78" s="250">
        <f t="shared" si="14"/>
        <v>7.2</v>
      </c>
      <c r="M78" s="27">
        <f>IFERROR(100/'Skjema total MA'!I78*K78,0)</f>
        <v>3.7439569765597107</v>
      </c>
    </row>
    <row r="79" spans="1:14" x14ac:dyDescent="0.2">
      <c r="A79" s="38" t="s">
        <v>413</v>
      </c>
      <c r="B79" s="287"/>
      <c r="C79" s="288"/>
      <c r="D79" s="165"/>
      <c r="E79" s="27"/>
      <c r="F79" s="287">
        <v>844819</v>
      </c>
      <c r="G79" s="288">
        <v>951854</v>
      </c>
      <c r="H79" s="165">
        <f t="shared" si="12"/>
        <v>12.7</v>
      </c>
      <c r="I79" s="27">
        <f>IFERROR(100/'Skjema total MA'!F79*G79,0)</f>
        <v>10.024842237868208</v>
      </c>
      <c r="J79" s="283">
        <f t="shared" si="13"/>
        <v>844819</v>
      </c>
      <c r="K79" s="44">
        <f t="shared" si="13"/>
        <v>951854</v>
      </c>
      <c r="L79" s="250">
        <f t="shared" si="14"/>
        <v>12.7</v>
      </c>
      <c r="M79" s="27">
        <f>IFERROR(100/'Skjema total MA'!I79*K79,0)</f>
        <v>10.014962210881608</v>
      </c>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v>176</v>
      </c>
      <c r="C86" s="145">
        <v>156</v>
      </c>
      <c r="D86" s="165">
        <f t="shared" si="11"/>
        <v>-11.4</v>
      </c>
      <c r="E86" s="27">
        <f>IFERROR(100/'Skjema total MA'!C86*C86,0)</f>
        <v>0.16354164786199801</v>
      </c>
      <c r="F86" s="230"/>
      <c r="G86" s="145"/>
      <c r="H86" s="165"/>
      <c r="I86" s="27"/>
      <c r="J86" s="283">
        <f t="shared" si="13"/>
        <v>176</v>
      </c>
      <c r="K86" s="44">
        <f t="shared" si="13"/>
        <v>156</v>
      </c>
      <c r="L86" s="250">
        <f t="shared" si="14"/>
        <v>-11.4</v>
      </c>
      <c r="M86" s="27">
        <f>IFERROR(100/'Skjema total MA'!I86*K86,0)</f>
        <v>0.15752860573160246</v>
      </c>
    </row>
    <row r="87" spans="1:13" ht="15.75" x14ac:dyDescent="0.2">
      <c r="A87" s="13" t="s">
        <v>359</v>
      </c>
      <c r="B87" s="343">
        <v>5458430</v>
      </c>
      <c r="C87" s="343">
        <v>5672358</v>
      </c>
      <c r="D87" s="170">
        <f t="shared" si="11"/>
        <v>3.9</v>
      </c>
      <c r="E87" s="11">
        <f>IFERROR(100/'Skjema total MA'!C87*C87,0)</f>
        <v>1.4021356035906891</v>
      </c>
      <c r="F87" s="342">
        <v>33746854</v>
      </c>
      <c r="G87" s="342">
        <v>40029633</v>
      </c>
      <c r="H87" s="170">
        <f t="shared" si="12"/>
        <v>18.600000000000001</v>
      </c>
      <c r="I87" s="11">
        <f>IFERROR(100/'Skjema total MA'!F87*G87,0)</f>
        <v>9.0335804383014633</v>
      </c>
      <c r="J87" s="302">
        <f t="shared" ref="J87:K111" si="15">SUM(B87,F87)</f>
        <v>39205284</v>
      </c>
      <c r="K87" s="232">
        <f t="shared" si="15"/>
        <v>45701991</v>
      </c>
      <c r="L87" s="414">
        <f t="shared" si="14"/>
        <v>16.600000000000001</v>
      </c>
      <c r="M87" s="11">
        <f>IFERROR(100/'Skjema total MA'!I87*K87,0)</f>
        <v>5.3914732703488495</v>
      </c>
    </row>
    <row r="88" spans="1:13" x14ac:dyDescent="0.2">
      <c r="A88" s="21" t="s">
        <v>9</v>
      </c>
      <c r="B88" s="230">
        <v>5458430</v>
      </c>
      <c r="C88" s="145">
        <v>5672358</v>
      </c>
      <c r="D88" s="165">
        <f t="shared" si="11"/>
        <v>3.9</v>
      </c>
      <c r="E88" s="27">
        <f>IFERROR(100/'Skjema total MA'!C88*C88,0)</f>
        <v>1.4534337057783693</v>
      </c>
      <c r="F88" s="230"/>
      <c r="G88" s="145"/>
      <c r="H88" s="165"/>
      <c r="I88" s="27"/>
      <c r="J88" s="283">
        <f t="shared" si="15"/>
        <v>5458430</v>
      </c>
      <c r="K88" s="44">
        <f t="shared" si="15"/>
        <v>5672358</v>
      </c>
      <c r="L88" s="250">
        <f t="shared" si="14"/>
        <v>3.9</v>
      </c>
      <c r="M88" s="27">
        <f>IFERROR(100/'Skjema total MA'!I88*K88,0)</f>
        <v>1.4534337057783693</v>
      </c>
    </row>
    <row r="89" spans="1:13" x14ac:dyDescent="0.2">
      <c r="A89" s="21" t="s">
        <v>10</v>
      </c>
      <c r="B89" s="230"/>
      <c r="C89" s="145"/>
      <c r="D89" s="165"/>
      <c r="E89" s="27"/>
      <c r="F89" s="230">
        <v>33746854</v>
      </c>
      <c r="G89" s="145">
        <v>40029633</v>
      </c>
      <c r="H89" s="165">
        <f t="shared" si="12"/>
        <v>18.600000000000001</v>
      </c>
      <c r="I89" s="27">
        <f>IFERROR(100/'Skjema total MA'!F89*G89,0)</f>
        <v>9.1361391370115577</v>
      </c>
      <c r="J89" s="283">
        <f t="shared" si="15"/>
        <v>33746854</v>
      </c>
      <c r="K89" s="44">
        <f t="shared" si="15"/>
        <v>40029633</v>
      </c>
      <c r="L89" s="250">
        <f t="shared" si="14"/>
        <v>18.600000000000001</v>
      </c>
      <c r="M89" s="27">
        <f>IFERROR(100/'Skjema total MA'!I89*K89,0)</f>
        <v>9.0707181461690762</v>
      </c>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c r="C97" s="145"/>
      <c r="D97" s="165"/>
      <c r="E97" s="27"/>
      <c r="F97" s="230"/>
      <c r="G97" s="145"/>
      <c r="H97" s="165"/>
      <c r="I97" s="27"/>
      <c r="J97" s="283"/>
      <c r="K97" s="44"/>
      <c r="L97" s="250"/>
      <c r="M97" s="27"/>
    </row>
    <row r="98" spans="1:13" ht="15.75" x14ac:dyDescent="0.2">
      <c r="A98" s="21" t="s">
        <v>376</v>
      </c>
      <c r="B98" s="230">
        <v>5456756</v>
      </c>
      <c r="C98" s="230">
        <v>5670289</v>
      </c>
      <c r="D98" s="165">
        <f t="shared" si="11"/>
        <v>3.9</v>
      </c>
      <c r="E98" s="27">
        <f>IFERROR(100/'Skjema total MA'!C98*C98,0)</f>
        <v>1.4578775513209334</v>
      </c>
      <c r="F98" s="287">
        <v>33746854</v>
      </c>
      <c r="G98" s="287">
        <v>40029633</v>
      </c>
      <c r="H98" s="165">
        <f t="shared" si="12"/>
        <v>18.600000000000001</v>
      </c>
      <c r="I98" s="27">
        <f>IFERROR(100/'Skjema total MA'!F98*G98,0)</f>
        <v>9.1543900581636457</v>
      </c>
      <c r="J98" s="283">
        <f t="shared" si="15"/>
        <v>39203610</v>
      </c>
      <c r="K98" s="44">
        <f t="shared" si="15"/>
        <v>45699922</v>
      </c>
      <c r="L98" s="250">
        <f t="shared" si="14"/>
        <v>16.600000000000001</v>
      </c>
      <c r="M98" s="27">
        <f>IFERROR(100/'Skjema total MA'!I98*K98,0)</f>
        <v>5.5312458079538382</v>
      </c>
    </row>
    <row r="99" spans="1:13" x14ac:dyDescent="0.2">
      <c r="A99" s="21" t="s">
        <v>9</v>
      </c>
      <c r="B99" s="287">
        <v>5456756</v>
      </c>
      <c r="C99" s="288">
        <v>5670289</v>
      </c>
      <c r="D99" s="165">
        <f t="shared" si="11"/>
        <v>3.9</v>
      </c>
      <c r="E99" s="27">
        <f>IFERROR(100/'Skjema total MA'!C99*C99,0)</f>
        <v>1.4698194724809714</v>
      </c>
      <c r="F99" s="230"/>
      <c r="G99" s="145"/>
      <c r="H99" s="165"/>
      <c r="I99" s="27"/>
      <c r="J99" s="283">
        <f t="shared" si="15"/>
        <v>5456756</v>
      </c>
      <c r="K99" s="44">
        <f t="shared" si="15"/>
        <v>5670289</v>
      </c>
      <c r="L99" s="250">
        <f t="shared" si="14"/>
        <v>3.9</v>
      </c>
      <c r="M99" s="27">
        <f>IFERROR(100/'Skjema total MA'!I99*K99,0)</f>
        <v>1.4698194724809714</v>
      </c>
    </row>
    <row r="100" spans="1:13" x14ac:dyDescent="0.2">
      <c r="A100" s="38" t="s">
        <v>413</v>
      </c>
      <c r="B100" s="287"/>
      <c r="C100" s="288"/>
      <c r="D100" s="165"/>
      <c r="E100" s="27"/>
      <c r="F100" s="230">
        <v>33746854</v>
      </c>
      <c r="G100" s="230">
        <v>40029633</v>
      </c>
      <c r="H100" s="165">
        <f t="shared" si="12"/>
        <v>18.600000000000001</v>
      </c>
      <c r="I100" s="27">
        <f>IFERROR(100/'Skjema total MA'!F100*G100,0)</f>
        <v>9.1543900581636457</v>
      </c>
      <c r="J100" s="283">
        <f t="shared" si="15"/>
        <v>33746854</v>
      </c>
      <c r="K100" s="44">
        <f t="shared" si="15"/>
        <v>40029633</v>
      </c>
      <c r="L100" s="250">
        <f t="shared" si="14"/>
        <v>18.600000000000001</v>
      </c>
      <c r="M100" s="27">
        <f>IFERROR(100/'Skjema total MA'!I100*K100,0)</f>
        <v>9.0887083677003293</v>
      </c>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v>1674</v>
      </c>
      <c r="C107" s="145">
        <v>2069</v>
      </c>
      <c r="D107" s="165">
        <f t="shared" si="11"/>
        <v>23.6</v>
      </c>
      <c r="E107" s="27">
        <f>IFERROR(100/'Skjema total MA'!C107*C107,0)</f>
        <v>4.6063904299032378E-2</v>
      </c>
      <c r="F107" s="230"/>
      <c r="G107" s="145"/>
      <c r="H107" s="165"/>
      <c r="I107" s="27"/>
      <c r="J107" s="283">
        <f t="shared" si="15"/>
        <v>1674</v>
      </c>
      <c r="K107" s="44">
        <f t="shared" si="15"/>
        <v>2069</v>
      </c>
      <c r="L107" s="250">
        <f t="shared" si="14"/>
        <v>23.6</v>
      </c>
      <c r="M107" s="27">
        <f>IFERROR(100/'Skjema total MA'!I107*K107,0)</f>
        <v>3.8563987196070244E-2</v>
      </c>
    </row>
    <row r="108" spans="1:13" ht="15.75" x14ac:dyDescent="0.2">
      <c r="A108" s="21" t="s">
        <v>378</v>
      </c>
      <c r="B108" s="230">
        <v>4167938</v>
      </c>
      <c r="C108" s="230">
        <v>4212330</v>
      </c>
      <c r="D108" s="165">
        <f t="shared" si="11"/>
        <v>1.1000000000000001</v>
      </c>
      <c r="E108" s="27">
        <f>IFERROR(100/'Skjema total MA'!C108*C108,0)</f>
        <v>1.2569683553081556</v>
      </c>
      <c r="F108" s="230"/>
      <c r="G108" s="230"/>
      <c r="H108" s="165"/>
      <c r="I108" s="27"/>
      <c r="J108" s="283">
        <f t="shared" si="15"/>
        <v>4167938</v>
      </c>
      <c r="K108" s="44">
        <f t="shared" si="15"/>
        <v>4212330</v>
      </c>
      <c r="L108" s="250">
        <f t="shared" si="14"/>
        <v>1.1000000000000001</v>
      </c>
      <c r="M108" s="27">
        <f>IFERROR(100/'Skjema total MA'!I108*K108,0)</f>
        <v>1.1849034014146349</v>
      </c>
    </row>
    <row r="109" spans="1:13" ht="15.6" customHeight="1" x14ac:dyDescent="0.2">
      <c r="A109" s="21" t="s">
        <v>430</v>
      </c>
      <c r="B109" s="230"/>
      <c r="C109" s="230"/>
      <c r="D109" s="165"/>
      <c r="E109" s="27"/>
      <c r="F109" s="230">
        <v>12282234</v>
      </c>
      <c r="G109" s="230">
        <v>16490061</v>
      </c>
      <c r="H109" s="165">
        <f t="shared" si="12"/>
        <v>34.299999999999997</v>
      </c>
      <c r="I109" s="27">
        <f>IFERROR(100/'Skjema total MA'!F109*G109,0)</f>
        <v>10.647772709541721</v>
      </c>
      <c r="J109" s="283">
        <f t="shared" si="15"/>
        <v>12282234</v>
      </c>
      <c r="K109" s="44">
        <f t="shared" si="15"/>
        <v>16490061</v>
      </c>
      <c r="L109" s="250">
        <f t="shared" si="14"/>
        <v>34.299999999999997</v>
      </c>
      <c r="M109" s="27">
        <f>IFERROR(100/'Skjema total MA'!I109*K109,0)</f>
        <v>10.522692607119167</v>
      </c>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v>32962</v>
      </c>
      <c r="C111" s="158">
        <v>41118</v>
      </c>
      <c r="D111" s="170">
        <f t="shared" si="11"/>
        <v>24.7</v>
      </c>
      <c r="E111" s="11">
        <f>IFERROR(100/'Skjema total MA'!C111*C111,0)</f>
        <v>11.939299303010442</v>
      </c>
      <c r="F111" s="301">
        <v>1159234</v>
      </c>
      <c r="G111" s="158">
        <v>1666153</v>
      </c>
      <c r="H111" s="170">
        <f t="shared" si="12"/>
        <v>43.7</v>
      </c>
      <c r="I111" s="11">
        <f>IFERROR(100/'Skjema total MA'!F111*G111,0)</f>
        <v>14.734335917755963</v>
      </c>
      <c r="J111" s="302">
        <f t="shared" si="15"/>
        <v>1192196</v>
      </c>
      <c r="K111" s="232">
        <f t="shared" si="15"/>
        <v>1707271</v>
      </c>
      <c r="L111" s="414">
        <f t="shared" si="14"/>
        <v>43.2</v>
      </c>
      <c r="M111" s="11">
        <f>IFERROR(100/'Skjema total MA'!I111*K111,0)</f>
        <v>14.651726987481025</v>
      </c>
    </row>
    <row r="112" spans="1:13" x14ac:dyDescent="0.2">
      <c r="A112" s="21" t="s">
        <v>9</v>
      </c>
      <c r="B112" s="230">
        <v>32962</v>
      </c>
      <c r="C112" s="145">
        <v>41118</v>
      </c>
      <c r="D112" s="165">
        <f t="shared" ref="D112:D120" si="16">IF(B112=0, "    ---- ", IF(ABS(ROUND(100/B112*C112-100,1))&lt;999,ROUND(100/B112*C112-100,1),IF(ROUND(100/B112*C112-100,1)&gt;999,999,-999)))</f>
        <v>24.7</v>
      </c>
      <c r="E112" s="27">
        <f>IFERROR(100/'Skjema total MA'!C112*C112,0)</f>
        <v>27.531280629702611</v>
      </c>
      <c r="F112" s="230"/>
      <c r="G112" s="145"/>
      <c r="H112" s="165"/>
      <c r="I112" s="27"/>
      <c r="J112" s="283">
        <f t="shared" ref="J112:K125" si="17">SUM(B112,F112)</f>
        <v>32962</v>
      </c>
      <c r="K112" s="44">
        <f t="shared" si="17"/>
        <v>41118</v>
      </c>
      <c r="L112" s="250">
        <f t="shared" ref="L112:L125" si="18">IF(J112=0, "    ---- ", IF(ABS(ROUND(100/J112*K112-100,1))&lt;999,ROUND(100/J112*K112-100,1),IF(ROUND(100/J112*K112-100,1)&gt;999,999,-999)))</f>
        <v>24.7</v>
      </c>
      <c r="M112" s="27">
        <f>IFERROR(100/'Skjema total MA'!I112*K112,0)</f>
        <v>27.49833273702351</v>
      </c>
    </row>
    <row r="113" spans="1:14" x14ac:dyDescent="0.2">
      <c r="A113" s="21" t="s">
        <v>10</v>
      </c>
      <c r="B113" s="230"/>
      <c r="C113" s="145"/>
      <c r="D113" s="165"/>
      <c r="E113" s="27"/>
      <c r="F113" s="230">
        <v>1159234</v>
      </c>
      <c r="G113" s="145">
        <v>1666153</v>
      </c>
      <c r="H113" s="165">
        <f t="shared" ref="H113:H125" si="19">IF(F113=0, "    ---- ", IF(ABS(ROUND(100/F113*G113-100,1))&lt;999,ROUND(100/F113*G113-100,1),IF(ROUND(100/F113*G113-100,1)&gt;999,999,-999)))</f>
        <v>43.7</v>
      </c>
      <c r="I113" s="27">
        <f>IFERROR(100/'Skjema total MA'!F113*G113,0)</f>
        <v>14.734569091676994</v>
      </c>
      <c r="J113" s="283">
        <f t="shared" si="17"/>
        <v>1159234</v>
      </c>
      <c r="K113" s="44">
        <f t="shared" si="17"/>
        <v>1666153</v>
      </c>
      <c r="L113" s="250">
        <f t="shared" si="18"/>
        <v>43.7</v>
      </c>
      <c r="M113" s="27">
        <f>IFERROR(100/'Skjema total MA'!I113*K113,0)</f>
        <v>14.734569091676994</v>
      </c>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v>22897</v>
      </c>
      <c r="C116" s="230">
        <v>10838</v>
      </c>
      <c r="D116" s="165">
        <f t="shared" si="16"/>
        <v>-52.7</v>
      </c>
      <c r="E116" s="27">
        <f>IFERROR(100/'Skjema total MA'!C116*C116,0)</f>
        <v>25.000974133730111</v>
      </c>
      <c r="F116" s="230"/>
      <c r="G116" s="230"/>
      <c r="H116" s="165"/>
      <c r="I116" s="27"/>
      <c r="J116" s="283">
        <f t="shared" si="17"/>
        <v>22897</v>
      </c>
      <c r="K116" s="44">
        <f t="shared" si="17"/>
        <v>10838</v>
      </c>
      <c r="L116" s="250">
        <f t="shared" si="18"/>
        <v>-52.7</v>
      </c>
      <c r="M116" s="27">
        <f>IFERROR(100/'Skjema total MA'!I116*K116,0)</f>
        <v>24.8981955788338</v>
      </c>
    </row>
    <row r="117" spans="1:14" ht="15.6" customHeight="1" x14ac:dyDescent="0.2">
      <c r="A117" s="21" t="s">
        <v>430</v>
      </c>
      <c r="B117" s="230"/>
      <c r="C117" s="230"/>
      <c r="D117" s="165"/>
      <c r="E117" s="27"/>
      <c r="F117" s="230">
        <v>72970</v>
      </c>
      <c r="G117" s="230">
        <v>684780</v>
      </c>
      <c r="H117" s="165">
        <f t="shared" si="19"/>
        <v>838.4</v>
      </c>
      <c r="I117" s="27">
        <f>IFERROR(100/'Skjema total MA'!F117*G117,0)</f>
        <v>11.899748391106598</v>
      </c>
      <c r="J117" s="283">
        <f t="shared" si="17"/>
        <v>72970</v>
      </c>
      <c r="K117" s="44">
        <f t="shared" si="17"/>
        <v>684780</v>
      </c>
      <c r="L117" s="250">
        <f t="shared" si="18"/>
        <v>838.4</v>
      </c>
      <c r="M117" s="27">
        <f>IFERROR(100/'Skjema total MA'!I117*K117,0)</f>
        <v>11.899748391106598</v>
      </c>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v>26488</v>
      </c>
      <c r="C119" s="158">
        <v>16638</v>
      </c>
      <c r="D119" s="170">
        <f t="shared" si="16"/>
        <v>-37.200000000000003</v>
      </c>
      <c r="E119" s="11">
        <f>IFERROR(100/'Skjema total MA'!C119*C119,0)</f>
        <v>4.6799235054638659</v>
      </c>
      <c r="F119" s="301">
        <v>1400020</v>
      </c>
      <c r="G119" s="158">
        <v>1210816</v>
      </c>
      <c r="H119" s="170">
        <f t="shared" si="19"/>
        <v>-13.5</v>
      </c>
      <c r="I119" s="11">
        <f>IFERROR(100/'Skjema total MA'!F119*G119,0)</f>
        <v>9.9885473476523234</v>
      </c>
      <c r="J119" s="302">
        <f t="shared" si="17"/>
        <v>1426508</v>
      </c>
      <c r="K119" s="232">
        <f t="shared" si="17"/>
        <v>1227454</v>
      </c>
      <c r="L119" s="414">
        <f t="shared" si="18"/>
        <v>-14</v>
      </c>
      <c r="M119" s="11">
        <f>IFERROR(100/'Skjema total MA'!I119*K119,0)</f>
        <v>9.8372906561642957</v>
      </c>
    </row>
    <row r="120" spans="1:14" x14ac:dyDescent="0.2">
      <c r="A120" s="21" t="s">
        <v>9</v>
      </c>
      <c r="B120" s="230">
        <v>26488</v>
      </c>
      <c r="C120" s="145">
        <v>16638</v>
      </c>
      <c r="D120" s="165">
        <f t="shared" si="16"/>
        <v>-37.200000000000003</v>
      </c>
      <c r="E120" s="27">
        <f>IFERROR(100/'Skjema total MA'!C120*C120,0)</f>
        <v>19.182317854785882</v>
      </c>
      <c r="F120" s="230"/>
      <c r="G120" s="145"/>
      <c r="H120" s="165"/>
      <c r="I120" s="27"/>
      <c r="J120" s="283">
        <f t="shared" si="17"/>
        <v>26488</v>
      </c>
      <c r="K120" s="44">
        <f t="shared" si="17"/>
        <v>16638</v>
      </c>
      <c r="L120" s="250">
        <f t="shared" si="18"/>
        <v>-37.200000000000003</v>
      </c>
      <c r="M120" s="27">
        <f>IFERROR(100/'Skjema total MA'!I120*K120,0)</f>
        <v>19.182317854785882</v>
      </c>
    </row>
    <row r="121" spans="1:14" x14ac:dyDescent="0.2">
      <c r="A121" s="21" t="s">
        <v>10</v>
      </c>
      <c r="B121" s="230"/>
      <c r="C121" s="145"/>
      <c r="D121" s="165"/>
      <c r="E121" s="27"/>
      <c r="F121" s="230">
        <v>1400020</v>
      </c>
      <c r="G121" s="145">
        <v>1210816</v>
      </c>
      <c r="H121" s="165">
        <f t="shared" si="19"/>
        <v>-13.5</v>
      </c>
      <c r="I121" s="27">
        <f>IFERROR(100/'Skjema total MA'!F121*G121,0)</f>
        <v>9.9885473476523234</v>
      </c>
      <c r="J121" s="283">
        <f t="shared" si="17"/>
        <v>1400020</v>
      </c>
      <c r="K121" s="44">
        <f t="shared" si="17"/>
        <v>1210816</v>
      </c>
      <c r="L121" s="250">
        <f t="shared" si="18"/>
        <v>-13.5</v>
      </c>
      <c r="M121" s="27">
        <f>IFERROR(100/'Skjema total MA'!I121*K121,0)</f>
        <v>9.9843331222673104</v>
      </c>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c r="C125" s="230"/>
      <c r="D125" s="165"/>
      <c r="E125" s="27"/>
      <c r="F125" s="230">
        <v>83454</v>
      </c>
      <c r="G125" s="230">
        <v>628651</v>
      </c>
      <c r="H125" s="165">
        <f t="shared" si="19"/>
        <v>653.29999999999995</v>
      </c>
      <c r="I125" s="27">
        <f>IFERROR(100/'Skjema total MA'!F125*G125,0)</f>
        <v>11.060108001160376</v>
      </c>
      <c r="J125" s="283">
        <f t="shared" si="17"/>
        <v>83454</v>
      </c>
      <c r="K125" s="44">
        <f t="shared" si="17"/>
        <v>628651</v>
      </c>
      <c r="L125" s="250">
        <f t="shared" si="18"/>
        <v>653.29999999999995</v>
      </c>
      <c r="M125" s="27">
        <f>IFERROR(100/'Skjema total MA'!I125*K125,0)</f>
        <v>11.060076137800445</v>
      </c>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292"/>
      <c r="F130" s="724"/>
      <c r="G130" s="724"/>
      <c r="H130" s="724"/>
      <c r="I130" s="292"/>
      <c r="J130" s="724"/>
      <c r="K130" s="724"/>
      <c r="L130" s="724"/>
      <c r="M130" s="292"/>
    </row>
    <row r="131" spans="1:14" s="3" customFormat="1" x14ac:dyDescent="0.2">
      <c r="A131" s="144"/>
      <c r="B131" s="725" t="s">
        <v>0</v>
      </c>
      <c r="C131" s="726"/>
      <c r="D131" s="726"/>
      <c r="E131" s="294"/>
      <c r="F131" s="725" t="s">
        <v>1</v>
      </c>
      <c r="G131" s="726"/>
      <c r="H131" s="726"/>
      <c r="I131" s="297"/>
      <c r="J131" s="725" t="s">
        <v>2</v>
      </c>
      <c r="K131" s="726"/>
      <c r="L131" s="726"/>
      <c r="M131" s="297"/>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c r="C134" s="302"/>
      <c r="D134" s="340"/>
      <c r="E134" s="11"/>
      <c r="F134" s="309"/>
      <c r="G134" s="310"/>
      <c r="H134" s="417"/>
      <c r="I134" s="24"/>
      <c r="J134" s="311"/>
      <c r="K134" s="311"/>
      <c r="L134" s="413"/>
      <c r="M134" s="11"/>
      <c r="N134" s="148"/>
    </row>
    <row r="135" spans="1:14" s="3" customFormat="1" ht="15.75" x14ac:dyDescent="0.2">
      <c r="A135" s="13" t="s">
        <v>386</v>
      </c>
      <c r="B135" s="232"/>
      <c r="C135" s="302"/>
      <c r="D135" s="170"/>
      <c r="E135" s="11"/>
      <c r="F135" s="232"/>
      <c r="G135" s="302"/>
      <c r="H135" s="418"/>
      <c r="I135" s="24"/>
      <c r="J135" s="301"/>
      <c r="K135" s="301"/>
      <c r="L135" s="414"/>
      <c r="M135" s="11"/>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56" priority="13">
      <formula>kvartal &lt; 4</formula>
    </cfRule>
  </conditionalFormatting>
  <conditionalFormatting sqref="A69:A74">
    <cfRule type="expression" dxfId="355" priority="11">
      <formula>kvartal &lt; 4</formula>
    </cfRule>
  </conditionalFormatting>
  <conditionalFormatting sqref="A80:A85">
    <cfRule type="expression" dxfId="354" priority="10">
      <formula>kvartal &lt; 4</formula>
    </cfRule>
  </conditionalFormatting>
  <conditionalFormatting sqref="A90:A95">
    <cfRule type="expression" dxfId="353" priority="7">
      <formula>kvartal &lt; 4</formula>
    </cfRule>
  </conditionalFormatting>
  <conditionalFormatting sqref="A101:A106">
    <cfRule type="expression" dxfId="352" priority="6">
      <formula>kvartal &lt; 4</formula>
    </cfRule>
  </conditionalFormatting>
  <conditionalFormatting sqref="A115">
    <cfRule type="expression" dxfId="351" priority="5">
      <formula>kvartal &lt; 4</formula>
    </cfRule>
  </conditionalFormatting>
  <conditionalFormatting sqref="A123">
    <cfRule type="expression" dxfId="350" priority="4">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N144"/>
  <sheetViews>
    <sheetView showGridLines="0" topLeftCell="A19"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244" t="s">
        <v>90</v>
      </c>
      <c r="D1" s="26"/>
      <c r="E1" s="26"/>
      <c r="F1" s="26"/>
      <c r="G1" s="26"/>
      <c r="H1" s="26"/>
      <c r="I1" s="26"/>
      <c r="J1" s="26"/>
      <c r="K1" s="26"/>
      <c r="L1" s="26"/>
      <c r="M1" s="26"/>
    </row>
    <row r="2" spans="1:14" ht="15.75" x14ac:dyDescent="0.25">
      <c r="A2" s="164" t="s">
        <v>28</v>
      </c>
      <c r="B2" s="729"/>
      <c r="C2" s="729"/>
      <c r="D2" s="729"/>
      <c r="E2" s="292"/>
      <c r="F2" s="729"/>
      <c r="G2" s="729"/>
      <c r="H2" s="729"/>
      <c r="I2" s="292"/>
      <c r="J2" s="729"/>
      <c r="K2" s="729"/>
      <c r="L2" s="729"/>
      <c r="M2" s="292"/>
    </row>
    <row r="3" spans="1:14" ht="15.75" x14ac:dyDescent="0.25">
      <c r="A3" s="162"/>
      <c r="B3" s="292"/>
      <c r="C3" s="292"/>
      <c r="D3" s="292"/>
      <c r="E3" s="292"/>
      <c r="F3" s="292"/>
      <c r="G3" s="292"/>
      <c r="H3" s="292"/>
      <c r="I3" s="292"/>
      <c r="J3" s="292"/>
      <c r="K3" s="292"/>
      <c r="L3" s="292"/>
      <c r="M3" s="292"/>
    </row>
    <row r="4" spans="1:14" x14ac:dyDescent="0.2">
      <c r="A4" s="144"/>
      <c r="B4" s="725" t="s">
        <v>0</v>
      </c>
      <c r="C4" s="726"/>
      <c r="D4" s="726"/>
      <c r="E4" s="294"/>
      <c r="F4" s="725" t="s">
        <v>1</v>
      </c>
      <c r="G4" s="726"/>
      <c r="H4" s="726"/>
      <c r="I4" s="297"/>
      <c r="J4" s="725" t="s">
        <v>2</v>
      </c>
      <c r="K4" s="726"/>
      <c r="L4" s="726"/>
      <c r="M4" s="297"/>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v>8807.4</v>
      </c>
      <c r="C7" s="300">
        <v>8733.1530000000002</v>
      </c>
      <c r="D7" s="340">
        <f>IF(B7=0, "    ---- ", IF(ABS(ROUND(100/B7*C7-100,1))&lt;999,ROUND(100/B7*C7-100,1),IF(ROUND(100/B7*C7-100,1)&gt;999,999,-999)))</f>
        <v>-0.8</v>
      </c>
      <c r="E7" s="11">
        <f>IFERROR(100/'Skjema total MA'!C7*C7,0)</f>
        <v>0.50375738307479201</v>
      </c>
      <c r="F7" s="299"/>
      <c r="G7" s="300"/>
      <c r="H7" s="340"/>
      <c r="I7" s="159"/>
      <c r="J7" s="301">
        <f t="shared" ref="J7:K10" si="0">SUM(B7,F7)</f>
        <v>8807.4</v>
      </c>
      <c r="K7" s="302">
        <f t="shared" si="0"/>
        <v>8733.1530000000002</v>
      </c>
      <c r="L7" s="413">
        <f>IF(J7=0, "    ---- ", IF(ABS(ROUND(100/J7*K7-100,1))&lt;999,ROUND(100/J7*K7-100,1),IF(ROUND(100/J7*K7-100,1)&gt;999,999,-999)))</f>
        <v>-0.8</v>
      </c>
      <c r="M7" s="11">
        <f>IFERROR(100/'Skjema total MA'!I7*K7,0)</f>
        <v>0.16896474853314067</v>
      </c>
    </row>
    <row r="8" spans="1:14" ht="15.75" x14ac:dyDescent="0.2">
      <c r="A8" s="21" t="s">
        <v>25</v>
      </c>
      <c r="B8" s="277">
        <v>5427.3741215</v>
      </c>
      <c r="C8" s="278">
        <v>6717.7049999999999</v>
      </c>
      <c r="D8" s="165">
        <f t="shared" ref="D8:D10" si="1">IF(B8=0, "    ---- ", IF(ABS(ROUND(100/B8*C8-100,1))&lt;999,ROUND(100/B8*C8-100,1),IF(ROUND(100/B8*C8-100,1)&gt;999,999,-999)))</f>
        <v>23.8</v>
      </c>
      <c r="E8" s="27">
        <f>IFERROR(100/'Skjema total MA'!C8*C8,0)</f>
        <v>0.57762029152973549</v>
      </c>
      <c r="F8" s="281"/>
      <c r="G8" s="282"/>
      <c r="H8" s="165"/>
      <c r="I8" s="174"/>
      <c r="J8" s="230">
        <f t="shared" si="0"/>
        <v>5427.3741215</v>
      </c>
      <c r="K8" s="283">
        <f t="shared" si="0"/>
        <v>6717.7049999999999</v>
      </c>
      <c r="L8" s="165">
        <f t="shared" ref="L8:L9" si="2">IF(J8=0, "    ---- ", IF(ABS(ROUND(100/J8*K8-100,1))&lt;999,ROUND(100/J8*K8-100,1),IF(ROUND(100/J8*K8-100,1)&gt;999,999,-999)))</f>
        <v>23.8</v>
      </c>
      <c r="M8" s="27">
        <f>IFERROR(100/'Skjema total MA'!I8*K8,0)</f>
        <v>0.57762029152973549</v>
      </c>
    </row>
    <row r="9" spans="1:14" ht="15.75" x14ac:dyDescent="0.2">
      <c r="A9" s="21" t="s">
        <v>24</v>
      </c>
      <c r="B9" s="277">
        <v>3249.5685755</v>
      </c>
      <c r="C9" s="278">
        <v>1902.749</v>
      </c>
      <c r="D9" s="165">
        <f t="shared" si="1"/>
        <v>-41.4</v>
      </c>
      <c r="E9" s="27">
        <f>IFERROR(100/'Skjema total MA'!C9*C9,0)</f>
        <v>0.52611095227850102</v>
      </c>
      <c r="F9" s="281"/>
      <c r="G9" s="282"/>
      <c r="H9" s="165"/>
      <c r="I9" s="174"/>
      <c r="J9" s="230">
        <f t="shared" si="0"/>
        <v>3249.5685755</v>
      </c>
      <c r="K9" s="283">
        <f t="shared" si="0"/>
        <v>1902.749</v>
      </c>
      <c r="L9" s="165">
        <f t="shared" si="2"/>
        <v>-41.4</v>
      </c>
      <c r="M9" s="27">
        <f>IFERROR(100/'Skjema total MA'!I9*K9,0)</f>
        <v>0.52611095227850102</v>
      </c>
    </row>
    <row r="10" spans="1:14" ht="15.75" x14ac:dyDescent="0.2">
      <c r="A10" s="13" t="s">
        <v>359</v>
      </c>
      <c r="B10" s="303">
        <v>17270.335999999999</v>
      </c>
      <c r="C10" s="304">
        <v>20952.650000000001</v>
      </c>
      <c r="D10" s="170">
        <f t="shared" si="1"/>
        <v>21.3</v>
      </c>
      <c r="E10" s="11">
        <f>IFERROR(100/'Skjema total MA'!C10*C10,0)</f>
        <v>0.127712548467559</v>
      </c>
      <c r="F10" s="303"/>
      <c r="G10" s="304"/>
      <c r="H10" s="170"/>
      <c r="I10" s="159"/>
      <c r="J10" s="301">
        <f t="shared" si="0"/>
        <v>17270.335999999999</v>
      </c>
      <c r="K10" s="302">
        <f t="shared" si="0"/>
        <v>20952.650000000001</v>
      </c>
      <c r="L10" s="414">
        <f t="shared" ref="L10" si="3">IF(J10=0, "    ---- ", IF(ABS(ROUND(100/J10*K10-100,1))&lt;999,ROUND(100/J10*K10-100,1),IF(ROUND(100/J10*K10-100,1)&gt;999,999,-999)))</f>
        <v>21.3</v>
      </c>
      <c r="M10" s="11">
        <f>IFERROR(100/'Skjema total MA'!I10*K10,0)</f>
        <v>2.29403527625139E-2</v>
      </c>
    </row>
    <row r="11" spans="1:14" s="43" customFormat="1" ht="15.75" x14ac:dyDescent="0.2">
      <c r="A11" s="13" t="s">
        <v>360</v>
      </c>
      <c r="B11" s="303"/>
      <c r="C11" s="304"/>
      <c r="D11" s="170"/>
      <c r="E11" s="11"/>
      <c r="F11" s="303"/>
      <c r="G11" s="304"/>
      <c r="H11" s="170"/>
      <c r="I11" s="159"/>
      <c r="J11" s="301"/>
      <c r="K11" s="302"/>
      <c r="L11" s="414"/>
      <c r="M11" s="11"/>
      <c r="N11" s="143"/>
    </row>
    <row r="12" spans="1:14" s="43" customFormat="1" ht="15.75" x14ac:dyDescent="0.2">
      <c r="A12" s="41" t="s">
        <v>361</v>
      </c>
      <c r="B12" s="305"/>
      <c r="C12" s="306"/>
      <c r="D12" s="168"/>
      <c r="E12" s="36"/>
      <c r="F12" s="305"/>
      <c r="G12" s="306"/>
      <c r="H12" s="168"/>
      <c r="I12" s="168"/>
      <c r="J12" s="307"/>
      <c r="K12" s="308"/>
      <c r="L12" s="415"/>
      <c r="M12" s="36"/>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292"/>
      <c r="F18" s="724"/>
      <c r="G18" s="724"/>
      <c r="H18" s="724"/>
      <c r="I18" s="292"/>
      <c r="J18" s="724"/>
      <c r="K18" s="724"/>
      <c r="L18" s="724"/>
      <c r="M18" s="292"/>
    </row>
    <row r="19" spans="1:14" x14ac:dyDescent="0.2">
      <c r="A19" s="144"/>
      <c r="B19" s="725" t="s">
        <v>0</v>
      </c>
      <c r="C19" s="726"/>
      <c r="D19" s="726"/>
      <c r="E19" s="294"/>
      <c r="F19" s="725" t="s">
        <v>1</v>
      </c>
      <c r="G19" s="726"/>
      <c r="H19" s="726"/>
      <c r="I19" s="297"/>
      <c r="J19" s="725" t="s">
        <v>2</v>
      </c>
      <c r="K19" s="726"/>
      <c r="L19" s="726"/>
      <c r="M19" s="297"/>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303">
        <v>32.815759999999997</v>
      </c>
      <c r="C22" s="303">
        <v>31.366</v>
      </c>
      <c r="D22" s="340">
        <f t="shared" ref="D22:D31" si="4">IF(B22=0, "    ---- ", IF(ABS(ROUND(100/B22*C22-100,1))&lt;999,ROUND(100/B22*C22-100,1),IF(ROUND(100/B22*C22-100,1)&gt;999,999,-999)))</f>
        <v>-4.4000000000000004</v>
      </c>
      <c r="E22" s="11">
        <f>IFERROR(100/'Skjema total MA'!C22*C22,0)</f>
        <v>4.1209208916567494E-3</v>
      </c>
      <c r="F22" s="311"/>
      <c r="G22" s="311"/>
      <c r="H22" s="340"/>
      <c r="I22" s="11"/>
      <c r="J22" s="309">
        <f t="shared" ref="J22:K29" si="5">SUM(B22,F22)</f>
        <v>32.815759999999997</v>
      </c>
      <c r="K22" s="309">
        <f t="shared" si="5"/>
        <v>31.366</v>
      </c>
      <c r="L22" s="413">
        <f t="shared" ref="L22:L31" si="6">IF(J22=0, "    ---- ", IF(ABS(ROUND(100/J22*K22-100,1))&lt;999,ROUND(100/J22*K22-100,1),IF(ROUND(100/J22*K22-100,1)&gt;999,999,-999)))</f>
        <v>-4.4000000000000004</v>
      </c>
      <c r="M22" s="24">
        <f>IFERROR(100/'Skjema total MA'!I22*K22,0)</f>
        <v>3.0319182881840489E-3</v>
      </c>
    </row>
    <row r="23" spans="1:14" ht="15.75" x14ac:dyDescent="0.2">
      <c r="A23" s="555" t="s">
        <v>362</v>
      </c>
      <c r="B23" s="277"/>
      <c r="C23" s="277"/>
      <c r="D23" s="165"/>
      <c r="E23" s="11"/>
      <c r="F23" s="286"/>
      <c r="G23" s="286"/>
      <c r="H23" s="165"/>
      <c r="I23" s="403"/>
      <c r="J23" s="286"/>
      <c r="K23" s="286"/>
      <c r="L23" s="165"/>
      <c r="M23" s="23"/>
    </row>
    <row r="24" spans="1:14" ht="15.75" x14ac:dyDescent="0.2">
      <c r="A24" s="555" t="s">
        <v>363</v>
      </c>
      <c r="B24" s="277">
        <v>32.815759999999997</v>
      </c>
      <c r="C24" s="277">
        <v>31.366</v>
      </c>
      <c r="D24" s="165">
        <f t="shared" si="4"/>
        <v>-4.4000000000000004</v>
      </c>
      <c r="E24" s="11">
        <f>IFERROR(100/'Skjema total MA'!C24*C24,0)</f>
        <v>0.6409147283301746</v>
      </c>
      <c r="F24" s="286"/>
      <c r="G24" s="286"/>
      <c r="H24" s="165"/>
      <c r="I24" s="403"/>
      <c r="J24" s="286">
        <f t="shared" ref="J24" si="7">SUM(B24,F24)</f>
        <v>32.815759999999997</v>
      </c>
      <c r="K24" s="286">
        <f t="shared" ref="K24" si="8">SUM(C24,G24)</f>
        <v>31.366</v>
      </c>
      <c r="L24" s="165">
        <f t="shared" si="6"/>
        <v>-4.4000000000000004</v>
      </c>
      <c r="M24" s="23">
        <f>IFERROR(100/'Skjema total MA'!I24*K24,0)</f>
        <v>0.61928607622104737</v>
      </c>
    </row>
    <row r="25" spans="1:14" ht="15.75" x14ac:dyDescent="0.2">
      <c r="A25" s="555" t="s">
        <v>364</v>
      </c>
      <c r="B25" s="277"/>
      <c r="C25" s="277"/>
      <c r="D25" s="165"/>
      <c r="E25" s="11"/>
      <c r="F25" s="286"/>
      <c r="G25" s="286"/>
      <c r="H25" s="165"/>
      <c r="I25" s="403"/>
      <c r="J25" s="286"/>
      <c r="K25" s="286"/>
      <c r="L25" s="165"/>
      <c r="M25" s="23"/>
    </row>
    <row r="26" spans="1:14" ht="15.75" x14ac:dyDescent="0.2">
      <c r="A26" s="555" t="s">
        <v>365</v>
      </c>
      <c r="B26" s="277"/>
      <c r="C26" s="277"/>
      <c r="D26" s="165"/>
      <c r="E26" s="11"/>
      <c r="F26" s="286"/>
      <c r="G26" s="286"/>
      <c r="H26" s="165"/>
      <c r="I26" s="403"/>
      <c r="J26" s="286"/>
      <c r="K26" s="286"/>
      <c r="L26" s="165"/>
      <c r="M26" s="23"/>
    </row>
    <row r="27" spans="1:14" x14ac:dyDescent="0.2">
      <c r="A27" s="555" t="s">
        <v>11</v>
      </c>
      <c r="B27" s="277"/>
      <c r="C27" s="277"/>
      <c r="D27" s="165"/>
      <c r="E27" s="11"/>
      <c r="F27" s="286"/>
      <c r="G27" s="286"/>
      <c r="H27" s="165"/>
      <c r="I27" s="403"/>
      <c r="J27" s="286"/>
      <c r="K27" s="286"/>
      <c r="L27" s="165"/>
      <c r="M27" s="23"/>
    </row>
    <row r="28" spans="1:14" ht="15.75" x14ac:dyDescent="0.2">
      <c r="A28" s="49" t="s">
        <v>270</v>
      </c>
      <c r="B28" s="44"/>
      <c r="C28" s="283"/>
      <c r="D28" s="165"/>
      <c r="E28" s="11"/>
      <c r="F28" s="230"/>
      <c r="G28" s="283"/>
      <c r="H28" s="165"/>
      <c r="I28" s="27"/>
      <c r="J28" s="44"/>
      <c r="K28" s="44"/>
      <c r="L28" s="250"/>
      <c r="M28" s="23"/>
    </row>
    <row r="29" spans="1:14" s="3" customFormat="1" ht="15.75" x14ac:dyDescent="0.2">
      <c r="A29" s="13" t="s">
        <v>359</v>
      </c>
      <c r="B29" s="232">
        <v>1537.039</v>
      </c>
      <c r="C29" s="232">
        <v>1807.9739999999999</v>
      </c>
      <c r="D29" s="170">
        <f t="shared" si="4"/>
        <v>17.600000000000001</v>
      </c>
      <c r="E29" s="11">
        <f>IFERROR(100/'Skjema total MA'!C29*C29,0)</f>
        <v>3.9788347008638909E-3</v>
      </c>
      <c r="F29" s="301"/>
      <c r="G29" s="301"/>
      <c r="H29" s="170"/>
      <c r="I29" s="11"/>
      <c r="J29" s="232">
        <f t="shared" si="5"/>
        <v>1537.039</v>
      </c>
      <c r="K29" s="232">
        <f t="shared" si="5"/>
        <v>1807.9739999999999</v>
      </c>
      <c r="L29" s="414">
        <f t="shared" si="6"/>
        <v>17.600000000000001</v>
      </c>
      <c r="M29" s="24">
        <f>IFERROR(100/'Skjema total MA'!I29*K29,0)</f>
        <v>2.5570051260964633E-3</v>
      </c>
      <c r="N29" s="148"/>
    </row>
    <row r="30" spans="1:14" s="3" customFormat="1" ht="15.75" x14ac:dyDescent="0.2">
      <c r="A30" s="555" t="s">
        <v>362</v>
      </c>
      <c r="B30" s="277"/>
      <c r="C30" s="277"/>
      <c r="D30" s="165"/>
      <c r="E30" s="11"/>
      <c r="F30" s="286"/>
      <c r="G30" s="286"/>
      <c r="H30" s="165"/>
      <c r="I30" s="403"/>
      <c r="J30" s="286"/>
      <c r="K30" s="286"/>
      <c r="L30" s="165"/>
      <c r="M30" s="23"/>
      <c r="N30" s="148"/>
    </row>
    <row r="31" spans="1:14" s="3" customFormat="1" ht="15.75" x14ac:dyDescent="0.2">
      <c r="A31" s="555" t="s">
        <v>363</v>
      </c>
      <c r="B31" s="277">
        <v>1537.039</v>
      </c>
      <c r="C31" s="277">
        <v>1807.9739999999999</v>
      </c>
      <c r="D31" s="165">
        <f t="shared" si="4"/>
        <v>17.600000000000001</v>
      </c>
      <c r="E31" s="11">
        <f>IFERROR(100/'Skjema total MA'!C31*C31,0)</f>
        <v>6.9460403177339187E-3</v>
      </c>
      <c r="F31" s="286"/>
      <c r="G31" s="286"/>
      <c r="H31" s="165"/>
      <c r="I31" s="403"/>
      <c r="J31" s="286">
        <f t="shared" ref="J31" si="9">SUM(B31,F31)</f>
        <v>1537.039</v>
      </c>
      <c r="K31" s="286">
        <f t="shared" ref="K31" si="10">SUM(C31,G31)</f>
        <v>1807.9739999999999</v>
      </c>
      <c r="L31" s="165">
        <f t="shared" si="6"/>
        <v>17.600000000000001</v>
      </c>
      <c r="M31" s="23">
        <f>IFERROR(100/'Skjema total MA'!I31*K31,0)</f>
        <v>5.216166795604371E-3</v>
      </c>
      <c r="N31" s="148"/>
    </row>
    <row r="32" spans="1:14" ht="15.75" x14ac:dyDescent="0.2">
      <c r="A32" s="555" t="s">
        <v>364</v>
      </c>
      <c r="B32" s="277"/>
      <c r="C32" s="277"/>
      <c r="D32" s="165"/>
      <c r="E32" s="11"/>
      <c r="F32" s="286"/>
      <c r="G32" s="286"/>
      <c r="H32" s="165"/>
      <c r="I32" s="403"/>
      <c r="J32" s="286"/>
      <c r="K32" s="286"/>
      <c r="L32" s="165"/>
      <c r="M32" s="23"/>
    </row>
    <row r="33" spans="1:14" ht="15.75" x14ac:dyDescent="0.2">
      <c r="A33" s="555" t="s">
        <v>365</v>
      </c>
      <c r="B33" s="277"/>
      <c r="C33" s="277"/>
      <c r="D33" s="165"/>
      <c r="E33" s="11"/>
      <c r="F33" s="286"/>
      <c r="G33" s="286"/>
      <c r="H33" s="165"/>
      <c r="I33" s="403"/>
      <c r="J33" s="286"/>
      <c r="K33" s="286"/>
      <c r="L33" s="165"/>
      <c r="M33" s="23"/>
    </row>
    <row r="34" spans="1:14" ht="15.75" x14ac:dyDescent="0.2">
      <c r="A34" s="13" t="s">
        <v>360</v>
      </c>
      <c r="B34" s="232"/>
      <c r="C34" s="302"/>
      <c r="D34" s="170"/>
      <c r="E34" s="11"/>
      <c r="F34" s="301"/>
      <c r="G34" s="302"/>
      <c r="H34" s="170"/>
      <c r="I34" s="11"/>
      <c r="J34" s="232"/>
      <c r="K34" s="232"/>
      <c r="L34" s="414"/>
      <c r="M34" s="24"/>
    </row>
    <row r="35" spans="1:14" ht="15.75" x14ac:dyDescent="0.2">
      <c r="A35" s="13" t="s">
        <v>361</v>
      </c>
      <c r="B35" s="232"/>
      <c r="C35" s="302"/>
      <c r="D35" s="170"/>
      <c r="E35" s="11"/>
      <c r="F35" s="301"/>
      <c r="G35" s="302"/>
      <c r="H35" s="170"/>
      <c r="I35" s="11"/>
      <c r="J35" s="232"/>
      <c r="K35" s="232"/>
      <c r="L35" s="414"/>
      <c r="M35" s="24"/>
    </row>
    <row r="36" spans="1:14" ht="15.75" x14ac:dyDescent="0.2">
      <c r="A36" s="12" t="s">
        <v>278</v>
      </c>
      <c r="B36" s="232"/>
      <c r="C36" s="302"/>
      <c r="D36" s="170"/>
      <c r="E36" s="11"/>
      <c r="F36" s="312"/>
      <c r="G36" s="313"/>
      <c r="H36" s="170"/>
      <c r="I36" s="420"/>
      <c r="J36" s="232"/>
      <c r="K36" s="232"/>
      <c r="L36" s="414"/>
      <c r="M36" s="24"/>
    </row>
    <row r="37" spans="1:14" ht="15.75" x14ac:dyDescent="0.2">
      <c r="A37" s="12" t="s">
        <v>367</v>
      </c>
      <c r="B37" s="232"/>
      <c r="C37" s="302"/>
      <c r="D37" s="170"/>
      <c r="E37" s="11"/>
      <c r="F37" s="312"/>
      <c r="G37" s="314"/>
      <c r="H37" s="170"/>
      <c r="I37" s="420"/>
      <c r="J37" s="232"/>
      <c r="K37" s="232"/>
      <c r="L37" s="414"/>
      <c r="M37" s="24"/>
    </row>
    <row r="38" spans="1:14" ht="15.75" x14ac:dyDescent="0.2">
      <c r="A38" s="12" t="s">
        <v>368</v>
      </c>
      <c r="B38" s="232"/>
      <c r="C38" s="302"/>
      <c r="D38" s="170"/>
      <c r="E38" s="24"/>
      <c r="F38" s="312"/>
      <c r="G38" s="313"/>
      <c r="H38" s="170"/>
      <c r="I38" s="420"/>
      <c r="J38" s="232"/>
      <c r="K38" s="232"/>
      <c r="L38" s="414"/>
      <c r="M38" s="24"/>
    </row>
    <row r="39" spans="1:14" ht="15.75" x14ac:dyDescent="0.2">
      <c r="A39" s="18" t="s">
        <v>369</v>
      </c>
      <c r="B39" s="272"/>
      <c r="C39" s="308"/>
      <c r="D39" s="168"/>
      <c r="E39" s="36"/>
      <c r="F39" s="315"/>
      <c r="G39" s="316"/>
      <c r="H39" s="168"/>
      <c r="I39" s="36"/>
      <c r="J39" s="232"/>
      <c r="K39" s="232"/>
      <c r="L39" s="415"/>
      <c r="M39" s="36"/>
    </row>
    <row r="40" spans="1:14" ht="15.75" x14ac:dyDescent="0.25">
      <c r="A40" s="47"/>
      <c r="B40" s="249"/>
      <c r="C40" s="249"/>
      <c r="D40" s="728"/>
      <c r="E40" s="728"/>
      <c r="F40" s="728"/>
      <c r="G40" s="728"/>
      <c r="H40" s="728"/>
      <c r="I40" s="728"/>
      <c r="J40" s="728"/>
      <c r="K40" s="728"/>
      <c r="L40" s="728"/>
      <c r="M40" s="295"/>
    </row>
    <row r="41" spans="1:14" x14ac:dyDescent="0.2">
      <c r="A41" s="154"/>
    </row>
    <row r="42" spans="1:14" ht="15.75" x14ac:dyDescent="0.25">
      <c r="A42" s="147" t="s">
        <v>267</v>
      </c>
      <c r="B42" s="729"/>
      <c r="C42" s="729"/>
      <c r="D42" s="729"/>
      <c r="E42" s="292"/>
      <c r="F42" s="730"/>
      <c r="G42" s="730"/>
      <c r="H42" s="730"/>
      <c r="I42" s="295"/>
      <c r="J42" s="730"/>
      <c r="K42" s="730"/>
      <c r="L42" s="730"/>
      <c r="M42" s="295"/>
    </row>
    <row r="43" spans="1:14" ht="15.75" x14ac:dyDescent="0.25">
      <c r="A43" s="162"/>
      <c r="B43" s="296"/>
      <c r="C43" s="296"/>
      <c r="D43" s="296"/>
      <c r="E43" s="296"/>
      <c r="F43" s="295"/>
      <c r="G43" s="295"/>
      <c r="H43" s="295"/>
      <c r="I43" s="295"/>
      <c r="J43" s="295"/>
      <c r="K43" s="295"/>
      <c r="L43" s="295"/>
      <c r="M43" s="295"/>
    </row>
    <row r="44" spans="1:14" ht="15.75" x14ac:dyDescent="0.25">
      <c r="A44" s="243"/>
      <c r="B44" s="725" t="s">
        <v>0</v>
      </c>
      <c r="C44" s="726"/>
      <c r="D44" s="726"/>
      <c r="E44" s="239"/>
      <c r="F44" s="295"/>
      <c r="G44" s="295"/>
      <c r="H44" s="295"/>
      <c r="I44" s="295"/>
      <c r="J44" s="295"/>
      <c r="K44" s="295"/>
      <c r="L44" s="295"/>
      <c r="M44" s="295"/>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c r="C47" s="304"/>
      <c r="D47" s="413"/>
      <c r="E47" s="11"/>
      <c r="F47" s="145"/>
      <c r="G47" s="33"/>
      <c r="H47" s="158"/>
      <c r="I47" s="158"/>
      <c r="J47" s="37"/>
      <c r="K47" s="37"/>
      <c r="L47" s="158"/>
      <c r="M47" s="158"/>
      <c r="N47" s="148"/>
    </row>
    <row r="48" spans="1:14" s="3" customFormat="1" ht="15.75" x14ac:dyDescent="0.2">
      <c r="A48" s="38" t="s">
        <v>370</v>
      </c>
      <c r="B48" s="277"/>
      <c r="C48" s="278"/>
      <c r="D48" s="250"/>
      <c r="E48" s="27"/>
      <c r="F48" s="145"/>
      <c r="G48" s="33"/>
      <c r="H48" s="145"/>
      <c r="I48" s="145"/>
      <c r="J48" s="33"/>
      <c r="K48" s="33"/>
      <c r="L48" s="158"/>
      <c r="M48" s="158"/>
      <c r="N48" s="148"/>
    </row>
    <row r="49" spans="1:14" s="3" customFormat="1" ht="15.75" x14ac:dyDescent="0.2">
      <c r="A49" s="38" t="s">
        <v>371</v>
      </c>
      <c r="B49" s="44"/>
      <c r="C49" s="283"/>
      <c r="D49" s="250"/>
      <c r="E49" s="27"/>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c r="C53" s="304"/>
      <c r="D53" s="414"/>
      <c r="E53" s="11"/>
      <c r="F53" s="145"/>
      <c r="G53" s="33"/>
      <c r="H53" s="145"/>
      <c r="I53" s="145"/>
      <c r="J53" s="33"/>
      <c r="K53" s="33"/>
      <c r="L53" s="158"/>
      <c r="M53" s="158"/>
      <c r="N53" s="148"/>
    </row>
    <row r="54" spans="1:14" s="3" customFormat="1" ht="15.75" x14ac:dyDescent="0.2">
      <c r="A54" s="38" t="s">
        <v>370</v>
      </c>
      <c r="B54" s="277"/>
      <c r="C54" s="278"/>
      <c r="D54" s="250"/>
      <c r="E54" s="27"/>
      <c r="F54" s="145"/>
      <c r="G54" s="33"/>
      <c r="H54" s="145"/>
      <c r="I54" s="145"/>
      <c r="J54" s="33"/>
      <c r="K54" s="33"/>
      <c r="L54" s="158"/>
      <c r="M54" s="158"/>
      <c r="N54" s="148"/>
    </row>
    <row r="55" spans="1:14" s="3" customFormat="1" ht="15.75" x14ac:dyDescent="0.2">
      <c r="A55" s="38" t="s">
        <v>371</v>
      </c>
      <c r="B55" s="277"/>
      <c r="C55" s="278"/>
      <c r="D55" s="250"/>
      <c r="E55" s="27"/>
      <c r="F55" s="145"/>
      <c r="G55" s="33"/>
      <c r="H55" s="145"/>
      <c r="I55" s="145"/>
      <c r="J55" s="33"/>
      <c r="K55" s="33"/>
      <c r="L55" s="158"/>
      <c r="M55" s="158"/>
      <c r="N55" s="148"/>
    </row>
    <row r="56" spans="1:14" s="3" customFormat="1" ht="15.75" x14ac:dyDescent="0.2">
      <c r="A56" s="39" t="s">
        <v>373</v>
      </c>
      <c r="B56" s="303"/>
      <c r="C56" s="304"/>
      <c r="D56" s="414"/>
      <c r="E56" s="11"/>
      <c r="F56" s="145"/>
      <c r="G56" s="33"/>
      <c r="H56" s="145"/>
      <c r="I56" s="145"/>
      <c r="J56" s="33"/>
      <c r="K56" s="33"/>
      <c r="L56" s="158"/>
      <c r="M56" s="158"/>
      <c r="N56" s="148"/>
    </row>
    <row r="57" spans="1:14" s="3" customFormat="1" ht="15.75" x14ac:dyDescent="0.2">
      <c r="A57" s="38" t="s">
        <v>370</v>
      </c>
      <c r="B57" s="277"/>
      <c r="C57" s="278"/>
      <c r="D57" s="250"/>
      <c r="E57" s="27"/>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292"/>
      <c r="F62" s="724"/>
      <c r="G62" s="724"/>
      <c r="H62" s="724"/>
      <c r="I62" s="292"/>
      <c r="J62" s="724"/>
      <c r="K62" s="724"/>
      <c r="L62" s="724"/>
      <c r="M62" s="292"/>
    </row>
    <row r="63" spans="1:14" x14ac:dyDescent="0.2">
      <c r="A63" s="144"/>
      <c r="B63" s="725" t="s">
        <v>0</v>
      </c>
      <c r="C63" s="726"/>
      <c r="D63" s="727"/>
      <c r="E63" s="293"/>
      <c r="F63" s="726" t="s">
        <v>1</v>
      </c>
      <c r="G63" s="726"/>
      <c r="H63" s="726"/>
      <c r="I63" s="297"/>
      <c r="J63" s="725" t="s">
        <v>2</v>
      </c>
      <c r="K63" s="726"/>
      <c r="L63" s="726"/>
      <c r="M63" s="297"/>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c r="C66" s="343"/>
      <c r="D66" s="340"/>
      <c r="E66" s="11"/>
      <c r="F66" s="342"/>
      <c r="G66" s="342"/>
      <c r="H66" s="340"/>
      <c r="I66" s="11"/>
      <c r="J66" s="302"/>
      <c r="K66" s="309"/>
      <c r="L66" s="414"/>
      <c r="M66" s="11"/>
    </row>
    <row r="67" spans="1:14" x14ac:dyDescent="0.2">
      <c r="A67" s="405" t="s">
        <v>9</v>
      </c>
      <c r="B67" s="44"/>
      <c r="C67" s="145"/>
      <c r="D67" s="165"/>
      <c r="E67" s="27"/>
      <c r="F67" s="230"/>
      <c r="G67" s="145"/>
      <c r="H67" s="165"/>
      <c r="I67" s="27"/>
      <c r="J67" s="283"/>
      <c r="K67" s="44"/>
      <c r="L67" s="250"/>
      <c r="M67" s="27"/>
    </row>
    <row r="68" spans="1:14" x14ac:dyDescent="0.2">
      <c r="A68" s="21" t="s">
        <v>10</v>
      </c>
      <c r="B68" s="287"/>
      <c r="C68" s="288"/>
      <c r="D68" s="165"/>
      <c r="E68" s="27"/>
      <c r="F68" s="287"/>
      <c r="G68" s="288"/>
      <c r="H68" s="165"/>
      <c r="I68" s="27"/>
      <c r="J68" s="283"/>
      <c r="K68" s="44"/>
      <c r="L68" s="250"/>
      <c r="M68" s="27"/>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c r="C75" s="145"/>
      <c r="D75" s="165"/>
      <c r="E75" s="27"/>
      <c r="F75" s="230"/>
      <c r="G75" s="145"/>
      <c r="H75" s="165"/>
      <c r="I75" s="27"/>
      <c r="J75" s="283"/>
      <c r="K75" s="44"/>
      <c r="L75" s="250"/>
      <c r="M75" s="27"/>
      <c r="N75" s="148"/>
    </row>
    <row r="76" spans="1:14" s="3" customFormat="1" x14ac:dyDescent="0.2">
      <c r="A76" s="21" t="s">
        <v>343</v>
      </c>
      <c r="B76" s="230"/>
      <c r="C76" s="145"/>
      <c r="D76" s="165"/>
      <c r="E76" s="27"/>
      <c r="F76" s="230"/>
      <c r="G76" s="145"/>
      <c r="H76" s="165"/>
      <c r="I76" s="27"/>
      <c r="J76" s="283"/>
      <c r="K76" s="44"/>
      <c r="L76" s="250"/>
      <c r="M76" s="27"/>
      <c r="N76" s="148"/>
    </row>
    <row r="77" spans="1:14" ht="15.75" x14ac:dyDescent="0.2">
      <c r="A77" s="21" t="s">
        <v>376</v>
      </c>
      <c r="B77" s="230"/>
      <c r="C77" s="230"/>
      <c r="D77" s="165"/>
      <c r="E77" s="27"/>
      <c r="F77" s="230"/>
      <c r="G77" s="145"/>
      <c r="H77" s="165"/>
      <c r="I77" s="27"/>
      <c r="J77" s="283"/>
      <c r="K77" s="44"/>
      <c r="L77" s="250"/>
      <c r="M77" s="27"/>
    </row>
    <row r="78" spans="1:14" x14ac:dyDescent="0.2">
      <c r="A78" s="21" t="s">
        <v>9</v>
      </c>
      <c r="B78" s="230"/>
      <c r="C78" s="145"/>
      <c r="D78" s="165"/>
      <c r="E78" s="27"/>
      <c r="F78" s="230"/>
      <c r="G78" s="145"/>
      <c r="H78" s="165"/>
      <c r="I78" s="27"/>
      <c r="J78" s="283"/>
      <c r="K78" s="44"/>
      <c r="L78" s="250"/>
      <c r="M78" s="27"/>
    </row>
    <row r="79" spans="1:14" x14ac:dyDescent="0.2">
      <c r="A79" s="38" t="s">
        <v>413</v>
      </c>
      <c r="B79" s="287"/>
      <c r="C79" s="288"/>
      <c r="D79" s="165"/>
      <c r="E79" s="27"/>
      <c r="F79" s="287"/>
      <c r="G79" s="288"/>
      <c r="H79" s="165"/>
      <c r="I79" s="27"/>
      <c r="J79" s="283"/>
      <c r="K79" s="44"/>
      <c r="L79" s="250"/>
      <c r="M79" s="27"/>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c r="C86" s="145"/>
      <c r="D86" s="165"/>
      <c r="E86" s="27"/>
      <c r="F86" s="230"/>
      <c r="G86" s="145"/>
      <c r="H86" s="165"/>
      <c r="I86" s="27"/>
      <c r="J86" s="283"/>
      <c r="K86" s="44"/>
      <c r="L86" s="250"/>
      <c r="M86" s="27"/>
    </row>
    <row r="87" spans="1:13" ht="15.75" x14ac:dyDescent="0.2">
      <c r="A87" s="13" t="s">
        <v>359</v>
      </c>
      <c r="B87" s="343"/>
      <c r="C87" s="343"/>
      <c r="D87" s="170"/>
      <c r="E87" s="11"/>
      <c r="F87" s="342"/>
      <c r="G87" s="342"/>
      <c r="H87" s="170"/>
      <c r="I87" s="11"/>
      <c r="J87" s="302"/>
      <c r="K87" s="232"/>
      <c r="L87" s="414"/>
      <c r="M87" s="11"/>
    </row>
    <row r="88" spans="1:13" x14ac:dyDescent="0.2">
      <c r="A88" s="21" t="s">
        <v>9</v>
      </c>
      <c r="B88" s="230"/>
      <c r="C88" s="145"/>
      <c r="D88" s="165"/>
      <c r="E88" s="27"/>
      <c r="F88" s="230"/>
      <c r="G88" s="145"/>
      <c r="H88" s="165"/>
      <c r="I88" s="27"/>
      <c r="J88" s="283"/>
      <c r="K88" s="44"/>
      <c r="L88" s="250"/>
      <c r="M88" s="27"/>
    </row>
    <row r="89" spans="1:13" x14ac:dyDescent="0.2">
      <c r="A89" s="21" t="s">
        <v>10</v>
      </c>
      <c r="B89" s="230"/>
      <c r="C89" s="145"/>
      <c r="D89" s="165"/>
      <c r="E89" s="27"/>
      <c r="F89" s="230"/>
      <c r="G89" s="145"/>
      <c r="H89" s="165"/>
      <c r="I89" s="27"/>
      <c r="J89" s="283"/>
      <c r="K89" s="44"/>
      <c r="L89" s="250"/>
      <c r="M89" s="27"/>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c r="C97" s="145"/>
      <c r="D97" s="165"/>
      <c r="E97" s="27"/>
      <c r="F97" s="230"/>
      <c r="G97" s="145"/>
      <c r="H97" s="165"/>
      <c r="I97" s="27"/>
      <c r="J97" s="283"/>
      <c r="K97" s="44"/>
      <c r="L97" s="250"/>
      <c r="M97" s="27"/>
    </row>
    <row r="98" spans="1:13" ht="15.75" x14ac:dyDescent="0.2">
      <c r="A98" s="21" t="s">
        <v>376</v>
      </c>
      <c r="B98" s="230"/>
      <c r="C98" s="230"/>
      <c r="D98" s="165"/>
      <c r="E98" s="27"/>
      <c r="F98" s="287"/>
      <c r="G98" s="287"/>
      <c r="H98" s="165"/>
      <c r="I98" s="27"/>
      <c r="J98" s="283"/>
      <c r="K98" s="44"/>
      <c r="L98" s="250"/>
      <c r="M98" s="27"/>
    </row>
    <row r="99" spans="1:13" x14ac:dyDescent="0.2">
      <c r="A99" s="21" t="s">
        <v>9</v>
      </c>
      <c r="B99" s="287"/>
      <c r="C99" s="288"/>
      <c r="D99" s="165"/>
      <c r="E99" s="27"/>
      <c r="F99" s="230"/>
      <c r="G99" s="145"/>
      <c r="H99" s="165"/>
      <c r="I99" s="27"/>
      <c r="J99" s="283"/>
      <c r="K99" s="44"/>
      <c r="L99" s="250"/>
      <c r="M99" s="27"/>
    </row>
    <row r="100" spans="1:13" x14ac:dyDescent="0.2">
      <c r="A100" s="38" t="s">
        <v>413</v>
      </c>
      <c r="B100" s="287"/>
      <c r="C100" s="288"/>
      <c r="D100" s="165"/>
      <c r="E100" s="27"/>
      <c r="F100" s="230"/>
      <c r="G100" s="230"/>
      <c r="H100" s="165"/>
      <c r="I100" s="27"/>
      <c r="J100" s="283"/>
      <c r="K100" s="44"/>
      <c r="L100" s="250"/>
      <c r="M100" s="27"/>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c r="C107" s="145"/>
      <c r="D107" s="165"/>
      <c r="E107" s="27"/>
      <c r="F107" s="230"/>
      <c r="G107" s="145"/>
      <c r="H107" s="165"/>
      <c r="I107" s="27"/>
      <c r="J107" s="283"/>
      <c r="K107" s="44"/>
      <c r="L107" s="250"/>
      <c r="M107" s="27"/>
    </row>
    <row r="108" spans="1:13" ht="15.75" x14ac:dyDescent="0.2">
      <c r="A108" s="21" t="s">
        <v>378</v>
      </c>
      <c r="B108" s="230"/>
      <c r="C108" s="230"/>
      <c r="D108" s="165"/>
      <c r="E108" s="27"/>
      <c r="F108" s="230"/>
      <c r="G108" s="230"/>
      <c r="H108" s="165"/>
      <c r="I108" s="27"/>
      <c r="J108" s="283"/>
      <c r="K108" s="44"/>
      <c r="L108" s="250"/>
      <c r="M108" s="27"/>
    </row>
    <row r="109" spans="1:13" ht="15.6" customHeight="1" x14ac:dyDescent="0.2">
      <c r="A109" s="21" t="s">
        <v>430</v>
      </c>
      <c r="B109" s="230"/>
      <c r="C109" s="230"/>
      <c r="D109" s="165"/>
      <c r="E109" s="27"/>
      <c r="F109" s="230"/>
      <c r="G109" s="230"/>
      <c r="H109" s="165"/>
      <c r="I109" s="27"/>
      <c r="J109" s="283"/>
      <c r="K109" s="44"/>
      <c r="L109" s="250"/>
      <c r="M109" s="27"/>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c r="C111" s="158"/>
      <c r="D111" s="170"/>
      <c r="E111" s="11"/>
      <c r="F111" s="301"/>
      <c r="G111" s="158"/>
      <c r="H111" s="170"/>
      <c r="I111" s="11"/>
      <c r="J111" s="302"/>
      <c r="K111" s="232"/>
      <c r="L111" s="414"/>
      <c r="M111" s="11"/>
    </row>
    <row r="112" spans="1:13" x14ac:dyDescent="0.2">
      <c r="A112" s="21" t="s">
        <v>9</v>
      </c>
      <c r="B112" s="230"/>
      <c r="C112" s="145"/>
      <c r="D112" s="165"/>
      <c r="E112" s="27"/>
      <c r="F112" s="230"/>
      <c r="G112" s="145"/>
      <c r="H112" s="165"/>
      <c r="I112" s="27"/>
      <c r="J112" s="283"/>
      <c r="K112" s="44"/>
      <c r="L112" s="250"/>
      <c r="M112" s="27"/>
    </row>
    <row r="113" spans="1:14" x14ac:dyDescent="0.2">
      <c r="A113" s="21" t="s">
        <v>10</v>
      </c>
      <c r="B113" s="230"/>
      <c r="C113" s="145"/>
      <c r="D113" s="165"/>
      <c r="E113" s="27"/>
      <c r="F113" s="230"/>
      <c r="G113" s="145"/>
      <c r="H113" s="165"/>
      <c r="I113" s="27"/>
      <c r="J113" s="283"/>
      <c r="K113" s="44"/>
      <c r="L113" s="250"/>
      <c r="M113" s="27"/>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c r="C116" s="230"/>
      <c r="D116" s="165"/>
      <c r="E116" s="27"/>
      <c r="F116" s="230"/>
      <c r="G116" s="230"/>
      <c r="H116" s="165"/>
      <c r="I116" s="27"/>
      <c r="J116" s="283"/>
      <c r="K116" s="44"/>
      <c r="L116" s="250"/>
      <c r="M116" s="27"/>
    </row>
    <row r="117" spans="1:14" ht="15.6" customHeight="1" x14ac:dyDescent="0.2">
      <c r="A117" s="21" t="s">
        <v>430</v>
      </c>
      <c r="B117" s="230"/>
      <c r="C117" s="230"/>
      <c r="D117" s="165"/>
      <c r="E117" s="27"/>
      <c r="F117" s="230"/>
      <c r="G117" s="230"/>
      <c r="H117" s="165"/>
      <c r="I117" s="27"/>
      <c r="J117" s="283"/>
      <c r="K117" s="44"/>
      <c r="L117" s="250"/>
      <c r="M117" s="27"/>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c r="C119" s="158"/>
      <c r="D119" s="170"/>
      <c r="E119" s="11"/>
      <c r="F119" s="301"/>
      <c r="G119" s="158"/>
      <c r="H119" s="170"/>
      <c r="I119" s="11"/>
      <c r="J119" s="302"/>
      <c r="K119" s="232"/>
      <c r="L119" s="414"/>
      <c r="M119" s="11"/>
    </row>
    <row r="120" spans="1:14" x14ac:dyDescent="0.2">
      <c r="A120" s="21" t="s">
        <v>9</v>
      </c>
      <c r="B120" s="230"/>
      <c r="C120" s="145"/>
      <c r="D120" s="165"/>
      <c r="E120" s="27"/>
      <c r="F120" s="230"/>
      <c r="G120" s="145"/>
      <c r="H120" s="165"/>
      <c r="I120" s="27"/>
      <c r="J120" s="283"/>
      <c r="K120" s="44"/>
      <c r="L120" s="250"/>
      <c r="M120" s="27"/>
    </row>
    <row r="121" spans="1:14" x14ac:dyDescent="0.2">
      <c r="A121" s="21" t="s">
        <v>10</v>
      </c>
      <c r="B121" s="230"/>
      <c r="C121" s="145"/>
      <c r="D121" s="165"/>
      <c r="E121" s="27"/>
      <c r="F121" s="230"/>
      <c r="G121" s="145"/>
      <c r="H121" s="165"/>
      <c r="I121" s="27"/>
      <c r="J121" s="283"/>
      <c r="K121" s="44"/>
      <c r="L121" s="250"/>
      <c r="M121" s="27"/>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c r="C125" s="230"/>
      <c r="D125" s="165"/>
      <c r="E125" s="27"/>
      <c r="F125" s="230"/>
      <c r="G125" s="230"/>
      <c r="H125" s="165"/>
      <c r="I125" s="27"/>
      <c r="J125" s="283"/>
      <c r="K125" s="44"/>
      <c r="L125" s="250"/>
      <c r="M125" s="27"/>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292"/>
      <c r="F130" s="724"/>
      <c r="G130" s="724"/>
      <c r="H130" s="724"/>
      <c r="I130" s="292"/>
      <c r="J130" s="724"/>
      <c r="K130" s="724"/>
      <c r="L130" s="724"/>
      <c r="M130" s="292"/>
    </row>
    <row r="131" spans="1:14" s="3" customFormat="1" x14ac:dyDescent="0.2">
      <c r="A131" s="144"/>
      <c r="B131" s="725" t="s">
        <v>0</v>
      </c>
      <c r="C131" s="726"/>
      <c r="D131" s="726"/>
      <c r="E131" s="294"/>
      <c r="F131" s="725" t="s">
        <v>1</v>
      </c>
      <c r="G131" s="726"/>
      <c r="H131" s="726"/>
      <c r="I131" s="297"/>
      <c r="J131" s="725" t="s">
        <v>2</v>
      </c>
      <c r="K131" s="726"/>
      <c r="L131" s="726"/>
      <c r="M131" s="297"/>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c r="C134" s="302"/>
      <c r="D134" s="340"/>
      <c r="E134" s="11"/>
      <c r="F134" s="309"/>
      <c r="G134" s="310"/>
      <c r="H134" s="417"/>
      <c r="I134" s="24"/>
      <c r="J134" s="311"/>
      <c r="K134" s="311"/>
      <c r="L134" s="413"/>
      <c r="M134" s="11"/>
      <c r="N134" s="148"/>
    </row>
    <row r="135" spans="1:14" s="3" customFormat="1" ht="15.75" x14ac:dyDescent="0.2">
      <c r="A135" s="13" t="s">
        <v>386</v>
      </c>
      <c r="B135" s="232"/>
      <c r="C135" s="302"/>
      <c r="D135" s="170"/>
      <c r="E135" s="11"/>
      <c r="F135" s="232"/>
      <c r="G135" s="302"/>
      <c r="H135" s="418"/>
      <c r="I135" s="24"/>
      <c r="J135" s="301"/>
      <c r="K135" s="301"/>
      <c r="L135" s="414"/>
      <c r="M135" s="11"/>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49" priority="12">
      <formula>kvartal &lt; 4</formula>
    </cfRule>
  </conditionalFormatting>
  <conditionalFormatting sqref="A69:A74">
    <cfRule type="expression" dxfId="348" priority="10">
      <formula>kvartal &lt; 4</formula>
    </cfRule>
  </conditionalFormatting>
  <conditionalFormatting sqref="A80:A85">
    <cfRule type="expression" dxfId="347" priority="9">
      <formula>kvartal &lt; 4</formula>
    </cfRule>
  </conditionalFormatting>
  <conditionalFormatting sqref="A90:A95">
    <cfRule type="expression" dxfId="346" priority="6">
      <formula>kvartal &lt; 4</formula>
    </cfRule>
  </conditionalFormatting>
  <conditionalFormatting sqref="A101:A106">
    <cfRule type="expression" dxfId="345" priority="5">
      <formula>kvartal &lt; 4</formula>
    </cfRule>
  </conditionalFormatting>
  <conditionalFormatting sqref="A115">
    <cfRule type="expression" dxfId="344" priority="4">
      <formula>kvartal &lt; 4</formula>
    </cfRule>
  </conditionalFormatting>
  <conditionalFormatting sqref="A123">
    <cfRule type="expression" dxfId="343" priority="3">
      <formula>kvartal &lt; 4</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N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244" t="s">
        <v>126</v>
      </c>
      <c r="D1" s="26"/>
      <c r="E1" s="26"/>
      <c r="F1" s="26"/>
      <c r="G1" s="26"/>
      <c r="H1" s="26"/>
      <c r="I1" s="26"/>
      <c r="J1" s="26"/>
      <c r="K1" s="26"/>
      <c r="L1" s="26"/>
      <c r="M1" s="26"/>
    </row>
    <row r="2" spans="1:14" ht="15.75" x14ac:dyDescent="0.25">
      <c r="A2" s="164" t="s">
        <v>28</v>
      </c>
      <c r="B2" s="729"/>
      <c r="C2" s="729"/>
      <c r="D2" s="729"/>
      <c r="E2" s="292"/>
      <c r="F2" s="729"/>
      <c r="G2" s="729"/>
      <c r="H2" s="729"/>
      <c r="I2" s="292"/>
      <c r="J2" s="729"/>
      <c r="K2" s="729"/>
      <c r="L2" s="729"/>
      <c r="M2" s="292"/>
    </row>
    <row r="3" spans="1:14" ht="15.75" x14ac:dyDescent="0.25">
      <c r="A3" s="162"/>
      <c r="B3" s="292"/>
      <c r="C3" s="292"/>
      <c r="D3" s="292"/>
      <c r="E3" s="292"/>
      <c r="F3" s="292"/>
      <c r="G3" s="292"/>
      <c r="H3" s="292"/>
      <c r="I3" s="292"/>
      <c r="J3" s="292"/>
      <c r="K3" s="292"/>
      <c r="L3" s="292"/>
      <c r="M3" s="292"/>
    </row>
    <row r="4" spans="1:14" x14ac:dyDescent="0.2">
      <c r="A4" s="144"/>
      <c r="B4" s="725" t="s">
        <v>0</v>
      </c>
      <c r="C4" s="726"/>
      <c r="D4" s="726"/>
      <c r="E4" s="294"/>
      <c r="F4" s="725" t="s">
        <v>1</v>
      </c>
      <c r="G4" s="726"/>
      <c r="H4" s="726"/>
      <c r="I4" s="297"/>
      <c r="J4" s="725" t="s">
        <v>2</v>
      </c>
      <c r="K4" s="726"/>
      <c r="L4" s="726"/>
      <c r="M4" s="297"/>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v>110158.73735050599</v>
      </c>
      <c r="C7" s="300">
        <v>119811.31754259999</v>
      </c>
      <c r="D7" s="340">
        <f>IF(B7=0, "    ---- ", IF(ABS(ROUND(100/B7*C7-100,1))&lt;999,ROUND(100/B7*C7-100,1),IF(ROUND(100/B7*C7-100,1)&gt;999,999,-999)))</f>
        <v>8.8000000000000007</v>
      </c>
      <c r="E7" s="11">
        <f>IFERROR(100/'Skjema total MA'!C7*C7,0)</f>
        <v>6.9111162701492912</v>
      </c>
      <c r="F7" s="299"/>
      <c r="G7" s="300"/>
      <c r="H7" s="340"/>
      <c r="I7" s="159"/>
      <c r="J7" s="301">
        <f t="shared" ref="J7:K9" si="0">SUM(B7,F7)</f>
        <v>110158.73735050599</v>
      </c>
      <c r="K7" s="302">
        <f t="shared" si="0"/>
        <v>119811.31754259999</v>
      </c>
      <c r="L7" s="413">
        <f>IF(J7=0, "    ---- ", IF(ABS(ROUND(100/J7*K7-100,1))&lt;999,ROUND(100/J7*K7-100,1),IF(ROUND(100/J7*K7-100,1)&gt;999,999,-999)))</f>
        <v>8.8000000000000007</v>
      </c>
      <c r="M7" s="11">
        <f>IFERROR(100/'Skjema total MA'!I7*K7,0)</f>
        <v>2.3180504383708462</v>
      </c>
    </row>
    <row r="8" spans="1:14" ht="15.75" x14ac:dyDescent="0.2">
      <c r="A8" s="21" t="s">
        <v>25</v>
      </c>
      <c r="B8" s="277">
        <v>76583.736308979307</v>
      </c>
      <c r="C8" s="278">
        <v>84692.009014933297</v>
      </c>
      <c r="D8" s="165">
        <f t="shared" ref="D8:D9" si="1">IF(B8=0, "    ---- ", IF(ABS(ROUND(100/B8*C8-100,1))&lt;999,ROUND(100/B8*C8-100,1),IF(ROUND(100/B8*C8-100,1)&gt;999,999,-999)))</f>
        <v>10.6</v>
      </c>
      <c r="E8" s="27">
        <f>IFERROR(100/'Skjema total MA'!C8*C8,0)</f>
        <v>7.2822225652130834</v>
      </c>
      <c r="F8" s="281"/>
      <c r="G8" s="282"/>
      <c r="H8" s="165"/>
      <c r="I8" s="174"/>
      <c r="J8" s="230">
        <f t="shared" si="0"/>
        <v>76583.736308979307</v>
      </c>
      <c r="K8" s="283">
        <f t="shared" si="0"/>
        <v>84692.009014933297</v>
      </c>
      <c r="L8" s="165">
        <f t="shared" ref="L8:L9" si="2">IF(J8=0, "    ---- ", IF(ABS(ROUND(100/J8*K8-100,1))&lt;999,ROUND(100/J8*K8-100,1),IF(ROUND(100/J8*K8-100,1)&gt;999,999,-999)))</f>
        <v>10.6</v>
      </c>
      <c r="M8" s="27">
        <f>IFERROR(100/'Skjema total MA'!I8*K8,0)</f>
        <v>7.2822225652130834</v>
      </c>
    </row>
    <row r="9" spans="1:14" ht="15.75" x14ac:dyDescent="0.2">
      <c r="A9" s="21" t="s">
        <v>24</v>
      </c>
      <c r="B9" s="277">
        <v>33575.0010415262</v>
      </c>
      <c r="C9" s="278">
        <v>35119.308527666399</v>
      </c>
      <c r="D9" s="165">
        <f t="shared" si="1"/>
        <v>4.5999999999999996</v>
      </c>
      <c r="E9" s="27">
        <f>IFERROR(100/'Skjema total MA'!C9*C9,0)</f>
        <v>9.7105045662108083</v>
      </c>
      <c r="F9" s="281"/>
      <c r="G9" s="282"/>
      <c r="H9" s="165"/>
      <c r="I9" s="174"/>
      <c r="J9" s="230">
        <f t="shared" si="0"/>
        <v>33575.0010415262</v>
      </c>
      <c r="K9" s="283">
        <f t="shared" si="0"/>
        <v>35119.308527666399</v>
      </c>
      <c r="L9" s="165">
        <f t="shared" si="2"/>
        <v>4.5999999999999996</v>
      </c>
      <c r="M9" s="27">
        <f>IFERROR(100/'Skjema total MA'!I9*K9,0)</f>
        <v>9.7105045662108083</v>
      </c>
    </row>
    <row r="10" spans="1:14" ht="15.75" x14ac:dyDescent="0.2">
      <c r="A10" s="13" t="s">
        <v>359</v>
      </c>
      <c r="B10" s="303"/>
      <c r="C10" s="304"/>
      <c r="D10" s="170"/>
      <c r="E10" s="11"/>
      <c r="F10" s="303"/>
      <c r="G10" s="304"/>
      <c r="H10" s="170"/>
      <c r="I10" s="159"/>
      <c r="J10" s="301"/>
      <c r="K10" s="302"/>
      <c r="L10" s="414"/>
      <c r="M10" s="11"/>
    </row>
    <row r="11" spans="1:14" s="43" customFormat="1" ht="15.75" x14ac:dyDescent="0.2">
      <c r="A11" s="13" t="s">
        <v>360</v>
      </c>
      <c r="B11" s="303"/>
      <c r="C11" s="304"/>
      <c r="D11" s="170"/>
      <c r="E11" s="11"/>
      <c r="F11" s="303"/>
      <c r="G11" s="304"/>
      <c r="H11" s="170"/>
      <c r="I11" s="159"/>
      <c r="J11" s="301"/>
      <c r="K11" s="302"/>
      <c r="L11" s="414"/>
      <c r="M11" s="11"/>
      <c r="N11" s="143"/>
    </row>
    <row r="12" spans="1:14" s="43" customFormat="1" ht="15.75" x14ac:dyDescent="0.2">
      <c r="A12" s="41" t="s">
        <v>361</v>
      </c>
      <c r="B12" s="305"/>
      <c r="C12" s="306"/>
      <c r="D12" s="168"/>
      <c r="E12" s="36"/>
      <c r="F12" s="305"/>
      <c r="G12" s="306"/>
      <c r="H12" s="168"/>
      <c r="I12" s="168"/>
      <c r="J12" s="307"/>
      <c r="K12" s="308"/>
      <c r="L12" s="415"/>
      <c r="M12" s="36"/>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292"/>
      <c r="F18" s="724"/>
      <c r="G18" s="724"/>
      <c r="H18" s="724"/>
      <c r="I18" s="292"/>
      <c r="J18" s="724"/>
      <c r="K18" s="724"/>
      <c r="L18" s="724"/>
      <c r="M18" s="292"/>
    </row>
    <row r="19" spans="1:14" x14ac:dyDescent="0.2">
      <c r="A19" s="144"/>
      <c r="B19" s="725" t="s">
        <v>0</v>
      </c>
      <c r="C19" s="726"/>
      <c r="D19" s="726"/>
      <c r="E19" s="294"/>
      <c r="F19" s="725" t="s">
        <v>1</v>
      </c>
      <c r="G19" s="726"/>
      <c r="H19" s="726"/>
      <c r="I19" s="297"/>
      <c r="J19" s="725" t="s">
        <v>2</v>
      </c>
      <c r="K19" s="726"/>
      <c r="L19" s="726"/>
      <c r="M19" s="297"/>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303"/>
      <c r="C22" s="303"/>
      <c r="D22" s="340"/>
      <c r="E22" s="11"/>
      <c r="F22" s="311"/>
      <c r="G22" s="311"/>
      <c r="H22" s="340"/>
      <c r="I22" s="11"/>
      <c r="J22" s="309"/>
      <c r="K22" s="309"/>
      <c r="L22" s="413"/>
      <c r="M22" s="24"/>
    </row>
    <row r="23" spans="1:14" ht="15.75" x14ac:dyDescent="0.2">
      <c r="A23" s="555" t="s">
        <v>362</v>
      </c>
      <c r="B23" s="277"/>
      <c r="C23" s="277"/>
      <c r="D23" s="165"/>
      <c r="E23" s="11"/>
      <c r="F23" s="286"/>
      <c r="G23" s="286"/>
      <c r="H23" s="165"/>
      <c r="I23" s="403"/>
      <c r="J23" s="286"/>
      <c r="K23" s="286"/>
      <c r="L23" s="165"/>
      <c r="M23" s="23"/>
    </row>
    <row r="24" spans="1:14" ht="15.75" x14ac:dyDescent="0.2">
      <c r="A24" s="555" t="s">
        <v>363</v>
      </c>
      <c r="B24" s="277"/>
      <c r="C24" s="277"/>
      <c r="D24" s="165"/>
      <c r="E24" s="11"/>
      <c r="F24" s="286"/>
      <c r="G24" s="286"/>
      <c r="H24" s="165"/>
      <c r="I24" s="403"/>
      <c r="J24" s="286"/>
      <c r="K24" s="286"/>
      <c r="L24" s="165"/>
      <c r="M24" s="23"/>
    </row>
    <row r="25" spans="1:14" ht="15.75" x14ac:dyDescent="0.2">
      <c r="A25" s="555" t="s">
        <v>364</v>
      </c>
      <c r="B25" s="277"/>
      <c r="C25" s="277"/>
      <c r="D25" s="165"/>
      <c r="E25" s="11"/>
      <c r="F25" s="286"/>
      <c r="G25" s="286"/>
      <c r="H25" s="165"/>
      <c r="I25" s="403"/>
      <c r="J25" s="286"/>
      <c r="K25" s="286"/>
      <c r="L25" s="165"/>
      <c r="M25" s="23"/>
    </row>
    <row r="26" spans="1:14" ht="15.75" x14ac:dyDescent="0.2">
      <c r="A26" s="555" t="s">
        <v>365</v>
      </c>
      <c r="B26" s="277"/>
      <c r="C26" s="277"/>
      <c r="D26" s="165"/>
      <c r="E26" s="11"/>
      <c r="F26" s="286"/>
      <c r="G26" s="286"/>
      <c r="H26" s="165"/>
      <c r="I26" s="403"/>
      <c r="J26" s="286"/>
      <c r="K26" s="286"/>
      <c r="L26" s="165"/>
      <c r="M26" s="23"/>
    </row>
    <row r="27" spans="1:14" x14ac:dyDescent="0.2">
      <c r="A27" s="555" t="s">
        <v>11</v>
      </c>
      <c r="B27" s="277"/>
      <c r="C27" s="277"/>
      <c r="D27" s="165"/>
      <c r="E27" s="11"/>
      <c r="F27" s="286"/>
      <c r="G27" s="286"/>
      <c r="H27" s="165"/>
      <c r="I27" s="403"/>
      <c r="J27" s="286"/>
      <c r="K27" s="286"/>
      <c r="L27" s="165"/>
      <c r="M27" s="23"/>
    </row>
    <row r="28" spans="1:14" ht="15.75" x14ac:dyDescent="0.2">
      <c r="A28" s="49" t="s">
        <v>270</v>
      </c>
      <c r="B28" s="44">
        <v>55825.279336754204</v>
      </c>
      <c r="C28" s="283">
        <v>66959.483354850701</v>
      </c>
      <c r="D28" s="165">
        <f t="shared" ref="D28" si="3">IF(B28=0, "    ---- ", IF(ABS(ROUND(100/B28*C28-100,1))&lt;999,ROUND(100/B28*C28-100,1),IF(ROUND(100/B28*C28-100,1)&gt;999,999,-999)))</f>
        <v>19.899999999999999</v>
      </c>
      <c r="E28" s="11">
        <f>IFERROR(100/'Skjema total MA'!C28*C28,0)</f>
        <v>7.9823860168663936</v>
      </c>
      <c r="F28" s="230"/>
      <c r="G28" s="283"/>
      <c r="H28" s="165"/>
      <c r="I28" s="27"/>
      <c r="J28" s="44">
        <f t="shared" ref="J28:K28" si="4">SUM(B28,F28)</f>
        <v>55825.279336754204</v>
      </c>
      <c r="K28" s="44">
        <f t="shared" si="4"/>
        <v>66959.483354850701</v>
      </c>
      <c r="L28" s="250">
        <f t="shared" ref="L28" si="5">IF(J28=0, "    ---- ", IF(ABS(ROUND(100/J28*K28-100,1))&lt;999,ROUND(100/J28*K28-100,1),IF(ROUND(100/J28*K28-100,1)&gt;999,999,-999)))</f>
        <v>19.899999999999999</v>
      </c>
      <c r="M28" s="23">
        <f>IFERROR(100/'Skjema total MA'!I28*K28,0)</f>
        <v>7.9823860168663936</v>
      </c>
    </row>
    <row r="29" spans="1:14" s="3" customFormat="1" ht="15.75" x14ac:dyDescent="0.2">
      <c r="A29" s="13" t="s">
        <v>359</v>
      </c>
      <c r="B29" s="232"/>
      <c r="C29" s="232"/>
      <c r="D29" s="170"/>
      <c r="E29" s="11"/>
      <c r="F29" s="301"/>
      <c r="G29" s="301"/>
      <c r="H29" s="170"/>
      <c r="I29" s="11"/>
      <c r="J29" s="232"/>
      <c r="K29" s="232"/>
      <c r="L29" s="414"/>
      <c r="M29" s="24"/>
      <c r="N29" s="148"/>
    </row>
    <row r="30" spans="1:14" s="3" customFormat="1" ht="15.75" x14ac:dyDescent="0.2">
      <c r="A30" s="555" t="s">
        <v>362</v>
      </c>
      <c r="B30" s="277"/>
      <c r="C30" s="277"/>
      <c r="D30" s="165"/>
      <c r="E30" s="11"/>
      <c r="F30" s="286"/>
      <c r="G30" s="286"/>
      <c r="H30" s="165"/>
      <c r="I30" s="403"/>
      <c r="J30" s="286"/>
      <c r="K30" s="286"/>
      <c r="L30" s="165"/>
      <c r="M30" s="23"/>
      <c r="N30" s="148"/>
    </row>
    <row r="31" spans="1:14" s="3" customFormat="1" ht="15.75" x14ac:dyDescent="0.2">
      <c r="A31" s="555" t="s">
        <v>363</v>
      </c>
      <c r="B31" s="277"/>
      <c r="C31" s="277"/>
      <c r="D31" s="165"/>
      <c r="E31" s="11"/>
      <c r="F31" s="286"/>
      <c r="G31" s="286"/>
      <c r="H31" s="165"/>
      <c r="I31" s="403"/>
      <c r="J31" s="286"/>
      <c r="K31" s="286"/>
      <c r="L31" s="165"/>
      <c r="M31" s="23"/>
      <c r="N31" s="148"/>
    </row>
    <row r="32" spans="1:14" ht="15.75" x14ac:dyDescent="0.2">
      <c r="A32" s="555" t="s">
        <v>364</v>
      </c>
      <c r="B32" s="277"/>
      <c r="C32" s="277"/>
      <c r="D32" s="165"/>
      <c r="E32" s="11"/>
      <c r="F32" s="286"/>
      <c r="G32" s="286"/>
      <c r="H32" s="165"/>
      <c r="I32" s="403"/>
      <c r="J32" s="286"/>
      <c r="K32" s="286"/>
      <c r="L32" s="165"/>
      <c r="M32" s="23"/>
    </row>
    <row r="33" spans="1:14" ht="15.75" x14ac:dyDescent="0.2">
      <c r="A33" s="555" t="s">
        <v>365</v>
      </c>
      <c r="B33" s="277"/>
      <c r="C33" s="277"/>
      <c r="D33" s="165"/>
      <c r="E33" s="11"/>
      <c r="F33" s="286"/>
      <c r="G33" s="286"/>
      <c r="H33" s="165"/>
      <c r="I33" s="403"/>
      <c r="J33" s="286"/>
      <c r="K33" s="286"/>
      <c r="L33" s="165"/>
      <c r="M33" s="23"/>
    </row>
    <row r="34" spans="1:14" ht="15.75" x14ac:dyDescent="0.2">
      <c r="A34" s="13" t="s">
        <v>360</v>
      </c>
      <c r="B34" s="232"/>
      <c r="C34" s="302"/>
      <c r="D34" s="170"/>
      <c r="E34" s="11"/>
      <c r="F34" s="301"/>
      <c r="G34" s="302"/>
      <c r="H34" s="170"/>
      <c r="I34" s="11"/>
      <c r="J34" s="232"/>
      <c r="K34" s="232"/>
      <c r="L34" s="414"/>
      <c r="M34" s="24"/>
    </row>
    <row r="35" spans="1:14" ht="15.75" x14ac:dyDescent="0.2">
      <c r="A35" s="13" t="s">
        <v>361</v>
      </c>
      <c r="B35" s="232"/>
      <c r="C35" s="302"/>
      <c r="D35" s="170"/>
      <c r="E35" s="11"/>
      <c r="F35" s="301"/>
      <c r="G35" s="302"/>
      <c r="H35" s="170"/>
      <c r="I35" s="11"/>
      <c r="J35" s="232"/>
      <c r="K35" s="232"/>
      <c r="L35" s="414"/>
      <c r="M35" s="24"/>
    </row>
    <row r="36" spans="1:14" ht="15.75" x14ac:dyDescent="0.2">
      <c r="A36" s="12" t="s">
        <v>278</v>
      </c>
      <c r="B36" s="232"/>
      <c r="C36" s="302"/>
      <c r="D36" s="170"/>
      <c r="E36" s="11"/>
      <c r="F36" s="312"/>
      <c r="G36" s="313"/>
      <c r="H36" s="170"/>
      <c r="I36" s="420"/>
      <c r="J36" s="232"/>
      <c r="K36" s="232"/>
      <c r="L36" s="414"/>
      <c r="M36" s="24"/>
    </row>
    <row r="37" spans="1:14" ht="15.75" x14ac:dyDescent="0.2">
      <c r="A37" s="12" t="s">
        <v>367</v>
      </c>
      <c r="B37" s="232"/>
      <c r="C37" s="302"/>
      <c r="D37" s="170"/>
      <c r="E37" s="11"/>
      <c r="F37" s="312"/>
      <c r="G37" s="314"/>
      <c r="H37" s="170"/>
      <c r="I37" s="420"/>
      <c r="J37" s="232"/>
      <c r="K37" s="232"/>
      <c r="L37" s="414"/>
      <c r="M37" s="24"/>
    </row>
    <row r="38" spans="1:14" ht="15.75" x14ac:dyDescent="0.2">
      <c r="A38" s="12" t="s">
        <v>368</v>
      </c>
      <c r="B38" s="232"/>
      <c r="C38" s="302"/>
      <c r="D38" s="170"/>
      <c r="E38" s="24"/>
      <c r="F38" s="312"/>
      <c r="G38" s="313"/>
      <c r="H38" s="170"/>
      <c r="I38" s="420"/>
      <c r="J38" s="232"/>
      <c r="K38" s="232"/>
      <c r="L38" s="414"/>
      <c r="M38" s="24"/>
    </row>
    <row r="39" spans="1:14" ht="15.75" x14ac:dyDescent="0.2">
      <c r="A39" s="18" t="s">
        <v>369</v>
      </c>
      <c r="B39" s="272"/>
      <c r="C39" s="308"/>
      <c r="D39" s="168"/>
      <c r="E39" s="36"/>
      <c r="F39" s="315"/>
      <c r="G39" s="316"/>
      <c r="H39" s="168"/>
      <c r="I39" s="36"/>
      <c r="J39" s="232"/>
      <c r="K39" s="232"/>
      <c r="L39" s="415"/>
      <c r="M39" s="36"/>
    </row>
    <row r="40" spans="1:14" ht="15.75" x14ac:dyDescent="0.25">
      <c r="A40" s="47"/>
      <c r="B40" s="249"/>
      <c r="C40" s="249"/>
      <c r="D40" s="728"/>
      <c r="E40" s="728"/>
      <c r="F40" s="728"/>
      <c r="G40" s="728"/>
      <c r="H40" s="728"/>
      <c r="I40" s="728"/>
      <c r="J40" s="728"/>
      <c r="K40" s="728"/>
      <c r="L40" s="728"/>
      <c r="M40" s="295"/>
    </row>
    <row r="41" spans="1:14" x14ac:dyDescent="0.2">
      <c r="A41" s="154"/>
    </row>
    <row r="42" spans="1:14" ht="15.75" x14ac:dyDescent="0.25">
      <c r="A42" s="147" t="s">
        <v>267</v>
      </c>
      <c r="B42" s="729"/>
      <c r="C42" s="729"/>
      <c r="D42" s="729"/>
      <c r="E42" s="292"/>
      <c r="F42" s="730"/>
      <c r="G42" s="730"/>
      <c r="H42" s="730"/>
      <c r="I42" s="295"/>
      <c r="J42" s="730"/>
      <c r="K42" s="730"/>
      <c r="L42" s="730"/>
      <c r="M42" s="295"/>
    </row>
    <row r="43" spans="1:14" ht="15.75" x14ac:dyDescent="0.25">
      <c r="A43" s="162"/>
      <c r="B43" s="296"/>
      <c r="C43" s="296"/>
      <c r="D43" s="296"/>
      <c r="E43" s="296"/>
      <c r="F43" s="295"/>
      <c r="G43" s="295"/>
      <c r="H43" s="295"/>
      <c r="I43" s="295"/>
      <c r="J43" s="295"/>
      <c r="K43" s="295"/>
      <c r="L43" s="295"/>
      <c r="M43" s="295"/>
    </row>
    <row r="44" spans="1:14" ht="15.75" x14ac:dyDescent="0.25">
      <c r="A44" s="243"/>
      <c r="B44" s="725" t="s">
        <v>0</v>
      </c>
      <c r="C44" s="726"/>
      <c r="D44" s="726"/>
      <c r="E44" s="239"/>
      <c r="F44" s="295"/>
      <c r="G44" s="295"/>
      <c r="H44" s="295"/>
      <c r="I44" s="295"/>
      <c r="J44" s="295"/>
      <c r="K44" s="295"/>
      <c r="L44" s="295"/>
      <c r="M44" s="295"/>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v>59956.26614</v>
      </c>
      <c r="C47" s="304">
        <v>75806.336840000004</v>
      </c>
      <c r="D47" s="413">
        <f t="shared" ref="D47:D57" si="6">IF(B47=0, "    ---- ", IF(ABS(ROUND(100/B47*C47-100,1))&lt;999,ROUND(100/B47*C47-100,1),IF(ROUND(100/B47*C47-100,1)&gt;999,999,-999)))</f>
        <v>26.4</v>
      </c>
      <c r="E47" s="11">
        <f>IFERROR(100/'Skjema total MA'!C47*C47,0)</f>
        <v>2.1937934615414338</v>
      </c>
      <c r="F47" s="145"/>
      <c r="G47" s="33"/>
      <c r="H47" s="158"/>
      <c r="I47" s="158"/>
      <c r="J47" s="37"/>
      <c r="K47" s="37"/>
      <c r="L47" s="158"/>
      <c r="M47" s="158"/>
      <c r="N47" s="148"/>
    </row>
    <row r="48" spans="1:14" s="3" customFormat="1" ht="15.75" x14ac:dyDescent="0.2">
      <c r="A48" s="38" t="s">
        <v>370</v>
      </c>
      <c r="B48" s="277">
        <v>59956.26614</v>
      </c>
      <c r="C48" s="278">
        <v>75806.336840000004</v>
      </c>
      <c r="D48" s="250">
        <f t="shared" si="6"/>
        <v>26.4</v>
      </c>
      <c r="E48" s="27">
        <f>IFERROR(100/'Skjema total MA'!C48*C48,0)</f>
        <v>4.0115355359865932</v>
      </c>
      <c r="F48" s="145"/>
      <c r="G48" s="33"/>
      <c r="H48" s="145"/>
      <c r="I48" s="145"/>
      <c r="J48" s="33"/>
      <c r="K48" s="33"/>
      <c r="L48" s="158"/>
      <c r="M48" s="158"/>
      <c r="N48" s="148"/>
    </row>
    <row r="49" spans="1:14" s="3" customFormat="1" ht="15.75" x14ac:dyDescent="0.2">
      <c r="A49" s="38" t="s">
        <v>371</v>
      </c>
      <c r="B49" s="44"/>
      <c r="C49" s="283"/>
      <c r="D49" s="250"/>
      <c r="E49" s="27"/>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v>4045.3188760218</v>
      </c>
      <c r="C53" s="304">
        <v>2793.0740000000001</v>
      </c>
      <c r="D53" s="414">
        <f t="shared" si="6"/>
        <v>-31</v>
      </c>
      <c r="E53" s="11">
        <f>IFERROR(100/'Skjema total MA'!C53*C53,0)</f>
        <v>2.6110437043014603</v>
      </c>
      <c r="F53" s="145"/>
      <c r="G53" s="33"/>
      <c r="H53" s="145"/>
      <c r="I53" s="145"/>
      <c r="J53" s="33"/>
      <c r="K53" s="33"/>
      <c r="L53" s="158"/>
      <c r="M53" s="158"/>
      <c r="N53" s="148"/>
    </row>
    <row r="54" spans="1:14" s="3" customFormat="1" ht="15.75" x14ac:dyDescent="0.2">
      <c r="A54" s="38" t="s">
        <v>370</v>
      </c>
      <c r="B54" s="277">
        <v>4045.3188760218</v>
      </c>
      <c r="C54" s="278">
        <v>2793.0740000000001</v>
      </c>
      <c r="D54" s="250">
        <f t="shared" si="6"/>
        <v>-31</v>
      </c>
      <c r="E54" s="27">
        <f>IFERROR(100/'Skjema total MA'!C54*C54,0)</f>
        <v>3.0025772352216564</v>
      </c>
      <c r="F54" s="145"/>
      <c r="G54" s="33"/>
      <c r="H54" s="145"/>
      <c r="I54" s="145"/>
      <c r="J54" s="33"/>
      <c r="K54" s="33"/>
      <c r="L54" s="158"/>
      <c r="M54" s="158"/>
      <c r="N54" s="148"/>
    </row>
    <row r="55" spans="1:14" s="3" customFormat="1" ht="15.75" x14ac:dyDescent="0.2">
      <c r="A55" s="38" t="s">
        <v>371</v>
      </c>
      <c r="B55" s="277"/>
      <c r="C55" s="278"/>
      <c r="D55" s="250"/>
      <c r="E55" s="27"/>
      <c r="F55" s="145"/>
      <c r="G55" s="33"/>
      <c r="H55" s="145"/>
      <c r="I55" s="145"/>
      <c r="J55" s="33"/>
      <c r="K55" s="33"/>
      <c r="L55" s="158"/>
      <c r="M55" s="158"/>
      <c r="N55" s="148"/>
    </row>
    <row r="56" spans="1:14" s="3" customFormat="1" ht="15.75" x14ac:dyDescent="0.2">
      <c r="A56" s="39" t="s">
        <v>373</v>
      </c>
      <c r="B56" s="303">
        <v>490.762</v>
      </c>
      <c r="C56" s="304">
        <v>19.457000000000001</v>
      </c>
      <c r="D56" s="414">
        <f t="shared" si="6"/>
        <v>-96</v>
      </c>
      <c r="E56" s="11">
        <f>IFERROR(100/'Skjema total MA'!C56*C56,0)</f>
        <v>3.2899144769341186E-2</v>
      </c>
      <c r="F56" s="145"/>
      <c r="G56" s="33"/>
      <c r="H56" s="145"/>
      <c r="I56" s="145"/>
      <c r="J56" s="33"/>
      <c r="K56" s="33"/>
      <c r="L56" s="158"/>
      <c r="M56" s="158"/>
      <c r="N56" s="148"/>
    </row>
    <row r="57" spans="1:14" s="3" customFormat="1" ht="15.75" x14ac:dyDescent="0.2">
      <c r="A57" s="38" t="s">
        <v>370</v>
      </c>
      <c r="B57" s="277">
        <v>490.762</v>
      </c>
      <c r="C57" s="278">
        <v>19.457000000000001</v>
      </c>
      <c r="D57" s="250">
        <f t="shared" si="6"/>
        <v>-96</v>
      </c>
      <c r="E57" s="27">
        <f>IFERROR(100/'Skjema total MA'!C57*C57,0)</f>
        <v>3.2899144769341186E-2</v>
      </c>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292"/>
      <c r="F62" s="724"/>
      <c r="G62" s="724"/>
      <c r="H62" s="724"/>
      <c r="I62" s="292"/>
      <c r="J62" s="724"/>
      <c r="K62" s="724"/>
      <c r="L62" s="724"/>
      <c r="M62" s="292"/>
    </row>
    <row r="63" spans="1:14" x14ac:dyDescent="0.2">
      <c r="A63" s="144"/>
      <c r="B63" s="725" t="s">
        <v>0</v>
      </c>
      <c r="C63" s="726"/>
      <c r="D63" s="727"/>
      <c r="E63" s="293"/>
      <c r="F63" s="726" t="s">
        <v>1</v>
      </c>
      <c r="G63" s="726"/>
      <c r="H63" s="726"/>
      <c r="I63" s="297"/>
      <c r="J63" s="725" t="s">
        <v>2</v>
      </c>
      <c r="K63" s="726"/>
      <c r="L63" s="726"/>
      <c r="M63" s="297"/>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c r="C66" s="343"/>
      <c r="D66" s="340"/>
      <c r="E66" s="11"/>
      <c r="F66" s="342"/>
      <c r="G66" s="342"/>
      <c r="H66" s="340"/>
      <c r="I66" s="11"/>
      <c r="J66" s="302"/>
      <c r="K66" s="309"/>
      <c r="L66" s="414"/>
      <c r="M66" s="11"/>
    </row>
    <row r="67" spans="1:14" x14ac:dyDescent="0.2">
      <c r="A67" s="405" t="s">
        <v>9</v>
      </c>
      <c r="B67" s="44"/>
      <c r="C67" s="145"/>
      <c r="D67" s="165"/>
      <c r="E67" s="27"/>
      <c r="F67" s="230"/>
      <c r="G67" s="145"/>
      <c r="H67" s="165"/>
      <c r="I67" s="27"/>
      <c r="J67" s="283"/>
      <c r="K67" s="44"/>
      <c r="L67" s="250"/>
      <c r="M67" s="27"/>
    </row>
    <row r="68" spans="1:14" x14ac:dyDescent="0.2">
      <c r="A68" s="21" t="s">
        <v>10</v>
      </c>
      <c r="B68" s="287"/>
      <c r="C68" s="288"/>
      <c r="D68" s="165"/>
      <c r="E68" s="27"/>
      <c r="F68" s="287"/>
      <c r="G68" s="288"/>
      <c r="H68" s="165"/>
      <c r="I68" s="27"/>
      <c r="J68" s="283"/>
      <c r="K68" s="44"/>
      <c r="L68" s="250"/>
      <c r="M68" s="27"/>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c r="C75" s="145"/>
      <c r="D75" s="165"/>
      <c r="E75" s="27"/>
      <c r="F75" s="230"/>
      <c r="G75" s="145"/>
      <c r="H75" s="165"/>
      <c r="I75" s="27"/>
      <c r="J75" s="283"/>
      <c r="K75" s="44"/>
      <c r="L75" s="250"/>
      <c r="M75" s="27"/>
      <c r="N75" s="148"/>
    </row>
    <row r="76" spans="1:14" s="3" customFormat="1" x14ac:dyDescent="0.2">
      <c r="A76" s="21" t="s">
        <v>343</v>
      </c>
      <c r="B76" s="230"/>
      <c r="C76" s="145"/>
      <c r="D76" s="165"/>
      <c r="E76" s="27"/>
      <c r="F76" s="230"/>
      <c r="G76" s="145"/>
      <c r="H76" s="165"/>
      <c r="I76" s="27"/>
      <c r="J76" s="283"/>
      <c r="K76" s="44"/>
      <c r="L76" s="250"/>
      <c r="M76" s="27"/>
      <c r="N76" s="148"/>
    </row>
    <row r="77" spans="1:14" ht="15.75" x14ac:dyDescent="0.2">
      <c r="A77" s="21" t="s">
        <v>376</v>
      </c>
      <c r="B77" s="230"/>
      <c r="C77" s="230"/>
      <c r="D77" s="165"/>
      <c r="E77" s="27"/>
      <c r="F77" s="230"/>
      <c r="G77" s="145"/>
      <c r="H77" s="165"/>
      <c r="I77" s="27"/>
      <c r="J77" s="283"/>
      <c r="K77" s="44"/>
      <c r="L77" s="250"/>
      <c r="M77" s="27"/>
    </row>
    <row r="78" spans="1:14" x14ac:dyDescent="0.2">
      <c r="A78" s="21" t="s">
        <v>9</v>
      </c>
      <c r="B78" s="230"/>
      <c r="C78" s="145"/>
      <c r="D78" s="165"/>
      <c r="E78" s="27"/>
      <c r="F78" s="230"/>
      <c r="G78" s="145"/>
      <c r="H78" s="165"/>
      <c r="I78" s="27"/>
      <c r="J78" s="283"/>
      <c r="K78" s="44"/>
      <c r="L78" s="250"/>
      <c r="M78" s="27"/>
    </row>
    <row r="79" spans="1:14" x14ac:dyDescent="0.2">
      <c r="A79" s="38" t="s">
        <v>413</v>
      </c>
      <c r="B79" s="287"/>
      <c r="C79" s="288"/>
      <c r="D79" s="165"/>
      <c r="E79" s="27"/>
      <c r="F79" s="287"/>
      <c r="G79" s="288"/>
      <c r="H79" s="165"/>
      <c r="I79" s="27"/>
      <c r="J79" s="283"/>
      <c r="K79" s="44"/>
      <c r="L79" s="250"/>
      <c r="M79" s="27"/>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c r="C86" s="145"/>
      <c r="D86" s="165"/>
      <c r="E86" s="27"/>
      <c r="F86" s="230"/>
      <c r="G86" s="145"/>
      <c r="H86" s="165"/>
      <c r="I86" s="27"/>
      <c r="J86" s="283"/>
      <c r="K86" s="44"/>
      <c r="L86" s="250"/>
      <c r="M86" s="27"/>
    </row>
    <row r="87" spans="1:13" ht="15.75" x14ac:dyDescent="0.2">
      <c r="A87" s="13" t="s">
        <v>359</v>
      </c>
      <c r="B87" s="343"/>
      <c r="C87" s="343"/>
      <c r="D87" s="170"/>
      <c r="E87" s="11"/>
      <c r="F87" s="342"/>
      <c r="G87" s="342"/>
      <c r="H87" s="170"/>
      <c r="I87" s="11"/>
      <c r="J87" s="302"/>
      <c r="K87" s="232"/>
      <c r="L87" s="414"/>
      <c r="M87" s="11"/>
    </row>
    <row r="88" spans="1:13" x14ac:dyDescent="0.2">
      <c r="A88" s="21" t="s">
        <v>9</v>
      </c>
      <c r="B88" s="230"/>
      <c r="C88" s="145"/>
      <c r="D88" s="165"/>
      <c r="E88" s="27"/>
      <c r="F88" s="230"/>
      <c r="G88" s="145"/>
      <c r="H88" s="165"/>
      <c r="I88" s="27"/>
      <c r="J88" s="283"/>
      <c r="K88" s="44"/>
      <c r="L88" s="250"/>
      <c r="M88" s="27"/>
    </row>
    <row r="89" spans="1:13" x14ac:dyDescent="0.2">
      <c r="A89" s="21" t="s">
        <v>10</v>
      </c>
      <c r="B89" s="230"/>
      <c r="C89" s="145"/>
      <c r="D89" s="165"/>
      <c r="E89" s="27"/>
      <c r="F89" s="230"/>
      <c r="G89" s="145"/>
      <c r="H89" s="165"/>
      <c r="I89" s="27"/>
      <c r="J89" s="283"/>
      <c r="K89" s="44"/>
      <c r="L89" s="250"/>
      <c r="M89" s="27"/>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c r="C97" s="145"/>
      <c r="D97" s="165"/>
      <c r="E97" s="27"/>
      <c r="F97" s="230"/>
      <c r="G97" s="145"/>
      <c r="H97" s="165"/>
      <c r="I97" s="27"/>
      <c r="J97" s="283"/>
      <c r="K97" s="44"/>
      <c r="L97" s="250"/>
      <c r="M97" s="27"/>
    </row>
    <row r="98" spans="1:13" ht="15.75" x14ac:dyDescent="0.2">
      <c r="A98" s="21" t="s">
        <v>376</v>
      </c>
      <c r="B98" s="230"/>
      <c r="C98" s="230"/>
      <c r="D98" s="165"/>
      <c r="E98" s="27"/>
      <c r="F98" s="287"/>
      <c r="G98" s="287"/>
      <c r="H98" s="165"/>
      <c r="I98" s="27"/>
      <c r="J98" s="283"/>
      <c r="K98" s="44"/>
      <c r="L98" s="250"/>
      <c r="M98" s="27"/>
    </row>
    <row r="99" spans="1:13" x14ac:dyDescent="0.2">
      <c r="A99" s="21" t="s">
        <v>9</v>
      </c>
      <c r="B99" s="287"/>
      <c r="C99" s="288"/>
      <c r="D99" s="165"/>
      <c r="E99" s="27"/>
      <c r="F99" s="230"/>
      <c r="G99" s="145"/>
      <c r="H99" s="165"/>
      <c r="I99" s="27"/>
      <c r="J99" s="283"/>
      <c r="K99" s="44"/>
      <c r="L99" s="250"/>
      <c r="M99" s="27"/>
    </row>
    <row r="100" spans="1:13" x14ac:dyDescent="0.2">
      <c r="A100" s="38" t="s">
        <v>413</v>
      </c>
      <c r="B100" s="287"/>
      <c r="C100" s="288"/>
      <c r="D100" s="165"/>
      <c r="E100" s="27"/>
      <c r="F100" s="230"/>
      <c r="G100" s="230"/>
      <c r="H100" s="165"/>
      <c r="I100" s="27"/>
      <c r="J100" s="283"/>
      <c r="K100" s="44"/>
      <c r="L100" s="250"/>
      <c r="M100" s="27"/>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c r="C107" s="145"/>
      <c r="D107" s="165"/>
      <c r="E107" s="27"/>
      <c r="F107" s="230"/>
      <c r="G107" s="145"/>
      <c r="H107" s="165"/>
      <c r="I107" s="27"/>
      <c r="J107" s="283"/>
      <c r="K107" s="44"/>
      <c r="L107" s="250"/>
      <c r="M107" s="27"/>
    </row>
    <row r="108" spans="1:13" ht="15.75" x14ac:dyDescent="0.2">
      <c r="A108" s="21" t="s">
        <v>378</v>
      </c>
      <c r="B108" s="230"/>
      <c r="C108" s="230"/>
      <c r="D108" s="165"/>
      <c r="E108" s="27"/>
      <c r="F108" s="230"/>
      <c r="G108" s="230"/>
      <c r="H108" s="165"/>
      <c r="I108" s="27"/>
      <c r="J108" s="283"/>
      <c r="K108" s="44"/>
      <c r="L108" s="250"/>
      <c r="M108" s="27"/>
    </row>
    <row r="109" spans="1:13" ht="15.6" customHeight="1" x14ac:dyDescent="0.2">
      <c r="A109" s="21" t="s">
        <v>430</v>
      </c>
      <c r="B109" s="230"/>
      <c r="C109" s="230"/>
      <c r="D109" s="165"/>
      <c r="E109" s="27"/>
      <c r="F109" s="230"/>
      <c r="G109" s="230"/>
      <c r="H109" s="165"/>
      <c r="I109" s="27"/>
      <c r="J109" s="283"/>
      <c r="K109" s="44"/>
      <c r="L109" s="250"/>
      <c r="M109" s="27"/>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c r="C111" s="158"/>
      <c r="D111" s="170"/>
      <c r="E111" s="11"/>
      <c r="F111" s="301"/>
      <c r="G111" s="158"/>
      <c r="H111" s="170"/>
      <c r="I111" s="11"/>
      <c r="J111" s="302"/>
      <c r="K111" s="232"/>
      <c r="L111" s="414"/>
      <c r="M111" s="11"/>
    </row>
    <row r="112" spans="1:13" x14ac:dyDescent="0.2">
      <c r="A112" s="21" t="s">
        <v>9</v>
      </c>
      <c r="B112" s="230"/>
      <c r="C112" s="145"/>
      <c r="D112" s="165"/>
      <c r="E112" s="27"/>
      <c r="F112" s="230"/>
      <c r="G112" s="145"/>
      <c r="H112" s="165"/>
      <c r="I112" s="27"/>
      <c r="J112" s="283"/>
      <c r="K112" s="44"/>
      <c r="L112" s="250"/>
      <c r="M112" s="27"/>
    </row>
    <row r="113" spans="1:14" x14ac:dyDescent="0.2">
      <c r="A113" s="21" t="s">
        <v>10</v>
      </c>
      <c r="B113" s="230"/>
      <c r="C113" s="145"/>
      <c r="D113" s="165"/>
      <c r="E113" s="27"/>
      <c r="F113" s="230"/>
      <c r="G113" s="145"/>
      <c r="H113" s="165"/>
      <c r="I113" s="27"/>
      <c r="J113" s="283"/>
      <c r="K113" s="44"/>
      <c r="L113" s="250"/>
      <c r="M113" s="27"/>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c r="C116" s="230"/>
      <c r="D116" s="165"/>
      <c r="E116" s="27"/>
      <c r="F116" s="230"/>
      <c r="G116" s="230"/>
      <c r="H116" s="165"/>
      <c r="I116" s="27"/>
      <c r="J116" s="283"/>
      <c r="K116" s="44"/>
      <c r="L116" s="250"/>
      <c r="M116" s="27"/>
    </row>
    <row r="117" spans="1:14" ht="15.6" customHeight="1" x14ac:dyDescent="0.2">
      <c r="A117" s="21" t="s">
        <v>430</v>
      </c>
      <c r="B117" s="230"/>
      <c r="C117" s="230"/>
      <c r="D117" s="165"/>
      <c r="E117" s="27"/>
      <c r="F117" s="230"/>
      <c r="G117" s="230"/>
      <c r="H117" s="165"/>
      <c r="I117" s="27"/>
      <c r="J117" s="283"/>
      <c r="K117" s="44"/>
      <c r="L117" s="250"/>
      <c r="M117" s="27"/>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c r="C119" s="158"/>
      <c r="D119" s="170"/>
      <c r="E119" s="11"/>
      <c r="F119" s="301"/>
      <c r="G119" s="158"/>
      <c r="H119" s="170"/>
      <c r="I119" s="11"/>
      <c r="J119" s="302"/>
      <c r="K119" s="232"/>
      <c r="L119" s="414"/>
      <c r="M119" s="11"/>
    </row>
    <row r="120" spans="1:14" x14ac:dyDescent="0.2">
      <c r="A120" s="21" t="s">
        <v>9</v>
      </c>
      <c r="B120" s="230"/>
      <c r="C120" s="145"/>
      <c r="D120" s="165"/>
      <c r="E120" s="27"/>
      <c r="F120" s="230"/>
      <c r="G120" s="145"/>
      <c r="H120" s="165"/>
      <c r="I120" s="27"/>
      <c r="J120" s="283"/>
      <c r="K120" s="44"/>
      <c r="L120" s="250"/>
      <c r="M120" s="27"/>
    </row>
    <row r="121" spans="1:14" x14ac:dyDescent="0.2">
      <c r="A121" s="21" t="s">
        <v>10</v>
      </c>
      <c r="B121" s="230"/>
      <c r="C121" s="145"/>
      <c r="D121" s="165"/>
      <c r="E121" s="27"/>
      <c r="F121" s="230"/>
      <c r="G121" s="145"/>
      <c r="H121" s="165"/>
      <c r="I121" s="27"/>
      <c r="J121" s="283"/>
      <c r="K121" s="44"/>
      <c r="L121" s="250"/>
      <c r="M121" s="27"/>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c r="C125" s="230"/>
      <c r="D125" s="165"/>
      <c r="E125" s="27"/>
      <c r="F125" s="230"/>
      <c r="G125" s="230"/>
      <c r="H125" s="165"/>
      <c r="I125" s="27"/>
      <c r="J125" s="283"/>
      <c r="K125" s="44"/>
      <c r="L125" s="250"/>
      <c r="M125" s="27"/>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292"/>
      <c r="F130" s="724"/>
      <c r="G130" s="724"/>
      <c r="H130" s="724"/>
      <c r="I130" s="292"/>
      <c r="J130" s="724"/>
      <c r="K130" s="724"/>
      <c r="L130" s="724"/>
      <c r="M130" s="292"/>
    </row>
    <row r="131" spans="1:14" s="3" customFormat="1" x14ac:dyDescent="0.2">
      <c r="A131" s="144"/>
      <c r="B131" s="725" t="s">
        <v>0</v>
      </c>
      <c r="C131" s="726"/>
      <c r="D131" s="726"/>
      <c r="E131" s="294"/>
      <c r="F131" s="725" t="s">
        <v>1</v>
      </c>
      <c r="G131" s="726"/>
      <c r="H131" s="726"/>
      <c r="I131" s="297"/>
      <c r="J131" s="725" t="s">
        <v>2</v>
      </c>
      <c r="K131" s="726"/>
      <c r="L131" s="726"/>
      <c r="M131" s="297"/>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c r="C134" s="302"/>
      <c r="D134" s="340"/>
      <c r="E134" s="11"/>
      <c r="F134" s="309"/>
      <c r="G134" s="310"/>
      <c r="H134" s="417"/>
      <c r="I134" s="24"/>
      <c r="J134" s="311"/>
      <c r="K134" s="311"/>
      <c r="L134" s="413"/>
      <c r="M134" s="11"/>
      <c r="N134" s="148"/>
    </row>
    <row r="135" spans="1:14" s="3" customFormat="1" ht="15.75" x14ac:dyDescent="0.2">
      <c r="A135" s="13" t="s">
        <v>386</v>
      </c>
      <c r="B135" s="232"/>
      <c r="C135" s="302"/>
      <c r="D135" s="170"/>
      <c r="E135" s="11"/>
      <c r="F135" s="232"/>
      <c r="G135" s="302"/>
      <c r="H135" s="418"/>
      <c r="I135" s="24"/>
      <c r="J135" s="301"/>
      <c r="K135" s="301"/>
      <c r="L135" s="414"/>
      <c r="M135" s="11"/>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42" priority="12">
      <formula>kvartal &lt; 4</formula>
    </cfRule>
  </conditionalFormatting>
  <conditionalFormatting sqref="A69:A74">
    <cfRule type="expression" dxfId="341" priority="10">
      <formula>kvartal &lt; 4</formula>
    </cfRule>
  </conditionalFormatting>
  <conditionalFormatting sqref="A80:A85">
    <cfRule type="expression" dxfId="340" priority="9">
      <formula>kvartal &lt; 4</formula>
    </cfRule>
  </conditionalFormatting>
  <conditionalFormatting sqref="A90:A95">
    <cfRule type="expression" dxfId="339" priority="6">
      <formula>kvartal &lt; 4</formula>
    </cfRule>
  </conditionalFormatting>
  <conditionalFormatting sqref="A101:A106">
    <cfRule type="expression" dxfId="338" priority="5">
      <formula>kvartal &lt; 4</formula>
    </cfRule>
  </conditionalFormatting>
  <conditionalFormatting sqref="A115">
    <cfRule type="expression" dxfId="337" priority="4">
      <formula>kvartal &lt; 4</formula>
    </cfRule>
  </conditionalFormatting>
  <conditionalFormatting sqref="A123">
    <cfRule type="expression" dxfId="336" priority="3">
      <formula>kvartal &lt; 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election activeCell="A3" sqref="A3"/>
    </sheetView>
  </sheetViews>
  <sheetFormatPr baseColWidth="10" defaultColWidth="11.42578125" defaultRowHeight="25.5" x14ac:dyDescent="0.35"/>
  <cols>
    <col min="1" max="1" width="11.42578125" style="67"/>
    <col min="2" max="2" width="25" style="67" customWidth="1"/>
    <col min="3" max="3" width="141.7109375" style="67" customWidth="1"/>
    <col min="4" max="16384" width="11.42578125" style="67"/>
  </cols>
  <sheetData>
    <row r="1" spans="1:14" ht="20.100000000000001" customHeight="1" x14ac:dyDescent="0.35">
      <c r="C1" s="68"/>
      <c r="D1" s="69"/>
      <c r="E1" s="69"/>
      <c r="F1" s="69"/>
      <c r="G1" s="69"/>
      <c r="H1" s="69"/>
      <c r="I1" s="69"/>
      <c r="J1" s="69"/>
      <c r="K1" s="69"/>
      <c r="L1" s="69"/>
      <c r="M1" s="69"/>
      <c r="N1" s="69"/>
    </row>
    <row r="2" spans="1:14" ht="20.100000000000001" customHeight="1" x14ac:dyDescent="0.35">
      <c r="C2" s="271" t="s">
        <v>31</v>
      </c>
      <c r="D2" s="69"/>
      <c r="E2" s="69"/>
      <c r="F2" s="69"/>
      <c r="G2" s="69"/>
      <c r="H2" s="69"/>
      <c r="I2" s="69"/>
      <c r="J2" s="69"/>
      <c r="K2" s="69"/>
      <c r="L2" s="69"/>
      <c r="M2" s="69"/>
      <c r="N2" s="69"/>
    </row>
    <row r="3" spans="1:14" ht="20.100000000000001" customHeight="1" x14ac:dyDescent="0.35">
      <c r="C3" s="70"/>
      <c r="D3" s="69"/>
      <c r="E3" s="69"/>
      <c r="F3" s="69"/>
      <c r="G3" s="69"/>
      <c r="H3" s="69"/>
      <c r="I3" s="69"/>
      <c r="J3" s="69"/>
      <c r="K3" s="69"/>
      <c r="L3" s="69"/>
      <c r="M3" s="69"/>
      <c r="N3" s="69"/>
    </row>
    <row r="4" spans="1:14" ht="20.100000000000001" customHeight="1" x14ac:dyDescent="0.35">
      <c r="C4" s="70"/>
      <c r="D4" s="69"/>
      <c r="E4" s="69"/>
      <c r="F4" s="69"/>
      <c r="G4" s="69"/>
      <c r="H4" s="69"/>
      <c r="I4" s="69"/>
      <c r="J4" s="69"/>
      <c r="K4" s="69"/>
      <c r="L4" s="69"/>
      <c r="M4" s="69"/>
      <c r="N4" s="69"/>
    </row>
    <row r="5" spans="1:14" ht="20.100000000000001" customHeight="1" x14ac:dyDescent="0.35">
      <c r="A5" s="70"/>
      <c r="B5" s="70"/>
      <c r="C5" s="70"/>
      <c r="D5" s="69"/>
      <c r="E5" s="69"/>
      <c r="F5" s="69"/>
      <c r="G5" s="69"/>
      <c r="H5" s="69"/>
      <c r="I5" s="69"/>
      <c r="J5" s="69"/>
      <c r="K5" s="69"/>
      <c r="L5" s="69"/>
      <c r="M5" s="69"/>
      <c r="N5" s="69"/>
    </row>
    <row r="6" spans="1:14" ht="20.100000000000001" customHeight="1" x14ac:dyDescent="0.35">
      <c r="A6" s="71" t="s">
        <v>32</v>
      </c>
      <c r="B6" s="71"/>
      <c r="C6" s="70"/>
      <c r="D6" s="69"/>
      <c r="E6" s="69"/>
      <c r="F6" s="69"/>
      <c r="G6" s="69"/>
      <c r="H6" s="69"/>
      <c r="I6" s="69"/>
      <c r="J6" s="69"/>
      <c r="K6" s="69"/>
      <c r="L6" s="69"/>
      <c r="M6" s="69"/>
      <c r="N6" s="69"/>
    </row>
    <row r="7" spans="1:14" ht="20.100000000000001" customHeight="1" x14ac:dyDescent="0.35">
      <c r="A7" s="70"/>
      <c r="B7" s="70" t="s">
        <v>33</v>
      </c>
      <c r="C7" s="70" t="s">
        <v>34</v>
      </c>
      <c r="D7" s="69"/>
      <c r="E7" s="69"/>
      <c r="F7" s="69"/>
      <c r="G7" s="69"/>
      <c r="H7" s="69"/>
      <c r="I7" s="69"/>
      <c r="J7" s="69"/>
      <c r="K7" s="69"/>
      <c r="L7" s="69"/>
      <c r="M7" s="69"/>
      <c r="N7" s="69"/>
    </row>
    <row r="8" spans="1:14" ht="20.100000000000001" customHeight="1" x14ac:dyDescent="0.35">
      <c r="A8" s="70"/>
      <c r="B8" s="70" t="s">
        <v>35</v>
      </c>
      <c r="C8" s="70" t="s">
        <v>36</v>
      </c>
      <c r="D8" s="69"/>
      <c r="E8" s="69"/>
      <c r="F8" s="69"/>
      <c r="G8" s="69"/>
      <c r="H8" s="69"/>
      <c r="I8" s="69"/>
      <c r="J8" s="69"/>
      <c r="K8" s="69"/>
      <c r="L8" s="69"/>
      <c r="M8" s="69"/>
      <c r="N8" s="69"/>
    </row>
    <row r="9" spans="1:14" ht="20.100000000000001" customHeight="1" x14ac:dyDescent="0.35">
      <c r="A9" s="70"/>
      <c r="B9" s="70" t="s">
        <v>37</v>
      </c>
      <c r="C9" s="70" t="s">
        <v>40</v>
      </c>
      <c r="D9" s="69"/>
      <c r="E9" s="69"/>
      <c r="F9" s="69"/>
      <c r="G9" s="69"/>
      <c r="H9" s="69"/>
      <c r="I9" s="69"/>
      <c r="J9" s="69"/>
      <c r="K9" s="69"/>
      <c r="L9" s="69"/>
      <c r="M9" s="69"/>
      <c r="N9" s="69"/>
    </row>
    <row r="10" spans="1:14" ht="20.100000000000001" customHeight="1" x14ac:dyDescent="0.35">
      <c r="A10" s="70"/>
      <c r="B10" s="70" t="s">
        <v>38</v>
      </c>
      <c r="C10" s="70" t="s">
        <v>42</v>
      </c>
      <c r="D10" s="69"/>
      <c r="E10" s="69"/>
      <c r="F10" s="69"/>
      <c r="G10" s="69"/>
      <c r="H10" s="69"/>
      <c r="I10" s="69"/>
      <c r="J10" s="69"/>
      <c r="K10" s="69"/>
      <c r="L10" s="69"/>
      <c r="M10" s="69"/>
      <c r="N10" s="69"/>
    </row>
    <row r="11" spans="1:14" ht="20.100000000000001" customHeight="1" x14ac:dyDescent="0.35">
      <c r="A11" s="70"/>
      <c r="B11" s="70" t="s">
        <v>39</v>
      </c>
      <c r="C11" s="70" t="s">
        <v>43</v>
      </c>
      <c r="D11" s="69"/>
      <c r="E11" s="69"/>
      <c r="F11" s="69"/>
      <c r="G11" s="69"/>
      <c r="H11" s="69"/>
      <c r="I11" s="69"/>
      <c r="J11" s="69"/>
      <c r="K11" s="69"/>
      <c r="L11" s="69"/>
      <c r="M11" s="69"/>
      <c r="N11" s="69"/>
    </row>
    <row r="12" spans="1:14" ht="20.100000000000001" customHeight="1" x14ac:dyDescent="0.35">
      <c r="A12" s="70"/>
      <c r="B12" s="70" t="s">
        <v>41</v>
      </c>
      <c r="C12" s="70" t="s">
        <v>44</v>
      </c>
      <c r="D12" s="69"/>
      <c r="E12" s="69"/>
      <c r="F12" s="69"/>
      <c r="G12" s="69"/>
      <c r="H12" s="69"/>
      <c r="I12" s="69"/>
      <c r="J12" s="69"/>
      <c r="K12" s="69"/>
      <c r="L12" s="69"/>
      <c r="M12" s="69"/>
      <c r="N12" s="69"/>
    </row>
    <row r="13" spans="1:14" ht="18.75" customHeight="1" x14ac:dyDescent="0.35">
      <c r="A13" s="70"/>
      <c r="B13" s="70"/>
      <c r="C13" s="70"/>
      <c r="D13" s="69"/>
      <c r="E13" s="69"/>
      <c r="F13" s="69"/>
      <c r="G13" s="69"/>
      <c r="H13" s="69"/>
      <c r="I13" s="69"/>
      <c r="J13" s="69"/>
      <c r="K13" s="69"/>
      <c r="L13" s="69"/>
      <c r="M13" s="69"/>
      <c r="N13" s="69"/>
    </row>
    <row r="14" spans="1:14" ht="20.100000000000001" customHeight="1" x14ac:dyDescent="0.35">
      <c r="A14" s="270" t="s">
        <v>45</v>
      </c>
      <c r="B14" s="71"/>
      <c r="C14" s="70"/>
      <c r="D14" s="69"/>
      <c r="E14" s="69"/>
      <c r="F14" s="69"/>
      <c r="G14" s="69"/>
      <c r="H14" s="69"/>
      <c r="I14" s="69"/>
      <c r="J14" s="69"/>
      <c r="K14" s="69"/>
      <c r="L14" s="69"/>
      <c r="M14" s="69"/>
      <c r="N14" s="69"/>
    </row>
    <row r="15" spans="1:14" ht="20.100000000000001" customHeight="1" x14ac:dyDescent="0.35">
      <c r="A15" s="70"/>
      <c r="B15" s="70" t="s">
        <v>46</v>
      </c>
      <c r="C15" s="70"/>
      <c r="D15" s="69"/>
      <c r="E15" s="69"/>
      <c r="F15" s="69"/>
      <c r="G15" s="69"/>
      <c r="H15" s="69"/>
      <c r="I15" s="69"/>
      <c r="J15" s="69"/>
      <c r="K15" s="69"/>
      <c r="L15" s="69"/>
      <c r="M15" s="69"/>
      <c r="N15" s="69"/>
    </row>
    <row r="16" spans="1:14" ht="20.100000000000001" customHeight="1" x14ac:dyDescent="0.35">
      <c r="A16" s="70"/>
      <c r="B16" s="71" t="s">
        <v>47</v>
      </c>
      <c r="C16" s="70" t="s">
        <v>48</v>
      </c>
      <c r="D16" s="69"/>
      <c r="E16" s="69"/>
      <c r="F16" s="69"/>
      <c r="G16" s="69"/>
      <c r="H16" s="69"/>
      <c r="I16" s="69"/>
      <c r="J16" s="69"/>
      <c r="K16" s="69"/>
      <c r="L16" s="69"/>
      <c r="M16" s="69"/>
      <c r="N16" s="69"/>
    </row>
    <row r="17" spans="1:14" ht="20.100000000000001" customHeight="1" x14ac:dyDescent="0.35">
      <c r="A17" s="70"/>
      <c r="B17" s="71" t="s">
        <v>49</v>
      </c>
      <c r="C17" s="70" t="s">
        <v>50</v>
      </c>
      <c r="D17" s="69"/>
      <c r="E17" s="69"/>
      <c r="F17" s="69"/>
      <c r="G17" s="69"/>
      <c r="H17" s="69"/>
      <c r="I17" s="69"/>
      <c r="J17" s="69"/>
      <c r="K17" s="69"/>
      <c r="L17" s="69"/>
      <c r="M17" s="69"/>
      <c r="N17" s="69"/>
    </row>
    <row r="18" spans="1:14" ht="20.100000000000001" customHeight="1" x14ac:dyDescent="0.35">
      <c r="A18" s="70"/>
      <c r="B18" s="71" t="s">
        <v>335</v>
      </c>
      <c r="C18" s="70" t="s">
        <v>336</v>
      </c>
      <c r="D18" s="69"/>
      <c r="E18" s="69"/>
      <c r="F18" s="69"/>
      <c r="G18" s="69"/>
      <c r="H18" s="69"/>
      <c r="I18" s="69"/>
      <c r="J18" s="69"/>
      <c r="K18" s="69"/>
      <c r="L18" s="69"/>
      <c r="M18" s="69"/>
      <c r="N18" s="69"/>
    </row>
    <row r="19" spans="1:14" ht="20.100000000000001" customHeight="1" x14ac:dyDescent="0.35">
      <c r="A19" s="70"/>
      <c r="B19" s="70" t="s">
        <v>337</v>
      </c>
      <c r="C19" s="70" t="s">
        <v>265</v>
      </c>
      <c r="D19" s="69"/>
      <c r="E19" s="69"/>
      <c r="F19" s="69"/>
      <c r="G19" s="69"/>
      <c r="H19" s="69"/>
      <c r="I19" s="69"/>
      <c r="J19" s="69"/>
      <c r="K19" s="69"/>
      <c r="L19" s="69"/>
      <c r="M19" s="69"/>
      <c r="N19" s="69"/>
    </row>
    <row r="20" spans="1:14" s="338" customFormat="1" ht="20.100000000000001" customHeight="1" x14ac:dyDescent="0.35">
      <c r="A20" s="336"/>
      <c r="B20" s="336" t="s">
        <v>339</v>
      </c>
      <c r="C20" s="336" t="s">
        <v>338</v>
      </c>
      <c r="D20" s="337"/>
      <c r="E20" s="337"/>
      <c r="F20" s="337"/>
      <c r="G20" s="337"/>
      <c r="H20" s="337"/>
      <c r="I20" s="337"/>
      <c r="J20" s="337"/>
      <c r="K20" s="337"/>
      <c r="L20" s="337"/>
      <c r="M20" s="337"/>
      <c r="N20" s="337"/>
    </row>
    <row r="21" spans="1:14" ht="20.100000000000001" customHeight="1" x14ac:dyDescent="0.35">
      <c r="A21" s="70"/>
      <c r="B21" s="70"/>
      <c r="C21" s="70"/>
    </row>
    <row r="22" spans="1:14" ht="18.75" customHeight="1" x14ac:dyDescent="0.35">
      <c r="A22" s="70"/>
      <c r="B22" s="336" t="s">
        <v>249</v>
      </c>
      <c r="C22" s="336"/>
    </row>
    <row r="23" spans="1:14" ht="20.100000000000001" customHeight="1" x14ac:dyDescent="0.35">
      <c r="A23" s="70"/>
      <c r="B23" s="339" t="s">
        <v>250</v>
      </c>
      <c r="C23" s="336" t="s">
        <v>251</v>
      </c>
    </row>
    <row r="24" spans="1:14" ht="20.100000000000001" hidden="1" customHeight="1" x14ac:dyDescent="0.35">
      <c r="A24" s="70"/>
      <c r="B24" s="339" t="s">
        <v>252</v>
      </c>
      <c r="C24" s="336" t="s">
        <v>253</v>
      </c>
    </row>
    <row r="25" spans="1:14" ht="20.100000000000001" hidden="1" customHeight="1" x14ac:dyDescent="0.35">
      <c r="A25" s="70"/>
      <c r="B25" s="339" t="s">
        <v>254</v>
      </c>
      <c r="C25" s="336" t="s">
        <v>255</v>
      </c>
    </row>
    <row r="26" spans="1:14" ht="20.100000000000001" hidden="1" customHeight="1" x14ac:dyDescent="0.35">
      <c r="A26" s="70"/>
      <c r="B26" s="339" t="s">
        <v>256</v>
      </c>
      <c r="C26" s="336" t="s">
        <v>257</v>
      </c>
    </row>
    <row r="27" spans="1:14" ht="20.100000000000001" customHeight="1" x14ac:dyDescent="0.35">
      <c r="A27" s="70"/>
      <c r="B27" s="339" t="s">
        <v>168</v>
      </c>
      <c r="C27" s="336" t="s">
        <v>258</v>
      </c>
    </row>
    <row r="28" spans="1:14" ht="20.100000000000001" hidden="1" customHeight="1" x14ac:dyDescent="0.35">
      <c r="A28" s="70"/>
      <c r="B28" s="333" t="s">
        <v>259</v>
      </c>
      <c r="C28" s="269" t="s">
        <v>260</v>
      </c>
    </row>
    <row r="29" spans="1:14" ht="20.100000000000001" hidden="1" customHeight="1" x14ac:dyDescent="0.35">
      <c r="A29" s="70"/>
      <c r="B29" s="333" t="s">
        <v>261</v>
      </c>
      <c r="C29" s="269" t="s">
        <v>262</v>
      </c>
    </row>
    <row r="30" spans="1:14" ht="18.75" customHeight="1" x14ac:dyDescent="0.35">
      <c r="A30" s="70"/>
      <c r="B30" s="339" t="s">
        <v>263</v>
      </c>
      <c r="C30" s="336" t="s">
        <v>264</v>
      </c>
    </row>
    <row r="31" spans="1:14" ht="18.75" customHeight="1" x14ac:dyDescent="0.35">
      <c r="A31" s="70"/>
      <c r="B31" s="339"/>
      <c r="C31" s="336"/>
    </row>
    <row r="32" spans="1:14" ht="20.100000000000001" customHeight="1" x14ac:dyDescent="0.35">
      <c r="A32" s="70"/>
      <c r="B32" s="70"/>
      <c r="C32" s="70"/>
    </row>
    <row r="33" spans="1:14" x14ac:dyDescent="0.35">
      <c r="A33" s="71" t="s">
        <v>51</v>
      </c>
      <c r="B33" s="70"/>
      <c r="C33" s="70"/>
    </row>
    <row r="34" spans="1:14" ht="26.25" hidden="1" customHeight="1" x14ac:dyDescent="0.4">
      <c r="C34" s="72"/>
    </row>
    <row r="35" spans="1:14" ht="26.25" hidden="1" customHeight="1" x14ac:dyDescent="0.4">
      <c r="C35" s="72"/>
    </row>
    <row r="36" spans="1:14" ht="18.75" customHeight="1" x14ac:dyDescent="0.4">
      <c r="C36" s="334"/>
      <c r="D36" s="335"/>
    </row>
    <row r="37" spans="1:14" ht="26.25" x14ac:dyDescent="0.4">
      <c r="C37" s="72"/>
    </row>
    <row r="38" spans="1:14" ht="26.25" x14ac:dyDescent="0.4">
      <c r="C38" s="72"/>
    </row>
    <row r="39" spans="1:14" ht="26.25" x14ac:dyDescent="0.4">
      <c r="C39" s="334"/>
      <c r="D39" s="338"/>
      <c r="E39" s="338"/>
      <c r="F39" s="338"/>
      <c r="G39" s="338"/>
      <c r="H39" s="338"/>
      <c r="I39" s="338"/>
      <c r="J39" s="338"/>
      <c r="K39" s="338"/>
      <c r="L39" s="338"/>
      <c r="M39" s="338"/>
      <c r="N39" s="338"/>
    </row>
    <row r="40" spans="1:14" ht="26.25" x14ac:dyDescent="0.4">
      <c r="C40" s="72"/>
    </row>
    <row r="41" spans="1:14" ht="26.25" x14ac:dyDescent="0.4">
      <c r="C41" s="72"/>
    </row>
    <row r="42" spans="1:14" ht="26.25" x14ac:dyDescent="0.4">
      <c r="C42" s="72"/>
    </row>
    <row r="43" spans="1:14" ht="26.25" x14ac:dyDescent="0.4">
      <c r="C43" s="72"/>
    </row>
    <row r="44" spans="1:14" ht="26.25" x14ac:dyDescent="0.4">
      <c r="C44" s="72"/>
    </row>
    <row r="45" spans="1:14" ht="26.25" x14ac:dyDescent="0.4">
      <c r="C45" s="72"/>
    </row>
    <row r="46" spans="1:14" ht="26.25" x14ac:dyDescent="0.4">
      <c r="C46" s="72"/>
    </row>
    <row r="47" spans="1:14" ht="26.25" x14ac:dyDescent="0.4">
      <c r="C47" s="72"/>
    </row>
    <row r="48" spans="1:14" ht="26.25" x14ac:dyDescent="0.4">
      <c r="C48" s="72"/>
    </row>
    <row r="49" spans="3:3" ht="26.25" x14ac:dyDescent="0.4">
      <c r="C49" s="72"/>
    </row>
    <row r="50" spans="3:3" ht="26.25" x14ac:dyDescent="0.4">
      <c r="C50" s="72"/>
    </row>
    <row r="51" spans="3:3" ht="26.25" x14ac:dyDescent="0.4">
      <c r="C51" s="72"/>
    </row>
    <row r="52" spans="3:3" ht="26.25" x14ac:dyDescent="0.4">
      <c r="C52" s="72"/>
    </row>
    <row r="53" spans="3:3" ht="26.25" x14ac:dyDescent="0.4">
      <c r="C53" s="72"/>
    </row>
    <row r="54" spans="3:3" ht="26.25" x14ac:dyDescent="0.4">
      <c r="C54" s="72"/>
    </row>
    <row r="55" spans="3:3" ht="26.25" x14ac:dyDescent="0.4">
      <c r="C55" s="72"/>
    </row>
    <row r="56" spans="3:3" ht="26.25" x14ac:dyDescent="0.4">
      <c r="C56" s="72"/>
    </row>
    <row r="57" spans="3:3" ht="26.25" x14ac:dyDescent="0.4">
      <c r="C57" s="72"/>
    </row>
    <row r="58" spans="3:3" ht="26.25" x14ac:dyDescent="0.4">
      <c r="C58" s="72"/>
    </row>
  </sheetData>
  <hyperlinks>
    <hyperlink ref="A6" location="Figurer!A1" display="FIGURER" xr:uid="{00000000-0004-0000-0100-000000000000}"/>
    <hyperlink ref="A14" location="'Tabel 1.1'!A1" display="TABELLER" xr:uid="{00000000-0004-0000-0100-000001000000}"/>
    <hyperlink ref="B16" location="'Tabell 1.1'!A1" display="Tabell 1.1" xr:uid="{00000000-0004-0000-0100-000002000000}"/>
    <hyperlink ref="B17" location="'Tabell 1.2'!A1" display="Tabell 1.2" xr:uid="{00000000-0004-0000-0100-000003000000}"/>
    <hyperlink ref="A33" location="'Noter og kommentarer'!A1" display="NOTER OG KOMMENTARER" xr:uid="{00000000-0004-0000-0100-000004000000}"/>
    <hyperlink ref="B23" location="'Tabell 4'!A1" display="Tabell 4" xr:uid="{00000000-0004-0000-0100-000005000000}"/>
    <hyperlink ref="B27" location="'Tabell 6'!A1" display="Tabell 6" xr:uid="{00000000-0004-0000-0100-000006000000}"/>
    <hyperlink ref="B30" location="'Tabell 8'!A1" display="Tabell 8" xr:uid="{00000000-0004-0000-0100-000007000000}"/>
    <hyperlink ref="B24" location="'Tabell 5.1'!A1" display="Tabell 5.1" xr:uid="{00000000-0004-0000-0100-000008000000}"/>
    <hyperlink ref="B25" location="'Tabell 5.2'!A1" display="Tabell 5.2" xr:uid="{00000000-0004-0000-0100-000009000000}"/>
    <hyperlink ref="B26" location="'Tabell 5.3'!A1" display="Tabell 5.3" xr:uid="{00000000-0004-0000-0100-00000A000000}"/>
    <hyperlink ref="B28" location="'Tabell 7a'!A1" display="Tabell 7a" xr:uid="{00000000-0004-0000-0100-00000B000000}"/>
    <hyperlink ref="B29" location="'Tabell 7b'!A1" display="Tabell 7b" xr:uid="{00000000-0004-0000-0100-00000C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4"/>
  <dimension ref="A1:N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554" t="s">
        <v>399</v>
      </c>
      <c r="D1" s="26"/>
      <c r="E1" s="26"/>
      <c r="F1" s="26"/>
      <c r="G1" s="26"/>
      <c r="H1" s="26"/>
      <c r="I1" s="26"/>
      <c r="J1" s="26"/>
      <c r="K1" s="26"/>
      <c r="L1" s="26"/>
      <c r="M1" s="26"/>
    </row>
    <row r="2" spans="1:14" ht="15.75" x14ac:dyDescent="0.25">
      <c r="A2" s="164" t="s">
        <v>28</v>
      </c>
      <c r="B2" s="729"/>
      <c r="C2" s="729"/>
      <c r="D2" s="729"/>
      <c r="E2" s="292"/>
      <c r="F2" s="729"/>
      <c r="G2" s="729"/>
      <c r="H2" s="729"/>
      <c r="I2" s="292"/>
      <c r="J2" s="729"/>
      <c r="K2" s="729"/>
      <c r="L2" s="729"/>
      <c r="M2" s="292"/>
    </row>
    <row r="3" spans="1:14" ht="15.75" x14ac:dyDescent="0.25">
      <c r="A3" s="582"/>
      <c r="B3" s="575"/>
      <c r="C3" s="583"/>
      <c r="D3" s="575"/>
      <c r="E3" s="575"/>
      <c r="F3" s="292"/>
      <c r="G3" s="292"/>
      <c r="H3" s="292"/>
      <c r="I3" s="292"/>
      <c r="J3" s="292"/>
      <c r="K3" s="292"/>
      <c r="L3" s="292"/>
      <c r="M3" s="292"/>
    </row>
    <row r="4" spans="1:14" x14ac:dyDescent="0.2">
      <c r="A4" s="144"/>
      <c r="B4" s="725" t="s">
        <v>0</v>
      </c>
      <c r="C4" s="726"/>
      <c r="D4" s="726"/>
      <c r="E4" s="294"/>
      <c r="F4" s="725" t="s">
        <v>1</v>
      </c>
      <c r="G4" s="726"/>
      <c r="H4" s="726"/>
      <c r="I4" s="297"/>
      <c r="J4" s="725" t="s">
        <v>2</v>
      </c>
      <c r="K4" s="726"/>
      <c r="L4" s="726"/>
      <c r="M4" s="297"/>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v>8449</v>
      </c>
      <c r="C7" s="300"/>
      <c r="D7" s="340">
        <f>IF(B7=0, "    ---- ", IF(ABS(ROUND(100/B7*C7-100,1))&lt;999,ROUND(100/B7*C7-100,1),IF(ROUND(100/B7*C7-100,1)&gt;999,999,-999)))</f>
        <v>-100</v>
      </c>
      <c r="E7" s="11">
        <f>IFERROR(100/'Skjema total MA'!C7*C7,0)</f>
        <v>0</v>
      </c>
      <c r="F7" s="299"/>
      <c r="G7" s="300"/>
      <c r="H7" s="340"/>
      <c r="I7" s="159"/>
      <c r="J7" s="301">
        <f t="shared" ref="J7:K9" si="0">SUM(B7,F7)</f>
        <v>8449</v>
      </c>
      <c r="K7" s="302">
        <f t="shared" si="0"/>
        <v>0</v>
      </c>
      <c r="L7" s="413">
        <f>IF(J7=0, "    ---- ", IF(ABS(ROUND(100/J7*K7-100,1))&lt;999,ROUND(100/J7*K7-100,1),IF(ROUND(100/J7*K7-100,1)&gt;999,999,-999)))</f>
        <v>-100</v>
      </c>
      <c r="M7" s="11">
        <f>IFERROR(100/'Skjema total MA'!I7*K7,0)</f>
        <v>0</v>
      </c>
    </row>
    <row r="8" spans="1:14" ht="15.75" x14ac:dyDescent="0.2">
      <c r="A8" s="21" t="s">
        <v>25</v>
      </c>
      <c r="B8" s="277">
        <v>5308</v>
      </c>
      <c r="C8" s="278"/>
      <c r="D8" s="165">
        <f t="shared" ref="D8:D9" si="1">IF(B8=0, "    ---- ", IF(ABS(ROUND(100/B8*C8-100,1))&lt;999,ROUND(100/B8*C8-100,1),IF(ROUND(100/B8*C8-100,1)&gt;999,999,-999)))</f>
        <v>-100</v>
      </c>
      <c r="E8" s="27">
        <f>IFERROR(100/'Skjema total MA'!C8*C8,0)</f>
        <v>0</v>
      </c>
      <c r="F8" s="281"/>
      <c r="G8" s="282"/>
      <c r="H8" s="165"/>
      <c r="I8" s="174"/>
      <c r="J8" s="230">
        <f t="shared" si="0"/>
        <v>5308</v>
      </c>
      <c r="K8" s="283">
        <f t="shared" si="0"/>
        <v>0</v>
      </c>
      <c r="L8" s="165">
        <f t="shared" ref="L8:L9" si="2">IF(J8=0, "    ---- ", IF(ABS(ROUND(100/J8*K8-100,1))&lt;999,ROUND(100/J8*K8-100,1),IF(ROUND(100/J8*K8-100,1)&gt;999,999,-999)))</f>
        <v>-100</v>
      </c>
      <c r="M8" s="27">
        <f>IFERROR(100/'Skjema total MA'!I8*K8,0)</f>
        <v>0</v>
      </c>
    </row>
    <row r="9" spans="1:14" ht="15.75" x14ac:dyDescent="0.2">
      <c r="A9" s="21" t="s">
        <v>24</v>
      </c>
      <c r="B9" s="277">
        <v>3141</v>
      </c>
      <c r="C9" s="278"/>
      <c r="D9" s="165">
        <f t="shared" si="1"/>
        <v>-100</v>
      </c>
      <c r="E9" s="27">
        <f>IFERROR(100/'Skjema total MA'!C9*C9,0)</f>
        <v>0</v>
      </c>
      <c r="F9" s="281"/>
      <c r="G9" s="282"/>
      <c r="H9" s="165"/>
      <c r="I9" s="174"/>
      <c r="J9" s="230">
        <f t="shared" si="0"/>
        <v>3141</v>
      </c>
      <c r="K9" s="283">
        <f t="shared" si="0"/>
        <v>0</v>
      </c>
      <c r="L9" s="165">
        <f t="shared" si="2"/>
        <v>-100</v>
      </c>
      <c r="M9" s="27">
        <f>IFERROR(100/'Skjema total MA'!I9*K9,0)</f>
        <v>0</v>
      </c>
    </row>
    <row r="10" spans="1:14" ht="15.75" x14ac:dyDescent="0.2">
      <c r="A10" s="13" t="s">
        <v>359</v>
      </c>
      <c r="B10" s="303"/>
      <c r="C10" s="304"/>
      <c r="D10" s="170"/>
      <c r="E10" s="11"/>
      <c r="F10" s="303"/>
      <c r="G10" s="304"/>
      <c r="H10" s="170"/>
      <c r="I10" s="159"/>
      <c r="J10" s="301"/>
      <c r="K10" s="302"/>
      <c r="L10" s="414"/>
      <c r="M10" s="11"/>
    </row>
    <row r="11" spans="1:14" s="43" customFormat="1" ht="15.75" x14ac:dyDescent="0.2">
      <c r="A11" s="13" t="s">
        <v>360</v>
      </c>
      <c r="B11" s="303"/>
      <c r="C11" s="304"/>
      <c r="D11" s="170"/>
      <c r="E11" s="11"/>
      <c r="F11" s="303"/>
      <c r="G11" s="304"/>
      <c r="H11" s="170"/>
      <c r="I11" s="159"/>
      <c r="J11" s="301"/>
      <c r="K11" s="302"/>
      <c r="L11" s="414"/>
      <c r="M11" s="11"/>
      <c r="N11" s="143"/>
    </row>
    <row r="12" spans="1:14" s="43" customFormat="1" ht="15.75" x14ac:dyDescent="0.2">
      <c r="A12" s="41" t="s">
        <v>361</v>
      </c>
      <c r="B12" s="305"/>
      <c r="C12" s="306"/>
      <c r="D12" s="168"/>
      <c r="E12" s="36"/>
      <c r="F12" s="305"/>
      <c r="G12" s="306"/>
      <c r="H12" s="168"/>
      <c r="I12" s="168"/>
      <c r="J12" s="307"/>
      <c r="K12" s="308"/>
      <c r="L12" s="415"/>
      <c r="M12" s="36"/>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292"/>
      <c r="F18" s="724"/>
      <c r="G18" s="724"/>
      <c r="H18" s="724"/>
      <c r="I18" s="292"/>
      <c r="J18" s="724"/>
      <c r="K18" s="724"/>
      <c r="L18" s="724"/>
      <c r="M18" s="292"/>
    </row>
    <row r="19" spans="1:14" x14ac:dyDescent="0.2">
      <c r="A19" s="144"/>
      <c r="B19" s="725" t="s">
        <v>0</v>
      </c>
      <c r="C19" s="726"/>
      <c r="D19" s="726"/>
      <c r="E19" s="294"/>
      <c r="F19" s="725" t="s">
        <v>1</v>
      </c>
      <c r="G19" s="726"/>
      <c r="H19" s="726"/>
      <c r="I19" s="297"/>
      <c r="J19" s="725" t="s">
        <v>2</v>
      </c>
      <c r="K19" s="726"/>
      <c r="L19" s="726"/>
      <c r="M19" s="297"/>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303"/>
      <c r="C22" s="303"/>
      <c r="D22" s="340"/>
      <c r="E22" s="11"/>
      <c r="F22" s="311"/>
      <c r="G22" s="311"/>
      <c r="H22" s="340"/>
      <c r="I22" s="11"/>
      <c r="J22" s="309"/>
      <c r="K22" s="309"/>
      <c r="L22" s="413"/>
      <c r="M22" s="24"/>
    </row>
    <row r="23" spans="1:14" ht="15.75" x14ac:dyDescent="0.2">
      <c r="A23" s="555" t="s">
        <v>362</v>
      </c>
      <c r="B23" s="277"/>
      <c r="C23" s="277"/>
      <c r="D23" s="165"/>
      <c r="E23" s="11"/>
      <c r="F23" s="286"/>
      <c r="G23" s="286"/>
      <c r="H23" s="165"/>
      <c r="I23" s="403"/>
      <c r="J23" s="286"/>
      <c r="K23" s="286"/>
      <c r="L23" s="165"/>
      <c r="M23" s="23"/>
    </row>
    <row r="24" spans="1:14" ht="15.75" x14ac:dyDescent="0.2">
      <c r="A24" s="555" t="s">
        <v>363</v>
      </c>
      <c r="B24" s="277"/>
      <c r="C24" s="277"/>
      <c r="D24" s="165"/>
      <c r="E24" s="11"/>
      <c r="F24" s="286"/>
      <c r="G24" s="286"/>
      <c r="H24" s="165"/>
      <c r="I24" s="403"/>
      <c r="J24" s="286"/>
      <c r="K24" s="286"/>
      <c r="L24" s="165"/>
      <c r="M24" s="23"/>
    </row>
    <row r="25" spans="1:14" ht="15.75" x14ac:dyDescent="0.2">
      <c r="A25" s="555" t="s">
        <v>364</v>
      </c>
      <c r="B25" s="277"/>
      <c r="C25" s="277"/>
      <c r="D25" s="165"/>
      <c r="E25" s="11"/>
      <c r="F25" s="286"/>
      <c r="G25" s="286"/>
      <c r="H25" s="165"/>
      <c r="I25" s="403"/>
      <c r="J25" s="286"/>
      <c r="K25" s="286"/>
      <c r="L25" s="165"/>
      <c r="M25" s="23"/>
    </row>
    <row r="26" spans="1:14" ht="15.75" x14ac:dyDescent="0.2">
      <c r="A26" s="555" t="s">
        <v>365</v>
      </c>
      <c r="B26" s="277"/>
      <c r="C26" s="277"/>
      <c r="D26" s="165"/>
      <c r="E26" s="11"/>
      <c r="F26" s="286"/>
      <c r="G26" s="286"/>
      <c r="H26" s="165"/>
      <c r="I26" s="403"/>
      <c r="J26" s="286"/>
      <c r="K26" s="286"/>
      <c r="L26" s="165"/>
      <c r="M26" s="23"/>
    </row>
    <row r="27" spans="1:14" x14ac:dyDescent="0.2">
      <c r="A27" s="555" t="s">
        <v>11</v>
      </c>
      <c r="B27" s="277"/>
      <c r="C27" s="277"/>
      <c r="D27" s="165"/>
      <c r="E27" s="11"/>
      <c r="F27" s="286"/>
      <c r="G27" s="286"/>
      <c r="H27" s="165"/>
      <c r="I27" s="403"/>
      <c r="J27" s="286"/>
      <c r="K27" s="286"/>
      <c r="L27" s="165"/>
      <c r="M27" s="23"/>
    </row>
    <row r="28" spans="1:14" ht="15.75" x14ac:dyDescent="0.2">
      <c r="A28" s="49" t="s">
        <v>270</v>
      </c>
      <c r="B28" s="44"/>
      <c r="C28" s="283"/>
      <c r="D28" s="165"/>
      <c r="E28" s="11"/>
      <c r="F28" s="230"/>
      <c r="G28" s="283"/>
      <c r="H28" s="165"/>
      <c r="I28" s="27"/>
      <c r="J28" s="44"/>
      <c r="K28" s="44"/>
      <c r="L28" s="250"/>
      <c r="M28" s="23"/>
    </row>
    <row r="29" spans="1:14" s="3" customFormat="1" ht="15.75" x14ac:dyDescent="0.2">
      <c r="A29" s="13" t="s">
        <v>359</v>
      </c>
      <c r="B29" s="232"/>
      <c r="C29" s="232"/>
      <c r="D29" s="170"/>
      <c r="E29" s="11"/>
      <c r="F29" s="301"/>
      <c r="G29" s="301"/>
      <c r="H29" s="170"/>
      <c r="I29" s="11"/>
      <c r="J29" s="232"/>
      <c r="K29" s="232"/>
      <c r="L29" s="414"/>
      <c r="M29" s="24"/>
      <c r="N29" s="148"/>
    </row>
    <row r="30" spans="1:14" s="3" customFormat="1" ht="15.75" x14ac:dyDescent="0.2">
      <c r="A30" s="555" t="s">
        <v>362</v>
      </c>
      <c r="B30" s="277"/>
      <c r="C30" s="277"/>
      <c r="D30" s="165"/>
      <c r="E30" s="11"/>
      <c r="F30" s="286"/>
      <c r="G30" s="286"/>
      <c r="H30" s="165"/>
      <c r="I30" s="403"/>
      <c r="J30" s="286"/>
      <c r="K30" s="286"/>
      <c r="L30" s="165"/>
      <c r="M30" s="23"/>
      <c r="N30" s="148"/>
    </row>
    <row r="31" spans="1:14" s="3" customFormat="1" ht="15.75" x14ac:dyDescent="0.2">
      <c r="A31" s="555" t="s">
        <v>363</v>
      </c>
      <c r="B31" s="277"/>
      <c r="C31" s="277"/>
      <c r="D31" s="165"/>
      <c r="E31" s="11"/>
      <c r="F31" s="286"/>
      <c r="G31" s="286"/>
      <c r="H31" s="165"/>
      <c r="I31" s="403"/>
      <c r="J31" s="286"/>
      <c r="K31" s="286"/>
      <c r="L31" s="165"/>
      <c r="M31" s="23"/>
      <c r="N31" s="148"/>
    </row>
    <row r="32" spans="1:14" ht="15.75" x14ac:dyDescent="0.2">
      <c r="A32" s="555" t="s">
        <v>364</v>
      </c>
      <c r="B32" s="277"/>
      <c r="C32" s="277"/>
      <c r="D32" s="165"/>
      <c r="E32" s="11"/>
      <c r="F32" s="286"/>
      <c r="G32" s="286"/>
      <c r="H32" s="165"/>
      <c r="I32" s="403"/>
      <c r="J32" s="286"/>
      <c r="K32" s="286"/>
      <c r="L32" s="165"/>
      <c r="M32" s="23"/>
    </row>
    <row r="33" spans="1:14" ht="15.75" x14ac:dyDescent="0.2">
      <c r="A33" s="555" t="s">
        <v>365</v>
      </c>
      <c r="B33" s="277"/>
      <c r="C33" s="277"/>
      <c r="D33" s="165"/>
      <c r="E33" s="11"/>
      <c r="F33" s="286"/>
      <c r="G33" s="286"/>
      <c r="H33" s="165"/>
      <c r="I33" s="403"/>
      <c r="J33" s="286"/>
      <c r="K33" s="286"/>
      <c r="L33" s="165"/>
      <c r="M33" s="23"/>
    </row>
    <row r="34" spans="1:14" ht="15.75" x14ac:dyDescent="0.2">
      <c r="A34" s="13" t="s">
        <v>360</v>
      </c>
      <c r="B34" s="232"/>
      <c r="C34" s="302"/>
      <c r="D34" s="170"/>
      <c r="E34" s="11"/>
      <c r="F34" s="301"/>
      <c r="G34" s="302"/>
      <c r="H34" s="170"/>
      <c r="I34" s="11"/>
      <c r="J34" s="232"/>
      <c r="K34" s="232"/>
      <c r="L34" s="414"/>
      <c r="M34" s="24"/>
    </row>
    <row r="35" spans="1:14" ht="15.75" x14ac:dyDescent="0.2">
      <c r="A35" s="13" t="s">
        <v>361</v>
      </c>
      <c r="B35" s="232"/>
      <c r="C35" s="302"/>
      <c r="D35" s="170"/>
      <c r="E35" s="11"/>
      <c r="F35" s="301"/>
      <c r="G35" s="302"/>
      <c r="H35" s="170"/>
      <c r="I35" s="11"/>
      <c r="J35" s="232"/>
      <c r="K35" s="232"/>
      <c r="L35" s="414"/>
      <c r="M35" s="24"/>
    </row>
    <row r="36" spans="1:14" ht="15.75" x14ac:dyDescent="0.2">
      <c r="A36" s="12" t="s">
        <v>278</v>
      </c>
      <c r="B36" s="232"/>
      <c r="C36" s="302"/>
      <c r="D36" s="170"/>
      <c r="E36" s="11"/>
      <c r="F36" s="312"/>
      <c r="G36" s="313"/>
      <c r="H36" s="170"/>
      <c r="I36" s="420"/>
      <c r="J36" s="232"/>
      <c r="K36" s="232"/>
      <c r="L36" s="414"/>
      <c r="M36" s="24"/>
    </row>
    <row r="37" spans="1:14" ht="15.75" x14ac:dyDescent="0.2">
      <c r="A37" s="12" t="s">
        <v>367</v>
      </c>
      <c r="B37" s="232"/>
      <c r="C37" s="302"/>
      <c r="D37" s="170"/>
      <c r="E37" s="11"/>
      <c r="F37" s="312"/>
      <c r="G37" s="314"/>
      <c r="H37" s="170"/>
      <c r="I37" s="420"/>
      <c r="J37" s="232"/>
      <c r="K37" s="232"/>
      <c r="L37" s="414"/>
      <c r="M37" s="24"/>
    </row>
    <row r="38" spans="1:14" ht="15.75" x14ac:dyDescent="0.2">
      <c r="A38" s="12" t="s">
        <v>368</v>
      </c>
      <c r="B38" s="232"/>
      <c r="C38" s="302"/>
      <c r="D38" s="170"/>
      <c r="E38" s="24"/>
      <c r="F38" s="312"/>
      <c r="G38" s="313"/>
      <c r="H38" s="170"/>
      <c r="I38" s="420"/>
      <c r="J38" s="232"/>
      <c r="K38" s="232"/>
      <c r="L38" s="414"/>
      <c r="M38" s="24"/>
    </row>
    <row r="39" spans="1:14" ht="15.75" x14ac:dyDescent="0.2">
      <c r="A39" s="18" t="s">
        <v>369</v>
      </c>
      <c r="B39" s="272"/>
      <c r="C39" s="308"/>
      <c r="D39" s="168"/>
      <c r="E39" s="36"/>
      <c r="F39" s="315"/>
      <c r="G39" s="316"/>
      <c r="H39" s="168"/>
      <c r="I39" s="36"/>
      <c r="J39" s="232"/>
      <c r="K39" s="232"/>
      <c r="L39" s="415"/>
      <c r="M39" s="36"/>
    </row>
    <row r="40" spans="1:14" ht="15.75" x14ac:dyDescent="0.25">
      <c r="A40" s="47"/>
      <c r="B40" s="249"/>
      <c r="C40" s="249"/>
      <c r="D40" s="728"/>
      <c r="E40" s="728"/>
      <c r="F40" s="728"/>
      <c r="G40" s="728"/>
      <c r="H40" s="728"/>
      <c r="I40" s="728"/>
      <c r="J40" s="728"/>
      <c r="K40" s="728"/>
      <c r="L40" s="728"/>
      <c r="M40" s="295"/>
    </row>
    <row r="41" spans="1:14" x14ac:dyDescent="0.2">
      <c r="A41" s="154"/>
    </row>
    <row r="42" spans="1:14" ht="15.75" x14ac:dyDescent="0.25">
      <c r="A42" s="147" t="s">
        <v>267</v>
      </c>
      <c r="B42" s="729"/>
      <c r="C42" s="729"/>
      <c r="D42" s="729"/>
      <c r="E42" s="292"/>
      <c r="F42" s="730"/>
      <c r="G42" s="730"/>
      <c r="H42" s="730"/>
      <c r="I42" s="295"/>
      <c r="J42" s="730"/>
      <c r="K42" s="730"/>
      <c r="L42" s="730"/>
      <c r="M42" s="295"/>
    </row>
    <row r="43" spans="1:14" ht="15.75" x14ac:dyDescent="0.25">
      <c r="A43" s="162"/>
      <c r="B43" s="296"/>
      <c r="C43" s="296"/>
      <c r="D43" s="296"/>
      <c r="E43" s="296"/>
      <c r="F43" s="295"/>
      <c r="G43" s="295"/>
      <c r="H43" s="295"/>
      <c r="I43" s="295"/>
      <c r="J43" s="295"/>
      <c r="K43" s="295"/>
      <c r="L43" s="295"/>
      <c r="M43" s="295"/>
    </row>
    <row r="44" spans="1:14" ht="15.75" x14ac:dyDescent="0.25">
      <c r="A44" s="243"/>
      <c r="B44" s="725" t="s">
        <v>0</v>
      </c>
      <c r="C44" s="726"/>
      <c r="D44" s="726"/>
      <c r="E44" s="239"/>
      <c r="F44" s="295"/>
      <c r="G44" s="295"/>
      <c r="H44" s="295"/>
      <c r="I44" s="295"/>
      <c r="J44" s="295"/>
      <c r="K44" s="295"/>
      <c r="L44" s="295"/>
      <c r="M44" s="295"/>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v>916</v>
      </c>
      <c r="C47" s="304"/>
      <c r="D47" s="413">
        <f t="shared" ref="D47:D48" si="3">IF(B47=0, "    ---- ", IF(ABS(ROUND(100/B47*C47-100,1))&lt;999,ROUND(100/B47*C47-100,1),IF(ROUND(100/B47*C47-100,1)&gt;999,999,-999)))</f>
        <v>-100</v>
      </c>
      <c r="E47" s="11">
        <f>IFERROR(100/'Skjema total MA'!C47*C47,0)</f>
        <v>0</v>
      </c>
      <c r="F47" s="145"/>
      <c r="G47" s="33"/>
      <c r="H47" s="158"/>
      <c r="I47" s="158"/>
      <c r="J47" s="37"/>
      <c r="K47" s="37"/>
      <c r="L47" s="158"/>
      <c r="M47" s="158"/>
      <c r="N47" s="148"/>
    </row>
    <row r="48" spans="1:14" s="3" customFormat="1" ht="15.75" x14ac:dyDescent="0.2">
      <c r="A48" s="38" t="s">
        <v>370</v>
      </c>
      <c r="B48" s="277">
        <v>916</v>
      </c>
      <c r="C48" s="278"/>
      <c r="D48" s="250">
        <f t="shared" si="3"/>
        <v>-100</v>
      </c>
      <c r="E48" s="27">
        <f>IFERROR(100/'Skjema total MA'!C48*C48,0)</f>
        <v>0</v>
      </c>
      <c r="F48" s="145"/>
      <c r="G48" s="33"/>
      <c r="H48" s="145"/>
      <c r="I48" s="145"/>
      <c r="J48" s="33"/>
      <c r="K48" s="33"/>
      <c r="L48" s="158"/>
      <c r="M48" s="158"/>
      <c r="N48" s="148"/>
    </row>
    <row r="49" spans="1:14" s="3" customFormat="1" ht="15.75" x14ac:dyDescent="0.2">
      <c r="A49" s="38" t="s">
        <v>371</v>
      </c>
      <c r="B49" s="44"/>
      <c r="C49" s="283"/>
      <c r="D49" s="250"/>
      <c r="E49" s="27"/>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c r="C53" s="304"/>
      <c r="D53" s="414"/>
      <c r="E53" s="11"/>
      <c r="F53" s="145"/>
      <c r="G53" s="33"/>
      <c r="H53" s="145"/>
      <c r="I53" s="145"/>
      <c r="J53" s="33"/>
      <c r="K53" s="33"/>
      <c r="L53" s="158"/>
      <c r="M53" s="158"/>
      <c r="N53" s="148"/>
    </row>
    <row r="54" spans="1:14" s="3" customFormat="1" ht="15.75" x14ac:dyDescent="0.2">
      <c r="A54" s="38" t="s">
        <v>370</v>
      </c>
      <c r="B54" s="277"/>
      <c r="C54" s="278"/>
      <c r="D54" s="250"/>
      <c r="E54" s="27"/>
      <c r="F54" s="145"/>
      <c r="G54" s="33"/>
      <c r="H54" s="145"/>
      <c r="I54" s="145"/>
      <c r="J54" s="33"/>
      <c r="K54" s="33"/>
      <c r="L54" s="158"/>
      <c r="M54" s="158"/>
      <c r="N54" s="148"/>
    </row>
    <row r="55" spans="1:14" s="3" customFormat="1" ht="15.75" x14ac:dyDescent="0.2">
      <c r="A55" s="38" t="s">
        <v>371</v>
      </c>
      <c r="B55" s="277"/>
      <c r="C55" s="278"/>
      <c r="D55" s="250"/>
      <c r="E55" s="27"/>
      <c r="F55" s="145"/>
      <c r="G55" s="33"/>
      <c r="H55" s="145"/>
      <c r="I55" s="145"/>
      <c r="J55" s="33"/>
      <c r="K55" s="33"/>
      <c r="L55" s="158"/>
      <c r="M55" s="158"/>
      <c r="N55" s="148"/>
    </row>
    <row r="56" spans="1:14" s="3" customFormat="1" ht="15.75" x14ac:dyDescent="0.2">
      <c r="A56" s="39" t="s">
        <v>373</v>
      </c>
      <c r="B56" s="303"/>
      <c r="C56" s="304"/>
      <c r="D56" s="414"/>
      <c r="E56" s="11"/>
      <c r="F56" s="145"/>
      <c r="G56" s="33"/>
      <c r="H56" s="145"/>
      <c r="I56" s="145"/>
      <c r="J56" s="33"/>
      <c r="K56" s="33"/>
      <c r="L56" s="158"/>
      <c r="M56" s="158"/>
      <c r="N56" s="148"/>
    </row>
    <row r="57" spans="1:14" s="3" customFormat="1" ht="15.75" x14ac:dyDescent="0.2">
      <c r="A57" s="38" t="s">
        <v>370</v>
      </c>
      <c r="B57" s="277"/>
      <c r="C57" s="278"/>
      <c r="D57" s="250"/>
      <c r="E57" s="27"/>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292"/>
      <c r="F62" s="724"/>
      <c r="G62" s="724"/>
      <c r="H62" s="724"/>
      <c r="I62" s="292"/>
      <c r="J62" s="724"/>
      <c r="K62" s="724"/>
      <c r="L62" s="724"/>
      <c r="M62" s="292"/>
    </row>
    <row r="63" spans="1:14" x14ac:dyDescent="0.2">
      <c r="A63" s="144"/>
      <c r="B63" s="725" t="s">
        <v>0</v>
      </c>
      <c r="C63" s="726"/>
      <c r="D63" s="727"/>
      <c r="E63" s="293"/>
      <c r="F63" s="726" t="s">
        <v>1</v>
      </c>
      <c r="G63" s="726"/>
      <c r="H63" s="726"/>
      <c r="I63" s="297"/>
      <c r="J63" s="725" t="s">
        <v>2</v>
      </c>
      <c r="K63" s="726"/>
      <c r="L63" s="726"/>
      <c r="M63" s="297"/>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c r="C66" s="343"/>
      <c r="D66" s="340"/>
      <c r="E66" s="11"/>
      <c r="F66" s="342"/>
      <c r="G66" s="342"/>
      <c r="H66" s="340"/>
      <c r="I66" s="11"/>
      <c r="J66" s="302"/>
      <c r="K66" s="309"/>
      <c r="L66" s="414"/>
      <c r="M66" s="11"/>
    </row>
    <row r="67" spans="1:14" x14ac:dyDescent="0.2">
      <c r="A67" s="405" t="s">
        <v>9</v>
      </c>
      <c r="B67" s="44"/>
      <c r="C67" s="145"/>
      <c r="D67" s="165"/>
      <c r="E67" s="27"/>
      <c r="F67" s="230"/>
      <c r="G67" s="145"/>
      <c r="H67" s="165"/>
      <c r="I67" s="27"/>
      <c r="J67" s="283"/>
      <c r="K67" s="44"/>
      <c r="L67" s="250"/>
      <c r="M67" s="27"/>
    </row>
    <row r="68" spans="1:14" x14ac:dyDescent="0.2">
      <c r="A68" s="21" t="s">
        <v>10</v>
      </c>
      <c r="B68" s="287"/>
      <c r="C68" s="288"/>
      <c r="D68" s="165"/>
      <c r="E68" s="27"/>
      <c r="F68" s="287"/>
      <c r="G68" s="288"/>
      <c r="H68" s="165"/>
      <c r="I68" s="27"/>
      <c r="J68" s="283"/>
      <c r="K68" s="44"/>
      <c r="L68" s="250"/>
      <c r="M68" s="27"/>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c r="C75" s="145"/>
      <c r="D75" s="165"/>
      <c r="E75" s="27"/>
      <c r="F75" s="230"/>
      <c r="G75" s="145"/>
      <c r="H75" s="165"/>
      <c r="I75" s="27"/>
      <c r="J75" s="283"/>
      <c r="K75" s="44"/>
      <c r="L75" s="250"/>
      <c r="M75" s="27"/>
      <c r="N75" s="148"/>
    </row>
    <row r="76" spans="1:14" s="3" customFormat="1" x14ac:dyDescent="0.2">
      <c r="A76" s="21" t="s">
        <v>343</v>
      </c>
      <c r="B76" s="230"/>
      <c r="C76" s="145"/>
      <c r="D76" s="165"/>
      <c r="E76" s="27"/>
      <c r="F76" s="230"/>
      <c r="G76" s="145"/>
      <c r="H76" s="165"/>
      <c r="I76" s="27"/>
      <c r="J76" s="283"/>
      <c r="K76" s="44"/>
      <c r="L76" s="250"/>
      <c r="M76" s="27"/>
      <c r="N76" s="148"/>
    </row>
    <row r="77" spans="1:14" ht="15.75" x14ac:dyDescent="0.2">
      <c r="A77" s="21" t="s">
        <v>376</v>
      </c>
      <c r="B77" s="230"/>
      <c r="C77" s="230"/>
      <c r="D77" s="165"/>
      <c r="E77" s="27"/>
      <c r="F77" s="230"/>
      <c r="G77" s="145"/>
      <c r="H77" s="165"/>
      <c r="I77" s="27"/>
      <c r="J77" s="283"/>
      <c r="K77" s="44"/>
      <c r="L77" s="250"/>
      <c r="M77" s="27"/>
    </row>
    <row r="78" spans="1:14" x14ac:dyDescent="0.2">
      <c r="A78" s="21" t="s">
        <v>9</v>
      </c>
      <c r="B78" s="230"/>
      <c r="C78" s="145"/>
      <c r="D78" s="165"/>
      <c r="E78" s="27"/>
      <c r="F78" s="230"/>
      <c r="G78" s="145"/>
      <c r="H78" s="165"/>
      <c r="I78" s="27"/>
      <c r="J78" s="283"/>
      <c r="K78" s="44"/>
      <c r="L78" s="250"/>
      <c r="M78" s="27"/>
    </row>
    <row r="79" spans="1:14" x14ac:dyDescent="0.2">
      <c r="A79" s="38" t="s">
        <v>413</v>
      </c>
      <c r="B79" s="287"/>
      <c r="C79" s="288"/>
      <c r="D79" s="165"/>
      <c r="E79" s="27"/>
      <c r="F79" s="287"/>
      <c r="G79" s="288"/>
      <c r="H79" s="165"/>
      <c r="I79" s="27"/>
      <c r="J79" s="283"/>
      <c r="K79" s="44"/>
      <c r="L79" s="250"/>
      <c r="M79" s="27"/>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c r="C86" s="145"/>
      <c r="D86" s="165"/>
      <c r="E86" s="27"/>
      <c r="F86" s="230"/>
      <c r="G86" s="145"/>
      <c r="H86" s="165"/>
      <c r="I86" s="27"/>
      <c r="J86" s="283"/>
      <c r="K86" s="44"/>
      <c r="L86" s="250"/>
      <c r="M86" s="27"/>
    </row>
    <row r="87" spans="1:13" ht="15.75" x14ac:dyDescent="0.2">
      <c r="A87" s="13" t="s">
        <v>359</v>
      </c>
      <c r="B87" s="343"/>
      <c r="C87" s="343"/>
      <c r="D87" s="170"/>
      <c r="E87" s="11"/>
      <c r="F87" s="342"/>
      <c r="G87" s="342"/>
      <c r="H87" s="170"/>
      <c r="I87" s="11"/>
      <c r="J87" s="302"/>
      <c r="K87" s="232"/>
      <c r="L87" s="414"/>
      <c r="M87" s="11"/>
    </row>
    <row r="88" spans="1:13" x14ac:dyDescent="0.2">
      <c r="A88" s="21" t="s">
        <v>9</v>
      </c>
      <c r="B88" s="230"/>
      <c r="C88" s="145"/>
      <c r="D88" s="165"/>
      <c r="E88" s="27"/>
      <c r="F88" s="230"/>
      <c r="G88" s="145"/>
      <c r="H88" s="165"/>
      <c r="I88" s="27"/>
      <c r="J88" s="283"/>
      <c r="K88" s="44"/>
      <c r="L88" s="250"/>
      <c r="M88" s="27"/>
    </row>
    <row r="89" spans="1:13" x14ac:dyDescent="0.2">
      <c r="A89" s="21" t="s">
        <v>10</v>
      </c>
      <c r="B89" s="230"/>
      <c r="C89" s="145"/>
      <c r="D89" s="165"/>
      <c r="E89" s="27"/>
      <c r="F89" s="230"/>
      <c r="G89" s="145"/>
      <c r="H89" s="165"/>
      <c r="I89" s="27"/>
      <c r="J89" s="283"/>
      <c r="K89" s="44"/>
      <c r="L89" s="250"/>
      <c r="M89" s="27"/>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c r="C97" s="145"/>
      <c r="D97" s="165"/>
      <c r="E97" s="27"/>
      <c r="F97" s="230"/>
      <c r="G97" s="145"/>
      <c r="H97" s="165"/>
      <c r="I97" s="27"/>
      <c r="J97" s="283"/>
      <c r="K97" s="44"/>
      <c r="L97" s="250"/>
      <c r="M97" s="27"/>
    </row>
    <row r="98" spans="1:13" ht="15.75" x14ac:dyDescent="0.2">
      <c r="A98" s="21" t="s">
        <v>376</v>
      </c>
      <c r="B98" s="230"/>
      <c r="C98" s="230"/>
      <c r="D98" s="165"/>
      <c r="E98" s="27"/>
      <c r="F98" s="287"/>
      <c r="G98" s="287"/>
      <c r="H98" s="165"/>
      <c r="I98" s="27"/>
      <c r="J98" s="283"/>
      <c r="K98" s="44"/>
      <c r="L98" s="250"/>
      <c r="M98" s="27"/>
    </row>
    <row r="99" spans="1:13" x14ac:dyDescent="0.2">
      <c r="A99" s="21" t="s">
        <v>9</v>
      </c>
      <c r="B99" s="287"/>
      <c r="C99" s="288"/>
      <c r="D99" s="165"/>
      <c r="E99" s="27"/>
      <c r="F99" s="230"/>
      <c r="G99" s="145"/>
      <c r="H99" s="165"/>
      <c r="I99" s="27"/>
      <c r="J99" s="283"/>
      <c r="K99" s="44"/>
      <c r="L99" s="250"/>
      <c r="M99" s="27"/>
    </row>
    <row r="100" spans="1:13" x14ac:dyDescent="0.2">
      <c r="A100" s="38" t="s">
        <v>413</v>
      </c>
      <c r="B100" s="287"/>
      <c r="C100" s="288"/>
      <c r="D100" s="165"/>
      <c r="E100" s="27"/>
      <c r="F100" s="230"/>
      <c r="G100" s="230"/>
      <c r="H100" s="165"/>
      <c r="I100" s="27"/>
      <c r="J100" s="283"/>
      <c r="K100" s="44"/>
      <c r="L100" s="250"/>
      <c r="M100" s="27"/>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c r="C107" s="145"/>
      <c r="D107" s="165"/>
      <c r="E107" s="27"/>
      <c r="F107" s="230"/>
      <c r="G107" s="145"/>
      <c r="H107" s="165"/>
      <c r="I107" s="27"/>
      <c r="J107" s="283"/>
      <c r="K107" s="44"/>
      <c r="L107" s="250"/>
      <c r="M107" s="27"/>
    </row>
    <row r="108" spans="1:13" ht="15.75" x14ac:dyDescent="0.2">
      <c r="A108" s="21" t="s">
        <v>378</v>
      </c>
      <c r="B108" s="230"/>
      <c r="C108" s="230"/>
      <c r="D108" s="165"/>
      <c r="E108" s="27"/>
      <c r="F108" s="230"/>
      <c r="G108" s="230"/>
      <c r="H108" s="165"/>
      <c r="I108" s="27"/>
      <c r="J108" s="283"/>
      <c r="K108" s="44"/>
      <c r="L108" s="250"/>
      <c r="M108" s="27"/>
    </row>
    <row r="109" spans="1:13" ht="15.6" customHeight="1" x14ac:dyDescent="0.2">
      <c r="A109" s="21" t="s">
        <v>430</v>
      </c>
      <c r="B109" s="230"/>
      <c r="C109" s="230"/>
      <c r="D109" s="165"/>
      <c r="E109" s="27"/>
      <c r="F109" s="230"/>
      <c r="G109" s="230"/>
      <c r="H109" s="165"/>
      <c r="I109" s="27"/>
      <c r="J109" s="283"/>
      <c r="K109" s="44"/>
      <c r="L109" s="250"/>
      <c r="M109" s="27"/>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c r="C111" s="158"/>
      <c r="D111" s="170"/>
      <c r="E111" s="11"/>
      <c r="F111" s="301"/>
      <c r="G111" s="158"/>
      <c r="H111" s="170"/>
      <c r="I111" s="11"/>
      <c r="J111" s="302"/>
      <c r="K111" s="232"/>
      <c r="L111" s="414"/>
      <c r="M111" s="11"/>
    </row>
    <row r="112" spans="1:13" x14ac:dyDescent="0.2">
      <c r="A112" s="21" t="s">
        <v>9</v>
      </c>
      <c r="B112" s="230"/>
      <c r="C112" s="145"/>
      <c r="D112" s="165"/>
      <c r="E112" s="27"/>
      <c r="F112" s="230"/>
      <c r="G112" s="145"/>
      <c r="H112" s="165"/>
      <c r="I112" s="27"/>
      <c r="J112" s="283"/>
      <c r="K112" s="44"/>
      <c r="L112" s="250"/>
      <c r="M112" s="27"/>
    </row>
    <row r="113" spans="1:14" x14ac:dyDescent="0.2">
      <c r="A113" s="21" t="s">
        <v>10</v>
      </c>
      <c r="B113" s="230"/>
      <c r="C113" s="145"/>
      <c r="D113" s="165"/>
      <c r="E113" s="27"/>
      <c r="F113" s="230"/>
      <c r="G113" s="145"/>
      <c r="H113" s="165"/>
      <c r="I113" s="27"/>
      <c r="J113" s="283"/>
      <c r="K113" s="44"/>
      <c r="L113" s="250"/>
      <c r="M113" s="27"/>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c r="C116" s="230"/>
      <c r="D116" s="165"/>
      <c r="E116" s="27"/>
      <c r="F116" s="230"/>
      <c r="G116" s="230"/>
      <c r="H116" s="165"/>
      <c r="I116" s="27"/>
      <c r="J116" s="283"/>
      <c r="K116" s="44"/>
      <c r="L116" s="250"/>
      <c r="M116" s="27"/>
    </row>
    <row r="117" spans="1:14" ht="15.6" customHeight="1" x14ac:dyDescent="0.2">
      <c r="A117" s="21" t="s">
        <v>430</v>
      </c>
      <c r="B117" s="230"/>
      <c r="C117" s="230"/>
      <c r="D117" s="165"/>
      <c r="E117" s="27"/>
      <c r="F117" s="230"/>
      <c r="G117" s="230"/>
      <c r="H117" s="165"/>
      <c r="I117" s="27"/>
      <c r="J117" s="283"/>
      <c r="K117" s="44"/>
      <c r="L117" s="250"/>
      <c r="M117" s="27"/>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c r="C119" s="158"/>
      <c r="D119" s="170"/>
      <c r="E119" s="11"/>
      <c r="F119" s="301"/>
      <c r="G119" s="158"/>
      <c r="H119" s="170"/>
      <c r="I119" s="11"/>
      <c r="J119" s="302"/>
      <c r="K119" s="232"/>
      <c r="L119" s="414"/>
      <c r="M119" s="11"/>
    </row>
    <row r="120" spans="1:14" x14ac:dyDescent="0.2">
      <c r="A120" s="21" t="s">
        <v>9</v>
      </c>
      <c r="B120" s="230"/>
      <c r="C120" s="145"/>
      <c r="D120" s="165"/>
      <c r="E120" s="27"/>
      <c r="F120" s="230"/>
      <c r="G120" s="145"/>
      <c r="H120" s="165"/>
      <c r="I120" s="27"/>
      <c r="J120" s="283"/>
      <c r="K120" s="44"/>
      <c r="L120" s="250"/>
      <c r="M120" s="27"/>
    </row>
    <row r="121" spans="1:14" x14ac:dyDescent="0.2">
      <c r="A121" s="21" t="s">
        <v>10</v>
      </c>
      <c r="B121" s="230"/>
      <c r="C121" s="145"/>
      <c r="D121" s="165"/>
      <c r="E121" s="27"/>
      <c r="F121" s="230"/>
      <c r="G121" s="145"/>
      <c r="H121" s="165"/>
      <c r="I121" s="27"/>
      <c r="J121" s="283"/>
      <c r="K121" s="44"/>
      <c r="L121" s="250"/>
      <c r="M121" s="27"/>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c r="C125" s="230"/>
      <c r="D125" s="165"/>
      <c r="E125" s="27"/>
      <c r="F125" s="230"/>
      <c r="G125" s="230"/>
      <c r="H125" s="165"/>
      <c r="I125" s="27"/>
      <c r="J125" s="283"/>
      <c r="K125" s="44"/>
      <c r="L125" s="250"/>
      <c r="M125" s="27"/>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292"/>
      <c r="F130" s="724"/>
      <c r="G130" s="724"/>
      <c r="H130" s="724"/>
      <c r="I130" s="292"/>
      <c r="J130" s="724"/>
      <c r="K130" s="724"/>
      <c r="L130" s="724"/>
      <c r="M130" s="292"/>
    </row>
    <row r="131" spans="1:14" s="3" customFormat="1" x14ac:dyDescent="0.2">
      <c r="A131" s="144"/>
      <c r="B131" s="725" t="s">
        <v>0</v>
      </c>
      <c r="C131" s="726"/>
      <c r="D131" s="726"/>
      <c r="E131" s="294"/>
      <c r="F131" s="725" t="s">
        <v>1</v>
      </c>
      <c r="G131" s="726"/>
      <c r="H131" s="726"/>
      <c r="I131" s="297"/>
      <c r="J131" s="725" t="s">
        <v>2</v>
      </c>
      <c r="K131" s="726"/>
      <c r="L131" s="726"/>
      <c r="M131" s="297"/>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c r="C134" s="302"/>
      <c r="D134" s="340"/>
      <c r="E134" s="11"/>
      <c r="F134" s="309"/>
      <c r="G134" s="310"/>
      <c r="H134" s="417"/>
      <c r="I134" s="24"/>
      <c r="J134" s="311"/>
      <c r="K134" s="311"/>
      <c r="L134" s="413"/>
      <c r="M134" s="11"/>
      <c r="N134" s="148"/>
    </row>
    <row r="135" spans="1:14" s="3" customFormat="1" ht="15.75" x14ac:dyDescent="0.2">
      <c r="A135" s="13" t="s">
        <v>386</v>
      </c>
      <c r="B135" s="232"/>
      <c r="C135" s="302"/>
      <c r="D135" s="170"/>
      <c r="E135" s="11"/>
      <c r="F135" s="232"/>
      <c r="G135" s="302"/>
      <c r="H135" s="418"/>
      <c r="I135" s="24"/>
      <c r="J135" s="301"/>
      <c r="K135" s="301"/>
      <c r="L135" s="414"/>
      <c r="M135" s="11"/>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35" priority="12">
      <formula>kvartal &lt; 4</formula>
    </cfRule>
  </conditionalFormatting>
  <conditionalFormatting sqref="A69:A74">
    <cfRule type="expression" dxfId="334" priority="10">
      <formula>kvartal &lt; 4</formula>
    </cfRule>
  </conditionalFormatting>
  <conditionalFormatting sqref="A80:A85">
    <cfRule type="expression" dxfId="333" priority="9">
      <formula>kvartal &lt; 4</formula>
    </cfRule>
  </conditionalFormatting>
  <conditionalFormatting sqref="A90:A95">
    <cfRule type="expression" dxfId="332" priority="6">
      <formula>kvartal &lt; 4</formula>
    </cfRule>
  </conditionalFormatting>
  <conditionalFormatting sqref="A101:A106">
    <cfRule type="expression" dxfId="331" priority="5">
      <formula>kvartal &lt; 4</formula>
    </cfRule>
  </conditionalFormatting>
  <conditionalFormatting sqref="A115">
    <cfRule type="expression" dxfId="330" priority="4">
      <formula>kvartal &lt; 4</formula>
    </cfRule>
  </conditionalFormatting>
  <conditionalFormatting sqref="A123">
    <cfRule type="expression" dxfId="329" priority="3">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N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244" t="s">
        <v>63</v>
      </c>
      <c r="D1" s="26"/>
      <c r="E1" s="26"/>
      <c r="F1" s="26"/>
      <c r="G1" s="26"/>
      <c r="H1" s="26"/>
      <c r="I1" s="26"/>
      <c r="J1" s="26"/>
      <c r="K1" s="26"/>
      <c r="L1" s="26"/>
      <c r="M1" s="26"/>
    </row>
    <row r="2" spans="1:14" ht="15.75" x14ac:dyDescent="0.25">
      <c r="A2" s="164" t="s">
        <v>28</v>
      </c>
      <c r="B2" s="729"/>
      <c r="C2" s="729"/>
      <c r="D2" s="729"/>
      <c r="E2" s="292"/>
      <c r="F2" s="729"/>
      <c r="G2" s="729"/>
      <c r="H2" s="729"/>
      <c r="I2" s="292"/>
      <c r="J2" s="729"/>
      <c r="K2" s="729"/>
      <c r="L2" s="729"/>
      <c r="M2" s="292"/>
    </row>
    <row r="3" spans="1:14" ht="15.75" x14ac:dyDescent="0.25">
      <c r="A3" s="162"/>
      <c r="B3" s="292"/>
      <c r="C3" s="292"/>
      <c r="D3" s="292"/>
      <c r="E3" s="292"/>
      <c r="F3" s="292"/>
      <c r="G3" s="292"/>
      <c r="H3" s="292"/>
      <c r="I3" s="292"/>
      <c r="J3" s="292"/>
      <c r="K3" s="292"/>
      <c r="L3" s="292"/>
      <c r="M3" s="292"/>
    </row>
    <row r="4" spans="1:14" x14ac:dyDescent="0.2">
      <c r="A4" s="144"/>
      <c r="B4" s="725" t="s">
        <v>0</v>
      </c>
      <c r="C4" s="726"/>
      <c r="D4" s="726"/>
      <c r="E4" s="294"/>
      <c r="F4" s="725" t="s">
        <v>1</v>
      </c>
      <c r="G4" s="726"/>
      <c r="H4" s="726"/>
      <c r="I4" s="297"/>
      <c r="J4" s="725" t="s">
        <v>2</v>
      </c>
      <c r="K4" s="726"/>
      <c r="L4" s="726"/>
      <c r="M4" s="297"/>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c r="C7" s="300"/>
      <c r="D7" s="340"/>
      <c r="E7" s="11"/>
      <c r="F7" s="299"/>
      <c r="G7" s="300"/>
      <c r="H7" s="340"/>
      <c r="I7" s="159"/>
      <c r="J7" s="301"/>
      <c r="K7" s="302"/>
      <c r="L7" s="413"/>
      <c r="M7" s="11"/>
    </row>
    <row r="8" spans="1:14" ht="15.75" x14ac:dyDescent="0.2">
      <c r="A8" s="21" t="s">
        <v>25</v>
      </c>
      <c r="B8" s="277"/>
      <c r="C8" s="278"/>
      <c r="D8" s="165"/>
      <c r="E8" s="27"/>
      <c r="F8" s="281"/>
      <c r="G8" s="282"/>
      <c r="H8" s="165"/>
      <c r="I8" s="174"/>
      <c r="J8" s="230"/>
      <c r="K8" s="283"/>
      <c r="L8" s="165"/>
      <c r="M8" s="27"/>
    </row>
    <row r="9" spans="1:14" ht="15.75" x14ac:dyDescent="0.2">
      <c r="A9" s="21" t="s">
        <v>24</v>
      </c>
      <c r="B9" s="277"/>
      <c r="C9" s="278"/>
      <c r="D9" s="165"/>
      <c r="E9" s="27"/>
      <c r="F9" s="281"/>
      <c r="G9" s="282"/>
      <c r="H9" s="165"/>
      <c r="I9" s="174"/>
      <c r="J9" s="230"/>
      <c r="K9" s="283"/>
      <c r="L9" s="165"/>
      <c r="M9" s="27"/>
    </row>
    <row r="10" spans="1:14" ht="15.75" x14ac:dyDescent="0.2">
      <c r="A10" s="13" t="s">
        <v>359</v>
      </c>
      <c r="B10" s="303"/>
      <c r="C10" s="304"/>
      <c r="D10" s="170"/>
      <c r="E10" s="11"/>
      <c r="F10" s="303"/>
      <c r="G10" s="304"/>
      <c r="H10" s="170"/>
      <c r="I10" s="159"/>
      <c r="J10" s="301"/>
      <c r="K10" s="302"/>
      <c r="L10" s="414"/>
      <c r="M10" s="11"/>
    </row>
    <row r="11" spans="1:14" s="43" customFormat="1" ht="15.75" x14ac:dyDescent="0.2">
      <c r="A11" s="13" t="s">
        <v>360</v>
      </c>
      <c r="B11" s="303"/>
      <c r="C11" s="304"/>
      <c r="D11" s="170"/>
      <c r="E11" s="11"/>
      <c r="F11" s="303"/>
      <c r="G11" s="304"/>
      <c r="H11" s="170"/>
      <c r="I11" s="159"/>
      <c r="J11" s="301"/>
      <c r="K11" s="302"/>
      <c r="L11" s="414"/>
      <c r="M11" s="11"/>
      <c r="N11" s="143"/>
    </row>
    <row r="12" spans="1:14" s="43" customFormat="1" ht="15.75" x14ac:dyDescent="0.2">
      <c r="A12" s="41" t="s">
        <v>361</v>
      </c>
      <c r="B12" s="305"/>
      <c r="C12" s="306"/>
      <c r="D12" s="168"/>
      <c r="E12" s="36"/>
      <c r="F12" s="305"/>
      <c r="G12" s="306"/>
      <c r="H12" s="168"/>
      <c r="I12" s="168"/>
      <c r="J12" s="307"/>
      <c r="K12" s="308"/>
      <c r="L12" s="415"/>
      <c r="M12" s="36"/>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292"/>
      <c r="F18" s="724"/>
      <c r="G18" s="724"/>
      <c r="H18" s="724"/>
      <c r="I18" s="292"/>
      <c r="J18" s="724"/>
      <c r="K18" s="724"/>
      <c r="L18" s="724"/>
      <c r="M18" s="292"/>
    </row>
    <row r="19" spans="1:14" x14ac:dyDescent="0.2">
      <c r="A19" s="144"/>
      <c r="B19" s="725" t="s">
        <v>0</v>
      </c>
      <c r="C19" s="726"/>
      <c r="D19" s="726"/>
      <c r="E19" s="294"/>
      <c r="F19" s="725" t="s">
        <v>1</v>
      </c>
      <c r="G19" s="726"/>
      <c r="H19" s="726"/>
      <c r="I19" s="297"/>
      <c r="J19" s="725" t="s">
        <v>2</v>
      </c>
      <c r="K19" s="726"/>
      <c r="L19" s="726"/>
      <c r="M19" s="297"/>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303"/>
      <c r="C22" s="303"/>
      <c r="D22" s="340"/>
      <c r="E22" s="11"/>
      <c r="F22" s="311"/>
      <c r="G22" s="311"/>
      <c r="H22" s="340"/>
      <c r="I22" s="11"/>
      <c r="J22" s="309"/>
      <c r="K22" s="309"/>
      <c r="L22" s="413"/>
      <c r="M22" s="24"/>
    </row>
    <row r="23" spans="1:14" ht="15.75" x14ac:dyDescent="0.2">
      <c r="A23" s="555" t="s">
        <v>362</v>
      </c>
      <c r="B23" s="277"/>
      <c r="C23" s="277"/>
      <c r="D23" s="165"/>
      <c r="E23" s="11"/>
      <c r="F23" s="286"/>
      <c r="G23" s="286"/>
      <c r="H23" s="165"/>
      <c r="I23" s="403"/>
      <c r="J23" s="286"/>
      <c r="K23" s="286"/>
      <c r="L23" s="165"/>
      <c r="M23" s="23"/>
    </row>
    <row r="24" spans="1:14" ht="15.75" x14ac:dyDescent="0.2">
      <c r="A24" s="555" t="s">
        <v>363</v>
      </c>
      <c r="B24" s="277"/>
      <c r="C24" s="277"/>
      <c r="D24" s="165"/>
      <c r="E24" s="11"/>
      <c r="F24" s="286"/>
      <c r="G24" s="286"/>
      <c r="H24" s="165"/>
      <c r="I24" s="403"/>
      <c r="J24" s="286"/>
      <c r="K24" s="286"/>
      <c r="L24" s="165"/>
      <c r="M24" s="23"/>
    </row>
    <row r="25" spans="1:14" ht="15.75" x14ac:dyDescent="0.2">
      <c r="A25" s="555" t="s">
        <v>364</v>
      </c>
      <c r="B25" s="277"/>
      <c r="C25" s="277"/>
      <c r="D25" s="165"/>
      <c r="E25" s="11"/>
      <c r="F25" s="286"/>
      <c r="G25" s="286"/>
      <c r="H25" s="165"/>
      <c r="I25" s="403"/>
      <c r="J25" s="286"/>
      <c r="K25" s="286"/>
      <c r="L25" s="165"/>
      <c r="M25" s="23"/>
    </row>
    <row r="26" spans="1:14" ht="15.75" x14ac:dyDescent="0.2">
      <c r="A26" s="555" t="s">
        <v>365</v>
      </c>
      <c r="B26" s="277"/>
      <c r="C26" s="277"/>
      <c r="D26" s="165"/>
      <c r="E26" s="11"/>
      <c r="F26" s="286"/>
      <c r="G26" s="286"/>
      <c r="H26" s="165"/>
      <c r="I26" s="403"/>
      <c r="J26" s="286"/>
      <c r="K26" s="286"/>
      <c r="L26" s="165"/>
      <c r="M26" s="23"/>
    </row>
    <row r="27" spans="1:14" x14ac:dyDescent="0.2">
      <c r="A27" s="555" t="s">
        <v>11</v>
      </c>
      <c r="B27" s="277"/>
      <c r="C27" s="277"/>
      <c r="D27" s="165"/>
      <c r="E27" s="11"/>
      <c r="F27" s="286"/>
      <c r="G27" s="286"/>
      <c r="H27" s="165"/>
      <c r="I27" s="403"/>
      <c r="J27" s="286"/>
      <c r="K27" s="286"/>
      <c r="L27" s="165"/>
      <c r="M27" s="23"/>
    </row>
    <row r="28" spans="1:14" ht="15.75" x14ac:dyDescent="0.2">
      <c r="A28" s="49" t="s">
        <v>270</v>
      </c>
      <c r="B28" s="44"/>
      <c r="C28" s="283"/>
      <c r="D28" s="165"/>
      <c r="E28" s="11"/>
      <c r="F28" s="230"/>
      <c r="G28" s="283"/>
      <c r="H28" s="165"/>
      <c r="I28" s="27"/>
      <c r="J28" s="44"/>
      <c r="K28" s="44"/>
      <c r="L28" s="250"/>
      <c r="M28" s="23"/>
    </row>
    <row r="29" spans="1:14" s="3" customFormat="1" ht="15.75" x14ac:dyDescent="0.2">
      <c r="A29" s="13" t="s">
        <v>359</v>
      </c>
      <c r="B29" s="232"/>
      <c r="C29" s="232"/>
      <c r="D29" s="170"/>
      <c r="E29" s="11"/>
      <c r="F29" s="301"/>
      <c r="G29" s="301"/>
      <c r="H29" s="170"/>
      <c r="I29" s="11"/>
      <c r="J29" s="232"/>
      <c r="K29" s="232"/>
      <c r="L29" s="414"/>
      <c r="M29" s="24"/>
      <c r="N29" s="148"/>
    </row>
    <row r="30" spans="1:14" s="3" customFormat="1" ht="15.75" x14ac:dyDescent="0.2">
      <c r="A30" s="555" t="s">
        <v>362</v>
      </c>
      <c r="B30" s="277"/>
      <c r="C30" s="277"/>
      <c r="D30" s="165"/>
      <c r="E30" s="11"/>
      <c r="F30" s="286"/>
      <c r="G30" s="286"/>
      <c r="H30" s="165"/>
      <c r="I30" s="403"/>
      <c r="J30" s="286"/>
      <c r="K30" s="286"/>
      <c r="L30" s="165"/>
      <c r="M30" s="23"/>
      <c r="N30" s="148"/>
    </row>
    <row r="31" spans="1:14" s="3" customFormat="1" ht="15.75" x14ac:dyDescent="0.2">
      <c r="A31" s="555" t="s">
        <v>363</v>
      </c>
      <c r="B31" s="277"/>
      <c r="C31" s="277"/>
      <c r="D31" s="165"/>
      <c r="E31" s="11"/>
      <c r="F31" s="286"/>
      <c r="G31" s="286"/>
      <c r="H31" s="165"/>
      <c r="I31" s="403"/>
      <c r="J31" s="286"/>
      <c r="K31" s="286"/>
      <c r="L31" s="165"/>
      <c r="M31" s="23"/>
      <c r="N31" s="148"/>
    </row>
    <row r="32" spans="1:14" ht="15.75" x14ac:dyDescent="0.2">
      <c r="A32" s="555" t="s">
        <v>364</v>
      </c>
      <c r="B32" s="277"/>
      <c r="C32" s="277"/>
      <c r="D32" s="165"/>
      <c r="E32" s="11"/>
      <c r="F32" s="286"/>
      <c r="G32" s="286"/>
      <c r="H32" s="165"/>
      <c r="I32" s="403"/>
      <c r="J32" s="286"/>
      <c r="K32" s="286"/>
      <c r="L32" s="165"/>
      <c r="M32" s="23"/>
    </row>
    <row r="33" spans="1:14" ht="15.75" x14ac:dyDescent="0.2">
      <c r="A33" s="555" t="s">
        <v>365</v>
      </c>
      <c r="B33" s="277"/>
      <c r="C33" s="277"/>
      <c r="D33" s="165"/>
      <c r="E33" s="11"/>
      <c r="F33" s="286"/>
      <c r="G33" s="286"/>
      <c r="H33" s="165"/>
      <c r="I33" s="403"/>
      <c r="J33" s="286"/>
      <c r="K33" s="286"/>
      <c r="L33" s="165"/>
      <c r="M33" s="23"/>
    </row>
    <row r="34" spans="1:14" ht="15.75" x14ac:dyDescent="0.2">
      <c r="A34" s="13" t="s">
        <v>360</v>
      </c>
      <c r="B34" s="232"/>
      <c r="C34" s="302"/>
      <c r="D34" s="170"/>
      <c r="E34" s="11"/>
      <c r="F34" s="301"/>
      <c r="G34" s="302"/>
      <c r="H34" s="170"/>
      <c r="I34" s="11"/>
      <c r="J34" s="232"/>
      <c r="K34" s="232"/>
      <c r="L34" s="414"/>
      <c r="M34" s="24"/>
    </row>
    <row r="35" spans="1:14" ht="15.75" x14ac:dyDescent="0.2">
      <c r="A35" s="13" t="s">
        <v>361</v>
      </c>
      <c r="B35" s="232"/>
      <c r="C35" s="302"/>
      <c r="D35" s="170"/>
      <c r="E35" s="11"/>
      <c r="F35" s="301"/>
      <c r="G35" s="302"/>
      <c r="H35" s="170"/>
      <c r="I35" s="11"/>
      <c r="J35" s="232"/>
      <c r="K35" s="232"/>
      <c r="L35" s="414"/>
      <c r="M35" s="24"/>
    </row>
    <row r="36" spans="1:14" ht="15.75" x14ac:dyDescent="0.2">
      <c r="A36" s="12" t="s">
        <v>278</v>
      </c>
      <c r="B36" s="232"/>
      <c r="C36" s="302"/>
      <c r="D36" s="170"/>
      <c r="E36" s="11"/>
      <c r="F36" s="312"/>
      <c r="G36" s="313"/>
      <c r="H36" s="170"/>
      <c r="I36" s="420"/>
      <c r="J36" s="232"/>
      <c r="K36" s="232"/>
      <c r="L36" s="414"/>
      <c r="M36" s="24"/>
    </row>
    <row r="37" spans="1:14" ht="15.75" x14ac:dyDescent="0.2">
      <c r="A37" s="12" t="s">
        <v>367</v>
      </c>
      <c r="B37" s="232"/>
      <c r="C37" s="302"/>
      <c r="D37" s="170"/>
      <c r="E37" s="11"/>
      <c r="F37" s="312"/>
      <c r="G37" s="314"/>
      <c r="H37" s="170"/>
      <c r="I37" s="420"/>
      <c r="J37" s="232"/>
      <c r="K37" s="232"/>
      <c r="L37" s="414"/>
      <c r="M37" s="24"/>
    </row>
    <row r="38" spans="1:14" ht="15.75" x14ac:dyDescent="0.2">
      <c r="A38" s="12" t="s">
        <v>368</v>
      </c>
      <c r="B38" s="232"/>
      <c r="C38" s="302"/>
      <c r="D38" s="170"/>
      <c r="E38" s="24"/>
      <c r="F38" s="312"/>
      <c r="G38" s="313"/>
      <c r="H38" s="170"/>
      <c r="I38" s="420"/>
      <c r="J38" s="232"/>
      <c r="K38" s="232"/>
      <c r="L38" s="414"/>
      <c r="M38" s="24"/>
    </row>
    <row r="39" spans="1:14" ht="15.75" x14ac:dyDescent="0.2">
      <c r="A39" s="18" t="s">
        <v>369</v>
      </c>
      <c r="B39" s="272"/>
      <c r="C39" s="308"/>
      <c r="D39" s="168"/>
      <c r="E39" s="36"/>
      <c r="F39" s="315"/>
      <c r="G39" s="316"/>
      <c r="H39" s="168"/>
      <c r="I39" s="36"/>
      <c r="J39" s="232"/>
      <c r="K39" s="232"/>
      <c r="L39" s="415"/>
      <c r="M39" s="36"/>
    </row>
    <row r="40" spans="1:14" ht="15.75" x14ac:dyDescent="0.25">
      <c r="A40" s="47"/>
      <c r="B40" s="249"/>
      <c r="C40" s="249"/>
      <c r="D40" s="728"/>
      <c r="E40" s="728"/>
      <c r="F40" s="728"/>
      <c r="G40" s="728"/>
      <c r="H40" s="728"/>
      <c r="I40" s="728"/>
      <c r="J40" s="728"/>
      <c r="K40" s="728"/>
      <c r="L40" s="728"/>
      <c r="M40" s="295"/>
    </row>
    <row r="41" spans="1:14" x14ac:dyDescent="0.2">
      <c r="A41" s="154"/>
    </row>
    <row r="42" spans="1:14" ht="15.75" x14ac:dyDescent="0.25">
      <c r="A42" s="147" t="s">
        <v>267</v>
      </c>
      <c r="B42" s="729"/>
      <c r="C42" s="729"/>
      <c r="D42" s="729"/>
      <c r="E42" s="292"/>
      <c r="F42" s="730"/>
      <c r="G42" s="730"/>
      <c r="H42" s="730"/>
      <c r="I42" s="295"/>
      <c r="J42" s="730"/>
      <c r="K42" s="730"/>
      <c r="L42" s="730"/>
      <c r="M42" s="295"/>
    </row>
    <row r="43" spans="1:14" ht="15.75" x14ac:dyDescent="0.25">
      <c r="A43" s="162"/>
      <c r="B43" s="296"/>
      <c r="C43" s="296"/>
      <c r="D43" s="296"/>
      <c r="E43" s="296"/>
      <c r="F43" s="295"/>
      <c r="G43" s="295"/>
      <c r="H43" s="295"/>
      <c r="I43" s="295"/>
      <c r="J43" s="295"/>
      <c r="K43" s="295"/>
      <c r="L43" s="295"/>
      <c r="M43" s="295"/>
    </row>
    <row r="44" spans="1:14" ht="15.75" x14ac:dyDescent="0.25">
      <c r="A44" s="243"/>
      <c r="B44" s="725" t="s">
        <v>0</v>
      </c>
      <c r="C44" s="726"/>
      <c r="D44" s="726"/>
      <c r="E44" s="239"/>
      <c r="F44" s="295"/>
      <c r="G44" s="295"/>
      <c r="H44" s="295"/>
      <c r="I44" s="295"/>
      <c r="J44" s="295"/>
      <c r="K44" s="295"/>
      <c r="L44" s="295"/>
      <c r="M44" s="295"/>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v>2497</v>
      </c>
      <c r="C47" s="304"/>
      <c r="D47" s="413">
        <f t="shared" ref="D47:D48" si="0">IF(B47=0, "    ---- ", IF(ABS(ROUND(100/B47*C47-100,1))&lt;999,ROUND(100/B47*C47-100,1),IF(ROUND(100/B47*C47-100,1)&gt;999,999,-999)))</f>
        <v>-100</v>
      </c>
      <c r="E47" s="11">
        <f>IFERROR(100/'Skjema total MA'!C47*C47,0)</f>
        <v>0</v>
      </c>
      <c r="F47" s="145"/>
      <c r="G47" s="33"/>
      <c r="H47" s="158"/>
      <c r="I47" s="158"/>
      <c r="J47" s="37"/>
      <c r="K47" s="37"/>
      <c r="L47" s="158"/>
      <c r="M47" s="158"/>
      <c r="N47" s="148"/>
    </row>
    <row r="48" spans="1:14" s="3" customFormat="1" ht="15.75" x14ac:dyDescent="0.2">
      <c r="A48" s="38" t="s">
        <v>370</v>
      </c>
      <c r="B48" s="277">
        <v>925</v>
      </c>
      <c r="C48" s="278"/>
      <c r="D48" s="250">
        <f t="shared" si="0"/>
        <v>-100</v>
      </c>
      <c r="E48" s="27">
        <f>IFERROR(100/'Skjema total MA'!C48*C48,0)</f>
        <v>0</v>
      </c>
      <c r="F48" s="145"/>
      <c r="G48" s="33"/>
      <c r="H48" s="145"/>
      <c r="I48" s="145"/>
      <c r="J48" s="33"/>
      <c r="K48" s="33"/>
      <c r="L48" s="158"/>
      <c r="M48" s="158"/>
      <c r="N48" s="148"/>
    </row>
    <row r="49" spans="1:14" s="3" customFormat="1" ht="15.75" x14ac:dyDescent="0.2">
      <c r="A49" s="38" t="s">
        <v>371</v>
      </c>
      <c r="B49" s="44">
        <v>1572</v>
      </c>
      <c r="C49" s="283"/>
      <c r="D49" s="250">
        <f>IF(B49=0, "    ---- ", IF(ABS(ROUND(100/B49*C49-100,1))&lt;999,ROUND(100/B49*C49-100,1),IF(ROUND(100/B49*C49-100,1)&gt;999,999,-999)))</f>
        <v>-100</v>
      </c>
      <c r="E49" s="27">
        <f>IFERROR(100/'Skjema total MA'!C49*C49,0)</f>
        <v>0</v>
      </c>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c r="C53" s="304"/>
      <c r="D53" s="414"/>
      <c r="E53" s="11"/>
      <c r="F53" s="145"/>
      <c r="G53" s="33"/>
      <c r="H53" s="145"/>
      <c r="I53" s="145"/>
      <c r="J53" s="33"/>
      <c r="K53" s="33"/>
      <c r="L53" s="158"/>
      <c r="M53" s="158"/>
      <c r="N53" s="148"/>
    </row>
    <row r="54" spans="1:14" s="3" customFormat="1" ht="15.75" x14ac:dyDescent="0.2">
      <c r="A54" s="38" t="s">
        <v>370</v>
      </c>
      <c r="B54" s="277"/>
      <c r="C54" s="278"/>
      <c r="D54" s="250"/>
      <c r="E54" s="27"/>
      <c r="F54" s="145"/>
      <c r="G54" s="33"/>
      <c r="H54" s="145"/>
      <c r="I54" s="145"/>
      <c r="J54" s="33"/>
      <c r="K54" s="33"/>
      <c r="L54" s="158"/>
      <c r="M54" s="158"/>
      <c r="N54" s="148"/>
    </row>
    <row r="55" spans="1:14" s="3" customFormat="1" ht="15.75" x14ac:dyDescent="0.2">
      <c r="A55" s="38" t="s">
        <v>371</v>
      </c>
      <c r="B55" s="277"/>
      <c r="C55" s="278"/>
      <c r="D55" s="250"/>
      <c r="E55" s="27"/>
      <c r="F55" s="145"/>
      <c r="G55" s="33"/>
      <c r="H55" s="145"/>
      <c r="I55" s="145"/>
      <c r="J55" s="33"/>
      <c r="K55" s="33"/>
      <c r="L55" s="158"/>
      <c r="M55" s="158"/>
      <c r="N55" s="148"/>
    </row>
    <row r="56" spans="1:14" s="3" customFormat="1" ht="15.75" x14ac:dyDescent="0.2">
      <c r="A56" s="39" t="s">
        <v>373</v>
      </c>
      <c r="B56" s="303"/>
      <c r="C56" s="304"/>
      <c r="D56" s="414"/>
      <c r="E56" s="11"/>
      <c r="F56" s="145"/>
      <c r="G56" s="33"/>
      <c r="H56" s="145"/>
      <c r="I56" s="145"/>
      <c r="J56" s="33"/>
      <c r="K56" s="33"/>
      <c r="L56" s="158"/>
      <c r="M56" s="158"/>
      <c r="N56" s="148"/>
    </row>
    <row r="57" spans="1:14" s="3" customFormat="1" ht="15.75" x14ac:dyDescent="0.2">
      <c r="A57" s="38" t="s">
        <v>370</v>
      </c>
      <c r="B57" s="277"/>
      <c r="C57" s="278"/>
      <c r="D57" s="250"/>
      <c r="E57" s="27"/>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292"/>
      <c r="F62" s="724"/>
      <c r="G62" s="724"/>
      <c r="H62" s="724"/>
      <c r="I62" s="292"/>
      <c r="J62" s="724"/>
      <c r="K62" s="724"/>
      <c r="L62" s="724"/>
      <c r="M62" s="292"/>
    </row>
    <row r="63" spans="1:14" x14ac:dyDescent="0.2">
      <c r="A63" s="144"/>
      <c r="B63" s="725" t="s">
        <v>0</v>
      </c>
      <c r="C63" s="726"/>
      <c r="D63" s="727"/>
      <c r="E63" s="293"/>
      <c r="F63" s="726" t="s">
        <v>1</v>
      </c>
      <c r="G63" s="726"/>
      <c r="H63" s="726"/>
      <c r="I63" s="297"/>
      <c r="J63" s="725" t="s">
        <v>2</v>
      </c>
      <c r="K63" s="726"/>
      <c r="L63" s="726"/>
      <c r="M63" s="297"/>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c r="C66" s="343"/>
      <c r="D66" s="340"/>
      <c r="E66" s="11"/>
      <c r="F66" s="342"/>
      <c r="G66" s="342"/>
      <c r="H66" s="340"/>
      <c r="I66" s="11"/>
      <c r="J66" s="302"/>
      <c r="K66" s="309"/>
      <c r="L66" s="414"/>
      <c r="M66" s="11"/>
    </row>
    <row r="67" spans="1:14" x14ac:dyDescent="0.2">
      <c r="A67" s="405" t="s">
        <v>9</v>
      </c>
      <c r="B67" s="44"/>
      <c r="C67" s="145"/>
      <c r="D67" s="165"/>
      <c r="E67" s="27"/>
      <c r="F67" s="230"/>
      <c r="G67" s="145"/>
      <c r="H67" s="165"/>
      <c r="I67" s="27"/>
      <c r="J67" s="283"/>
      <c r="K67" s="44"/>
      <c r="L67" s="250"/>
      <c r="M67" s="27"/>
    </row>
    <row r="68" spans="1:14" x14ac:dyDescent="0.2">
      <c r="A68" s="21" t="s">
        <v>10</v>
      </c>
      <c r="B68" s="287"/>
      <c r="C68" s="288"/>
      <c r="D68" s="165"/>
      <c r="E68" s="27"/>
      <c r="F68" s="287"/>
      <c r="G68" s="288"/>
      <c r="H68" s="165"/>
      <c r="I68" s="27"/>
      <c r="J68" s="283"/>
      <c r="K68" s="44"/>
      <c r="L68" s="250"/>
      <c r="M68" s="27"/>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c r="C75" s="145"/>
      <c r="D75" s="165"/>
      <c r="E75" s="27"/>
      <c r="F75" s="230"/>
      <c r="G75" s="145"/>
      <c r="H75" s="165"/>
      <c r="I75" s="27"/>
      <c r="J75" s="283"/>
      <c r="K75" s="44"/>
      <c r="L75" s="250"/>
      <c r="M75" s="27"/>
      <c r="N75" s="148"/>
    </row>
    <row r="76" spans="1:14" s="3" customFormat="1" x14ac:dyDescent="0.2">
      <c r="A76" s="21" t="s">
        <v>343</v>
      </c>
      <c r="B76" s="230"/>
      <c r="C76" s="145"/>
      <c r="D76" s="165"/>
      <c r="E76" s="27"/>
      <c r="F76" s="230"/>
      <c r="G76" s="145"/>
      <c r="H76" s="165"/>
      <c r="I76" s="27"/>
      <c r="J76" s="283"/>
      <c r="K76" s="44"/>
      <c r="L76" s="250"/>
      <c r="M76" s="27"/>
      <c r="N76" s="148"/>
    </row>
    <row r="77" spans="1:14" ht="15.75" x14ac:dyDescent="0.2">
      <c r="A77" s="21" t="s">
        <v>376</v>
      </c>
      <c r="B77" s="230"/>
      <c r="C77" s="230"/>
      <c r="D77" s="165"/>
      <c r="E77" s="27"/>
      <c r="F77" s="230"/>
      <c r="G77" s="145"/>
      <c r="H77" s="165"/>
      <c r="I77" s="27"/>
      <c r="J77" s="283"/>
      <c r="K77" s="44"/>
      <c r="L77" s="250"/>
      <c r="M77" s="27"/>
    </row>
    <row r="78" spans="1:14" x14ac:dyDescent="0.2">
      <c r="A78" s="21" t="s">
        <v>9</v>
      </c>
      <c r="B78" s="230"/>
      <c r="C78" s="145"/>
      <c r="D78" s="165"/>
      <c r="E78" s="27"/>
      <c r="F78" s="230"/>
      <c r="G78" s="145"/>
      <c r="H78" s="165"/>
      <c r="I78" s="27"/>
      <c r="J78" s="283"/>
      <c r="K78" s="44"/>
      <c r="L78" s="250"/>
      <c r="M78" s="27"/>
    </row>
    <row r="79" spans="1:14" x14ac:dyDescent="0.2">
      <c r="A79" s="38" t="s">
        <v>413</v>
      </c>
      <c r="B79" s="287"/>
      <c r="C79" s="288"/>
      <c r="D79" s="165"/>
      <c r="E79" s="27"/>
      <c r="F79" s="287"/>
      <c r="G79" s="288"/>
      <c r="H79" s="165"/>
      <c r="I79" s="27"/>
      <c r="J79" s="283"/>
      <c r="K79" s="44"/>
      <c r="L79" s="250"/>
      <c r="M79" s="27"/>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c r="C86" s="145"/>
      <c r="D86" s="165"/>
      <c r="E86" s="27"/>
      <c r="F86" s="230"/>
      <c r="G86" s="145"/>
      <c r="H86" s="165"/>
      <c r="I86" s="27"/>
      <c r="J86" s="283"/>
      <c r="K86" s="44"/>
      <c r="L86" s="250"/>
      <c r="M86" s="27"/>
    </row>
    <row r="87" spans="1:13" ht="15.75" x14ac:dyDescent="0.2">
      <c r="A87" s="13" t="s">
        <v>359</v>
      </c>
      <c r="B87" s="343"/>
      <c r="C87" s="343"/>
      <c r="D87" s="170"/>
      <c r="E87" s="11"/>
      <c r="F87" s="342"/>
      <c r="G87" s="342"/>
      <c r="H87" s="170"/>
      <c r="I87" s="11"/>
      <c r="J87" s="302"/>
      <c r="K87" s="232"/>
      <c r="L87" s="414"/>
      <c r="M87" s="11"/>
    </row>
    <row r="88" spans="1:13" x14ac:dyDescent="0.2">
      <c r="A88" s="21" t="s">
        <v>9</v>
      </c>
      <c r="B88" s="230"/>
      <c r="C88" s="145"/>
      <c r="D88" s="165"/>
      <c r="E88" s="27"/>
      <c r="F88" s="230"/>
      <c r="G88" s="145"/>
      <c r="H88" s="165"/>
      <c r="I88" s="27"/>
      <c r="J88" s="283"/>
      <c r="K88" s="44"/>
      <c r="L88" s="250"/>
      <c r="M88" s="27"/>
    </row>
    <row r="89" spans="1:13" x14ac:dyDescent="0.2">
      <c r="A89" s="21" t="s">
        <v>10</v>
      </c>
      <c r="B89" s="230"/>
      <c r="C89" s="145"/>
      <c r="D89" s="165"/>
      <c r="E89" s="27"/>
      <c r="F89" s="230"/>
      <c r="G89" s="145"/>
      <c r="H89" s="165"/>
      <c r="I89" s="27"/>
      <c r="J89" s="283"/>
      <c r="K89" s="44"/>
      <c r="L89" s="250"/>
      <c r="M89" s="27"/>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c r="C97" s="145"/>
      <c r="D97" s="165"/>
      <c r="E97" s="27"/>
      <c r="F97" s="230"/>
      <c r="G97" s="145"/>
      <c r="H97" s="165"/>
      <c r="I97" s="27"/>
      <c r="J97" s="283"/>
      <c r="K97" s="44"/>
      <c r="L97" s="250"/>
      <c r="M97" s="27"/>
    </row>
    <row r="98" spans="1:13" ht="15.75" x14ac:dyDescent="0.2">
      <c r="A98" s="21" t="s">
        <v>376</v>
      </c>
      <c r="B98" s="230"/>
      <c r="C98" s="230"/>
      <c r="D98" s="165"/>
      <c r="E98" s="27"/>
      <c r="F98" s="287"/>
      <c r="G98" s="287"/>
      <c r="H98" s="165"/>
      <c r="I98" s="27"/>
      <c r="J98" s="283"/>
      <c r="K98" s="44"/>
      <c r="L98" s="250"/>
      <c r="M98" s="27"/>
    </row>
    <row r="99" spans="1:13" x14ac:dyDescent="0.2">
      <c r="A99" s="21" t="s">
        <v>9</v>
      </c>
      <c r="B99" s="287"/>
      <c r="C99" s="288"/>
      <c r="D99" s="165"/>
      <c r="E99" s="27"/>
      <c r="F99" s="230"/>
      <c r="G99" s="145"/>
      <c r="H99" s="165"/>
      <c r="I99" s="27"/>
      <c r="J99" s="283"/>
      <c r="K99" s="44"/>
      <c r="L99" s="250"/>
      <c r="M99" s="27"/>
    </row>
    <row r="100" spans="1:13" x14ac:dyDescent="0.2">
      <c r="A100" s="38" t="s">
        <v>413</v>
      </c>
      <c r="B100" s="287"/>
      <c r="C100" s="288"/>
      <c r="D100" s="165"/>
      <c r="E100" s="27"/>
      <c r="F100" s="230"/>
      <c r="G100" s="230"/>
      <c r="H100" s="165"/>
      <c r="I100" s="27"/>
      <c r="J100" s="283"/>
      <c r="K100" s="44"/>
      <c r="L100" s="250"/>
      <c r="M100" s="27"/>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c r="C107" s="145"/>
      <c r="D107" s="165"/>
      <c r="E107" s="27"/>
      <c r="F107" s="230"/>
      <c r="G107" s="145"/>
      <c r="H107" s="165"/>
      <c r="I107" s="27"/>
      <c r="J107" s="283"/>
      <c r="K107" s="44"/>
      <c r="L107" s="250"/>
      <c r="M107" s="27"/>
    </row>
    <row r="108" spans="1:13" ht="15.75" x14ac:dyDescent="0.2">
      <c r="A108" s="21" t="s">
        <v>378</v>
      </c>
      <c r="B108" s="230"/>
      <c r="C108" s="230"/>
      <c r="D108" s="165"/>
      <c r="E108" s="27"/>
      <c r="F108" s="230"/>
      <c r="G108" s="230"/>
      <c r="H108" s="165"/>
      <c r="I108" s="27"/>
      <c r="J108" s="283"/>
      <c r="K108" s="44"/>
      <c r="L108" s="250"/>
      <c r="M108" s="27"/>
    </row>
    <row r="109" spans="1:13" ht="15.6" customHeight="1" x14ac:dyDescent="0.2">
      <c r="A109" s="21" t="s">
        <v>430</v>
      </c>
      <c r="B109" s="230"/>
      <c r="C109" s="230"/>
      <c r="D109" s="165"/>
      <c r="E109" s="27"/>
      <c r="F109" s="230"/>
      <c r="G109" s="230"/>
      <c r="H109" s="165"/>
      <c r="I109" s="27"/>
      <c r="J109" s="283"/>
      <c r="K109" s="44"/>
      <c r="L109" s="250"/>
      <c r="M109" s="27"/>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c r="C111" s="158"/>
      <c r="D111" s="170"/>
      <c r="E111" s="11"/>
      <c r="F111" s="301"/>
      <c r="G111" s="158"/>
      <c r="H111" s="170"/>
      <c r="I111" s="11"/>
      <c r="J111" s="302"/>
      <c r="K111" s="232"/>
      <c r="L111" s="414"/>
      <c r="M111" s="11"/>
    </row>
    <row r="112" spans="1:13" x14ac:dyDescent="0.2">
      <c r="A112" s="21" t="s">
        <v>9</v>
      </c>
      <c r="B112" s="230"/>
      <c r="C112" s="145"/>
      <c r="D112" s="165"/>
      <c r="E112" s="27"/>
      <c r="F112" s="230"/>
      <c r="G112" s="145"/>
      <c r="H112" s="165"/>
      <c r="I112" s="27"/>
      <c r="J112" s="283"/>
      <c r="K112" s="44"/>
      <c r="L112" s="250"/>
      <c r="M112" s="27"/>
    </row>
    <row r="113" spans="1:14" x14ac:dyDescent="0.2">
      <c r="A113" s="21" t="s">
        <v>10</v>
      </c>
      <c r="B113" s="230"/>
      <c r="C113" s="145"/>
      <c r="D113" s="165"/>
      <c r="E113" s="27"/>
      <c r="F113" s="230"/>
      <c r="G113" s="145"/>
      <c r="H113" s="165"/>
      <c r="I113" s="27"/>
      <c r="J113" s="283"/>
      <c r="K113" s="44"/>
      <c r="L113" s="250"/>
      <c r="M113" s="27"/>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c r="C116" s="230"/>
      <c r="D116" s="165"/>
      <c r="E116" s="27"/>
      <c r="F116" s="230"/>
      <c r="G116" s="230"/>
      <c r="H116" s="165"/>
      <c r="I116" s="27"/>
      <c r="J116" s="283"/>
      <c r="K116" s="44"/>
      <c r="L116" s="250"/>
      <c r="M116" s="27"/>
    </row>
    <row r="117" spans="1:14" ht="15.6" customHeight="1" x14ac:dyDescent="0.2">
      <c r="A117" s="21" t="s">
        <v>430</v>
      </c>
      <c r="B117" s="230"/>
      <c r="C117" s="230"/>
      <c r="D117" s="165"/>
      <c r="E117" s="27"/>
      <c r="F117" s="230"/>
      <c r="G117" s="230"/>
      <c r="H117" s="165"/>
      <c r="I117" s="27"/>
      <c r="J117" s="283"/>
      <c r="K117" s="44"/>
      <c r="L117" s="250"/>
      <c r="M117" s="27"/>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c r="C119" s="158"/>
      <c r="D119" s="170"/>
      <c r="E119" s="11"/>
      <c r="F119" s="301"/>
      <c r="G119" s="158"/>
      <c r="H119" s="170"/>
      <c r="I119" s="11"/>
      <c r="J119" s="302"/>
      <c r="K119" s="232"/>
      <c r="L119" s="414"/>
      <c r="M119" s="11"/>
    </row>
    <row r="120" spans="1:14" x14ac:dyDescent="0.2">
      <c r="A120" s="21" t="s">
        <v>9</v>
      </c>
      <c r="B120" s="230"/>
      <c r="C120" s="145"/>
      <c r="D120" s="165"/>
      <c r="E120" s="27"/>
      <c r="F120" s="230"/>
      <c r="G120" s="145"/>
      <c r="H120" s="165"/>
      <c r="I120" s="27"/>
      <c r="J120" s="283"/>
      <c r="K120" s="44"/>
      <c r="L120" s="250"/>
      <c r="M120" s="27"/>
    </row>
    <row r="121" spans="1:14" x14ac:dyDescent="0.2">
      <c r="A121" s="21" t="s">
        <v>10</v>
      </c>
      <c r="B121" s="230"/>
      <c r="C121" s="145"/>
      <c r="D121" s="165"/>
      <c r="E121" s="27"/>
      <c r="F121" s="230"/>
      <c r="G121" s="145"/>
      <c r="H121" s="165"/>
      <c r="I121" s="27"/>
      <c r="J121" s="283"/>
      <c r="K121" s="44"/>
      <c r="L121" s="250"/>
      <c r="M121" s="27"/>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c r="C125" s="230"/>
      <c r="D125" s="165"/>
      <c r="E125" s="27"/>
      <c r="F125" s="230"/>
      <c r="G125" s="230"/>
      <c r="H125" s="165"/>
      <c r="I125" s="27"/>
      <c r="J125" s="283"/>
      <c r="K125" s="44"/>
      <c r="L125" s="250"/>
      <c r="M125" s="27"/>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292"/>
      <c r="F130" s="724"/>
      <c r="G130" s="724"/>
      <c r="H130" s="724"/>
      <c r="I130" s="292"/>
      <c r="J130" s="724"/>
      <c r="K130" s="724"/>
      <c r="L130" s="724"/>
      <c r="M130" s="292"/>
    </row>
    <row r="131" spans="1:14" s="3" customFormat="1" x14ac:dyDescent="0.2">
      <c r="A131" s="144"/>
      <c r="B131" s="725" t="s">
        <v>0</v>
      </c>
      <c r="C131" s="726"/>
      <c r="D131" s="726"/>
      <c r="E131" s="294"/>
      <c r="F131" s="725" t="s">
        <v>1</v>
      </c>
      <c r="G131" s="726"/>
      <c r="H131" s="726"/>
      <c r="I131" s="297"/>
      <c r="J131" s="725" t="s">
        <v>2</v>
      </c>
      <c r="K131" s="726"/>
      <c r="L131" s="726"/>
      <c r="M131" s="297"/>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v>7027140.7149999999</v>
      </c>
      <c r="C134" s="302">
        <v>7118708.5350500001</v>
      </c>
      <c r="D134" s="340">
        <f t="shared" ref="D134:D137" si="1">IF(B134=0, "    ---- ", IF(ABS(ROUND(100/B134*C134-100,1))&lt;999,ROUND(100/B134*C134-100,1),IF(ROUND(100/B134*C134-100,1)&gt;999,999,-999)))</f>
        <v>1.3</v>
      </c>
      <c r="E134" s="11">
        <f>IFERROR(100/'Skjema total MA'!C134*C134,0)</f>
        <v>83.776210797473013</v>
      </c>
      <c r="F134" s="309">
        <v>13768.486000000001</v>
      </c>
      <c r="G134" s="310">
        <v>7778.8180000000002</v>
      </c>
      <c r="H134" s="417">
        <f t="shared" ref="H134:H136" si="2">IF(F134=0, "    ---- ", IF(ABS(ROUND(100/F134*G134-100,1))&lt;999,ROUND(100/F134*G134-100,1),IF(ROUND(100/F134*G134-100,1)&gt;999,999,-999)))</f>
        <v>-43.5</v>
      </c>
      <c r="I134" s="24">
        <f>IFERROR(100/'Skjema total MA'!F134*G134,0)</f>
        <v>100</v>
      </c>
      <c r="J134" s="311">
        <f t="shared" ref="J134:K137" si="3">SUM(B134,F134)</f>
        <v>7040909.2009999994</v>
      </c>
      <c r="K134" s="311">
        <f t="shared" si="3"/>
        <v>7126487.35305</v>
      </c>
      <c r="L134" s="413">
        <f t="shared" ref="L134:L137" si="4">IF(J134=0, "    ---- ", IF(ABS(ROUND(100/J134*K134-100,1))&lt;999,ROUND(100/J134*K134-100,1),IF(ROUND(100/J134*K134-100,1)&gt;999,999,-999)))</f>
        <v>1.2</v>
      </c>
      <c r="M134" s="11">
        <f>IFERROR(100/'Skjema total MA'!I134*K134,0)</f>
        <v>83.791049229625102</v>
      </c>
      <c r="N134" s="148"/>
    </row>
    <row r="135" spans="1:14" s="3" customFormat="1" ht="15.75" x14ac:dyDescent="0.2">
      <c r="A135" s="13" t="s">
        <v>386</v>
      </c>
      <c r="B135" s="232">
        <v>532252570.11264002</v>
      </c>
      <c r="C135" s="302">
        <v>641185711.48478997</v>
      </c>
      <c r="D135" s="170">
        <f t="shared" si="1"/>
        <v>20.5</v>
      </c>
      <c r="E135" s="11">
        <f>IFERROR(100/'Skjema total MA'!C135*C135,0)</f>
        <v>86.699235548165916</v>
      </c>
      <c r="F135" s="232">
        <v>2073544.89796</v>
      </c>
      <c r="G135" s="302">
        <v>2847329.1389299999</v>
      </c>
      <c r="H135" s="418">
        <f t="shared" si="2"/>
        <v>37.299999999999997</v>
      </c>
      <c r="I135" s="24">
        <f>IFERROR(100/'Skjema total MA'!F135*G135,0)</f>
        <v>100</v>
      </c>
      <c r="J135" s="301">
        <f t="shared" si="3"/>
        <v>534326115.01060003</v>
      </c>
      <c r="K135" s="301">
        <f t="shared" si="3"/>
        <v>644033040.62371993</v>
      </c>
      <c r="L135" s="414">
        <f t="shared" si="4"/>
        <v>20.5</v>
      </c>
      <c r="M135" s="11">
        <f>IFERROR(100/'Skjema total MA'!I135*K135,0)</f>
        <v>86.750248076858668</v>
      </c>
      <c r="N135" s="148"/>
    </row>
    <row r="136" spans="1:14" s="3" customFormat="1" ht="15.75" x14ac:dyDescent="0.2">
      <c r="A136" s="13" t="s">
        <v>383</v>
      </c>
      <c r="B136" s="232"/>
      <c r="C136" s="302"/>
      <c r="D136" s="170"/>
      <c r="E136" s="11"/>
      <c r="F136" s="232">
        <v>0</v>
      </c>
      <c r="G136" s="302">
        <v>376440.52899999998</v>
      </c>
      <c r="H136" s="418" t="str">
        <f t="shared" si="2"/>
        <v xml:space="preserve">    ---- </v>
      </c>
      <c r="I136" s="24">
        <f>IFERROR(100/'Skjema total MA'!F136*G136,0)</f>
        <v>100</v>
      </c>
      <c r="J136" s="301">
        <f t="shared" si="3"/>
        <v>0</v>
      </c>
      <c r="K136" s="301">
        <f t="shared" si="3"/>
        <v>376440.52899999998</v>
      </c>
      <c r="L136" s="414" t="str">
        <f t="shared" si="4"/>
        <v xml:space="preserve">    ---- </v>
      </c>
      <c r="M136" s="11">
        <f>IFERROR(100/'Skjema total MA'!I136*K136,0)</f>
        <v>10.729803538713421</v>
      </c>
      <c r="N136" s="148"/>
    </row>
    <row r="137" spans="1:14" s="3" customFormat="1" ht="15.75" x14ac:dyDescent="0.2">
      <c r="A137" s="41" t="s">
        <v>384</v>
      </c>
      <c r="B137" s="272">
        <v>8418803.5179999992</v>
      </c>
      <c r="C137" s="308">
        <v>4875400.2249999996</v>
      </c>
      <c r="D137" s="168">
        <f t="shared" si="1"/>
        <v>-42.1</v>
      </c>
      <c r="E137" s="9">
        <f>IFERROR(100/'Skjema total MA'!C137*C137,0)</f>
        <v>100</v>
      </c>
      <c r="F137" s="272"/>
      <c r="G137" s="308"/>
      <c r="H137" s="419"/>
      <c r="I137" s="36"/>
      <c r="J137" s="307">
        <f t="shared" si="3"/>
        <v>8418803.5179999992</v>
      </c>
      <c r="K137" s="307">
        <f t="shared" si="3"/>
        <v>4875400.2249999996</v>
      </c>
      <c r="L137" s="415">
        <f t="shared" si="4"/>
        <v>-42.1</v>
      </c>
      <c r="M137" s="36">
        <f>IFERROR(100/'Skjema total MA'!I137*K137,0)</f>
        <v>100</v>
      </c>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28" priority="12">
      <formula>kvartal &lt; 4</formula>
    </cfRule>
  </conditionalFormatting>
  <conditionalFormatting sqref="A69:A74">
    <cfRule type="expression" dxfId="327" priority="10">
      <formula>kvartal &lt; 4</formula>
    </cfRule>
  </conditionalFormatting>
  <conditionalFormatting sqref="A80:A85">
    <cfRule type="expression" dxfId="326" priority="9">
      <formula>kvartal &lt; 4</formula>
    </cfRule>
  </conditionalFormatting>
  <conditionalFormatting sqref="A90:A95">
    <cfRule type="expression" dxfId="325" priority="6">
      <formula>kvartal &lt; 4</formula>
    </cfRule>
  </conditionalFormatting>
  <conditionalFormatting sqref="A101:A106">
    <cfRule type="expression" dxfId="324" priority="5">
      <formula>kvartal &lt; 4</formula>
    </cfRule>
  </conditionalFormatting>
  <conditionalFormatting sqref="A115">
    <cfRule type="expression" dxfId="323" priority="4">
      <formula>kvartal &lt; 4</formula>
    </cfRule>
  </conditionalFormatting>
  <conditionalFormatting sqref="A123">
    <cfRule type="expression" dxfId="322" priority="3">
      <formula>kvartal &lt; 4</formula>
    </cfRule>
  </conditionalFormatting>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N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244" t="s">
        <v>130</v>
      </c>
      <c r="D1" s="26"/>
      <c r="E1" s="26"/>
      <c r="F1" s="26"/>
      <c r="G1" s="26"/>
      <c r="H1" s="26"/>
      <c r="I1" s="26"/>
      <c r="J1" s="26"/>
      <c r="K1" s="26"/>
      <c r="L1" s="26"/>
      <c r="M1" s="26"/>
    </row>
    <row r="2" spans="1:14" ht="15.75" x14ac:dyDescent="0.25">
      <c r="A2" s="164" t="s">
        <v>28</v>
      </c>
      <c r="B2" s="729"/>
      <c r="C2" s="729"/>
      <c r="D2" s="729"/>
      <c r="E2" s="292"/>
      <c r="F2" s="729"/>
      <c r="G2" s="729"/>
      <c r="H2" s="729"/>
      <c r="I2" s="292"/>
      <c r="J2" s="729"/>
      <c r="K2" s="729"/>
      <c r="L2" s="729"/>
      <c r="M2" s="292"/>
    </row>
    <row r="3" spans="1:14" ht="15.75" x14ac:dyDescent="0.25">
      <c r="A3" s="162"/>
      <c r="B3" s="292"/>
      <c r="C3" s="292"/>
      <c r="D3" s="292"/>
      <c r="E3" s="292"/>
      <c r="F3" s="292"/>
      <c r="G3" s="292"/>
      <c r="H3" s="292"/>
      <c r="I3" s="292"/>
      <c r="J3" s="292"/>
      <c r="K3" s="292"/>
      <c r="L3" s="292"/>
      <c r="M3" s="292"/>
    </row>
    <row r="4" spans="1:14" x14ac:dyDescent="0.2">
      <c r="A4" s="144"/>
      <c r="B4" s="725" t="s">
        <v>0</v>
      </c>
      <c r="C4" s="726"/>
      <c r="D4" s="726"/>
      <c r="E4" s="294"/>
      <c r="F4" s="725" t="s">
        <v>1</v>
      </c>
      <c r="G4" s="726"/>
      <c r="H4" s="726"/>
      <c r="I4" s="297"/>
      <c r="J4" s="725" t="s">
        <v>2</v>
      </c>
      <c r="K4" s="726"/>
      <c r="L4" s="726"/>
      <c r="M4" s="297"/>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v>7290.518</v>
      </c>
      <c r="C7" s="300">
        <v>8484.8169999999991</v>
      </c>
      <c r="D7" s="340">
        <f>IF(B7=0, "    ---- ", IF(ABS(ROUND(100/B7*C7-100,1))&lt;999,ROUND(100/B7*C7-100,1),IF(ROUND(100/B7*C7-100,1)&gt;999,999,-999)))</f>
        <v>16.399999999999999</v>
      </c>
      <c r="E7" s="11">
        <f>IFERROR(100/'Skjema total MA'!C7*C7,0)</f>
        <v>0.48943253459415026</v>
      </c>
      <c r="F7" s="299"/>
      <c r="G7" s="300"/>
      <c r="H7" s="340"/>
      <c r="I7" s="159"/>
      <c r="J7" s="301">
        <f t="shared" ref="J7:K10" si="0">SUM(B7,F7)</f>
        <v>7290.518</v>
      </c>
      <c r="K7" s="302">
        <f t="shared" si="0"/>
        <v>8484.8169999999991</v>
      </c>
      <c r="L7" s="413">
        <f>IF(J7=0, "    ---- ", IF(ABS(ROUND(100/J7*K7-100,1))&lt;999,ROUND(100/J7*K7-100,1),IF(ROUND(100/J7*K7-100,1)&gt;999,999,-999)))</f>
        <v>16.399999999999999</v>
      </c>
      <c r="M7" s="11">
        <f>IFERROR(100/'Skjema total MA'!I7*K7,0)</f>
        <v>0.16416006575800479</v>
      </c>
    </row>
    <row r="8" spans="1:14" ht="15.75" x14ac:dyDescent="0.2">
      <c r="A8" s="21" t="s">
        <v>25</v>
      </c>
      <c r="B8" s="277">
        <v>7003.03</v>
      </c>
      <c r="C8" s="278">
        <v>8137.1639999999998</v>
      </c>
      <c r="D8" s="165">
        <f t="shared" ref="D8:D10" si="1">IF(B8=0, "    ---- ", IF(ABS(ROUND(100/B8*C8-100,1))&lt;999,ROUND(100/B8*C8-100,1),IF(ROUND(100/B8*C8-100,1)&gt;999,999,-999)))</f>
        <v>16.2</v>
      </c>
      <c r="E8" s="27">
        <f>IFERROR(100/'Skjema total MA'!C8*C8,0)</f>
        <v>0.69967214129010846</v>
      </c>
      <c r="F8" s="281"/>
      <c r="G8" s="282"/>
      <c r="H8" s="165"/>
      <c r="I8" s="174"/>
      <c r="J8" s="230">
        <f t="shared" si="0"/>
        <v>7003.03</v>
      </c>
      <c r="K8" s="283">
        <f t="shared" si="0"/>
        <v>8137.1639999999998</v>
      </c>
      <c r="L8" s="165">
        <f t="shared" ref="L8:L9" si="2">IF(J8=0, "    ---- ", IF(ABS(ROUND(100/J8*K8-100,1))&lt;999,ROUND(100/J8*K8-100,1),IF(ROUND(100/J8*K8-100,1)&gt;999,999,-999)))</f>
        <v>16.2</v>
      </c>
      <c r="M8" s="27">
        <f>IFERROR(100/'Skjema total MA'!I8*K8,0)</f>
        <v>0.69967214129010846</v>
      </c>
    </row>
    <row r="9" spans="1:14" ht="15.75" x14ac:dyDescent="0.2">
      <c r="A9" s="21" t="s">
        <v>24</v>
      </c>
      <c r="B9" s="277">
        <v>287.488</v>
      </c>
      <c r="C9" s="278">
        <v>347.65300000000002</v>
      </c>
      <c r="D9" s="165">
        <f t="shared" si="1"/>
        <v>20.9</v>
      </c>
      <c r="E9" s="27">
        <f>IFERROR(100/'Skjema total MA'!C9*C9,0)</f>
        <v>9.6126210494646286E-2</v>
      </c>
      <c r="F9" s="281"/>
      <c r="G9" s="282"/>
      <c r="H9" s="165"/>
      <c r="I9" s="174"/>
      <c r="J9" s="230">
        <f t="shared" si="0"/>
        <v>287.488</v>
      </c>
      <c r="K9" s="283">
        <f t="shared" si="0"/>
        <v>347.65300000000002</v>
      </c>
      <c r="L9" s="165">
        <f t="shared" si="2"/>
        <v>20.9</v>
      </c>
      <c r="M9" s="27">
        <f>IFERROR(100/'Skjema total MA'!I9*K9,0)</f>
        <v>9.6126210494646286E-2</v>
      </c>
    </row>
    <row r="10" spans="1:14" ht="15.75" x14ac:dyDescent="0.2">
      <c r="A10" s="13" t="s">
        <v>359</v>
      </c>
      <c r="B10" s="303">
        <v>17384.531999999999</v>
      </c>
      <c r="C10" s="304">
        <v>19208.919000000002</v>
      </c>
      <c r="D10" s="170">
        <f t="shared" si="1"/>
        <v>10.5</v>
      </c>
      <c r="E10" s="11">
        <f>IFERROR(100/'Skjema total MA'!C10*C10,0)</f>
        <v>0.11708399647762527</v>
      </c>
      <c r="F10" s="303"/>
      <c r="G10" s="304"/>
      <c r="H10" s="170"/>
      <c r="I10" s="159"/>
      <c r="J10" s="301">
        <f t="shared" si="0"/>
        <v>17384.531999999999</v>
      </c>
      <c r="K10" s="302">
        <f t="shared" si="0"/>
        <v>19208.919000000002</v>
      </c>
      <c r="L10" s="414">
        <f t="shared" ref="L10" si="3">IF(J10=0, "    ---- ", IF(ABS(ROUND(100/J10*K10-100,1))&lt;999,ROUND(100/J10*K10-100,1),IF(ROUND(100/J10*K10-100,1)&gt;999,999,-999)))</f>
        <v>10.5</v>
      </c>
      <c r="M10" s="11">
        <f>IFERROR(100/'Skjema total MA'!I10*K10,0)</f>
        <v>2.1031200256127782E-2</v>
      </c>
    </row>
    <row r="11" spans="1:14" s="43" customFormat="1" ht="15.75" x14ac:dyDescent="0.2">
      <c r="A11" s="13" t="s">
        <v>360</v>
      </c>
      <c r="B11" s="303"/>
      <c r="C11" s="304"/>
      <c r="D11" s="170"/>
      <c r="E11" s="11"/>
      <c r="F11" s="303"/>
      <c r="G11" s="304"/>
      <c r="H11" s="170"/>
      <c r="I11" s="159"/>
      <c r="J11" s="301"/>
      <c r="K11" s="302"/>
      <c r="L11" s="414"/>
      <c r="M11" s="11"/>
      <c r="N11" s="143"/>
    </row>
    <row r="12" spans="1:14" s="43" customFormat="1" ht="15.75" x14ac:dyDescent="0.2">
      <c r="A12" s="41" t="s">
        <v>361</v>
      </c>
      <c r="B12" s="305"/>
      <c r="C12" s="306"/>
      <c r="D12" s="168"/>
      <c r="E12" s="36"/>
      <c r="F12" s="305"/>
      <c r="G12" s="306"/>
      <c r="H12" s="168"/>
      <c r="I12" s="168"/>
      <c r="J12" s="307"/>
      <c r="K12" s="308"/>
      <c r="L12" s="415"/>
      <c r="M12" s="36"/>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292"/>
      <c r="F18" s="724"/>
      <c r="G18" s="724"/>
      <c r="H18" s="724"/>
      <c r="I18" s="292"/>
      <c r="J18" s="724"/>
      <c r="K18" s="724"/>
      <c r="L18" s="724"/>
      <c r="M18" s="292"/>
    </row>
    <row r="19" spans="1:14" x14ac:dyDescent="0.2">
      <c r="A19" s="144"/>
      <c r="B19" s="725" t="s">
        <v>0</v>
      </c>
      <c r="C19" s="726"/>
      <c r="D19" s="726"/>
      <c r="E19" s="294"/>
      <c r="F19" s="725" t="s">
        <v>1</v>
      </c>
      <c r="G19" s="726"/>
      <c r="H19" s="726"/>
      <c r="I19" s="297"/>
      <c r="J19" s="725" t="s">
        <v>2</v>
      </c>
      <c r="K19" s="726"/>
      <c r="L19" s="726"/>
      <c r="M19" s="297"/>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303">
        <v>5596.25</v>
      </c>
      <c r="C22" s="303">
        <v>6913.57</v>
      </c>
      <c r="D22" s="340">
        <f t="shared" ref="D22:D29" si="4">IF(B22=0, "    ---- ", IF(ABS(ROUND(100/B22*C22-100,1))&lt;999,ROUND(100/B22*C22-100,1),IF(ROUND(100/B22*C22-100,1)&gt;999,999,-999)))</f>
        <v>23.5</v>
      </c>
      <c r="E22" s="11">
        <f>IFERROR(100/'Skjema total MA'!C22*C22,0)</f>
        <v>0.90831712838523726</v>
      </c>
      <c r="F22" s="311"/>
      <c r="G22" s="311"/>
      <c r="H22" s="340"/>
      <c r="I22" s="11"/>
      <c r="J22" s="309">
        <f t="shared" ref="J22:K29" si="5">SUM(B22,F22)</f>
        <v>5596.25</v>
      </c>
      <c r="K22" s="309">
        <f t="shared" si="5"/>
        <v>6913.57</v>
      </c>
      <c r="L22" s="413">
        <f t="shared" ref="L22:L29" si="6">IF(J22=0, "    ---- ", IF(ABS(ROUND(100/J22*K22-100,1))&lt;999,ROUND(100/J22*K22-100,1),IF(ROUND(100/J22*K22-100,1)&gt;999,999,-999)))</f>
        <v>23.5</v>
      </c>
      <c r="M22" s="24">
        <f>IFERROR(100/'Skjema total MA'!I22*K22,0)</f>
        <v>0.668283469987904</v>
      </c>
    </row>
    <row r="23" spans="1:14" ht="15.75" x14ac:dyDescent="0.2">
      <c r="A23" s="555" t="s">
        <v>362</v>
      </c>
      <c r="B23" s="277"/>
      <c r="C23" s="277"/>
      <c r="D23" s="165"/>
      <c r="E23" s="11"/>
      <c r="F23" s="286"/>
      <c r="G23" s="286"/>
      <c r="H23" s="165"/>
      <c r="I23" s="403"/>
      <c r="J23" s="286"/>
      <c r="K23" s="286"/>
      <c r="L23" s="165"/>
      <c r="M23" s="23"/>
    </row>
    <row r="24" spans="1:14" ht="15.75" x14ac:dyDescent="0.2">
      <c r="A24" s="555" t="s">
        <v>363</v>
      </c>
      <c r="B24" s="277"/>
      <c r="C24" s="277"/>
      <c r="D24" s="165"/>
      <c r="E24" s="11"/>
      <c r="F24" s="286"/>
      <c r="G24" s="286"/>
      <c r="H24" s="165"/>
      <c r="I24" s="403"/>
      <c r="J24" s="286"/>
      <c r="K24" s="286"/>
      <c r="L24" s="165"/>
      <c r="M24" s="23"/>
    </row>
    <row r="25" spans="1:14" ht="15.75" x14ac:dyDescent="0.2">
      <c r="A25" s="555" t="s">
        <v>364</v>
      </c>
      <c r="B25" s="277"/>
      <c r="C25" s="277"/>
      <c r="D25" s="165"/>
      <c r="E25" s="11"/>
      <c r="F25" s="286"/>
      <c r="G25" s="286"/>
      <c r="H25" s="165"/>
      <c r="I25" s="403"/>
      <c r="J25" s="286"/>
      <c r="K25" s="286"/>
      <c r="L25" s="165"/>
      <c r="M25" s="23"/>
    </row>
    <row r="26" spans="1:14" ht="15.75" x14ac:dyDescent="0.2">
      <c r="A26" s="555" t="s">
        <v>365</v>
      </c>
      <c r="B26" s="277"/>
      <c r="C26" s="277"/>
      <c r="D26" s="165"/>
      <c r="E26" s="11"/>
      <c r="F26" s="286"/>
      <c r="G26" s="286"/>
      <c r="H26" s="165"/>
      <c r="I26" s="403"/>
      <c r="J26" s="286"/>
      <c r="K26" s="286"/>
      <c r="L26" s="165"/>
      <c r="M26" s="23"/>
    </row>
    <row r="27" spans="1:14" x14ac:dyDescent="0.2">
      <c r="A27" s="555" t="s">
        <v>11</v>
      </c>
      <c r="B27" s="277"/>
      <c r="C27" s="277"/>
      <c r="D27" s="165"/>
      <c r="E27" s="11"/>
      <c r="F27" s="286"/>
      <c r="G27" s="286"/>
      <c r="H27" s="165"/>
      <c r="I27" s="403"/>
      <c r="J27" s="286"/>
      <c r="K27" s="286"/>
      <c r="L27" s="165"/>
      <c r="M27" s="23"/>
    </row>
    <row r="28" spans="1:14" ht="15.75" x14ac:dyDescent="0.2">
      <c r="A28" s="49" t="s">
        <v>270</v>
      </c>
      <c r="B28" s="44">
        <v>5596.25</v>
      </c>
      <c r="C28" s="283">
        <v>6913.57</v>
      </c>
      <c r="D28" s="165">
        <f t="shared" si="4"/>
        <v>23.5</v>
      </c>
      <c r="E28" s="11">
        <f>IFERROR(100/'Skjema total MA'!C28*C28,0)</f>
        <v>0.82418175484069245</v>
      </c>
      <c r="F28" s="230"/>
      <c r="G28" s="283"/>
      <c r="H28" s="165"/>
      <c r="I28" s="27"/>
      <c r="J28" s="44">
        <f t="shared" si="5"/>
        <v>5596.25</v>
      </c>
      <c r="K28" s="44">
        <f t="shared" si="5"/>
        <v>6913.57</v>
      </c>
      <c r="L28" s="250">
        <f t="shared" si="6"/>
        <v>23.5</v>
      </c>
      <c r="M28" s="23">
        <f>IFERROR(100/'Skjema total MA'!I28*K28,0)</f>
        <v>0.82418175484069245</v>
      </c>
    </row>
    <row r="29" spans="1:14" s="3" customFormat="1" ht="15.75" x14ac:dyDescent="0.2">
      <c r="A29" s="13" t="s">
        <v>359</v>
      </c>
      <c r="B29" s="232">
        <v>44280.243000000002</v>
      </c>
      <c r="C29" s="232">
        <v>64921.648000000001</v>
      </c>
      <c r="D29" s="170">
        <f t="shared" si="4"/>
        <v>46.6</v>
      </c>
      <c r="E29" s="11">
        <f>IFERROR(100/'Skjema total MA'!C29*C29,0)</f>
        <v>0.14287401583190401</v>
      </c>
      <c r="F29" s="301"/>
      <c r="G29" s="301"/>
      <c r="H29" s="170"/>
      <c r="I29" s="11"/>
      <c r="J29" s="232">
        <f t="shared" si="5"/>
        <v>44280.243000000002</v>
      </c>
      <c r="K29" s="232">
        <f t="shared" si="5"/>
        <v>64921.648000000001</v>
      </c>
      <c r="L29" s="414">
        <f t="shared" si="6"/>
        <v>46.6</v>
      </c>
      <c r="M29" s="24">
        <f>IFERROR(100/'Skjema total MA'!I29*K29,0)</f>
        <v>9.1818237834520977E-2</v>
      </c>
      <c r="N29" s="148"/>
    </row>
    <row r="30" spans="1:14" s="3" customFormat="1" ht="15.75" x14ac:dyDescent="0.2">
      <c r="A30" s="555" t="s">
        <v>362</v>
      </c>
      <c r="B30" s="277"/>
      <c r="C30" s="277"/>
      <c r="D30" s="165"/>
      <c r="E30" s="11"/>
      <c r="F30" s="286"/>
      <c r="G30" s="286"/>
      <c r="H30" s="165"/>
      <c r="I30" s="403"/>
      <c r="J30" s="286"/>
      <c r="K30" s="286"/>
      <c r="L30" s="165"/>
      <c r="M30" s="23"/>
      <c r="N30" s="148"/>
    </row>
    <row r="31" spans="1:14" s="3" customFormat="1" ht="15.75" x14ac:dyDescent="0.2">
      <c r="A31" s="555" t="s">
        <v>363</v>
      </c>
      <c r="B31" s="277"/>
      <c r="C31" s="277"/>
      <c r="D31" s="165"/>
      <c r="E31" s="11"/>
      <c r="F31" s="286"/>
      <c r="G31" s="286"/>
      <c r="H31" s="165"/>
      <c r="I31" s="403"/>
      <c r="J31" s="286"/>
      <c r="K31" s="286"/>
      <c r="L31" s="165"/>
      <c r="M31" s="23"/>
      <c r="N31" s="148"/>
    </row>
    <row r="32" spans="1:14" ht="15.75" x14ac:dyDescent="0.2">
      <c r="A32" s="555" t="s">
        <v>364</v>
      </c>
      <c r="B32" s="277"/>
      <c r="C32" s="277"/>
      <c r="D32" s="165"/>
      <c r="E32" s="11"/>
      <c r="F32" s="286"/>
      <c r="G32" s="286"/>
      <c r="H32" s="165"/>
      <c r="I32" s="403"/>
      <c r="J32" s="286"/>
      <c r="K32" s="286"/>
      <c r="L32" s="165"/>
      <c r="M32" s="23"/>
    </row>
    <row r="33" spans="1:14" ht="15.75" x14ac:dyDescent="0.2">
      <c r="A33" s="555" t="s">
        <v>365</v>
      </c>
      <c r="B33" s="277"/>
      <c r="C33" s="277"/>
      <c r="D33" s="165"/>
      <c r="E33" s="11"/>
      <c r="F33" s="286"/>
      <c r="G33" s="286"/>
      <c r="H33" s="165"/>
      <c r="I33" s="403"/>
      <c r="J33" s="286"/>
      <c r="K33" s="286"/>
      <c r="L33" s="165"/>
      <c r="M33" s="23"/>
    </row>
    <row r="34" spans="1:14" ht="15.75" x14ac:dyDescent="0.2">
      <c r="A34" s="13" t="s">
        <v>360</v>
      </c>
      <c r="B34" s="232"/>
      <c r="C34" s="302"/>
      <c r="D34" s="170"/>
      <c r="E34" s="11"/>
      <c r="F34" s="301"/>
      <c r="G34" s="302"/>
      <c r="H34" s="170"/>
      <c r="I34" s="11"/>
      <c r="J34" s="232"/>
      <c r="K34" s="232"/>
      <c r="L34" s="414"/>
      <c r="M34" s="24"/>
    </row>
    <row r="35" spans="1:14" ht="15.75" x14ac:dyDescent="0.2">
      <c r="A35" s="13" t="s">
        <v>361</v>
      </c>
      <c r="B35" s="232"/>
      <c r="C35" s="302"/>
      <c r="D35" s="170"/>
      <c r="E35" s="11"/>
      <c r="F35" s="301"/>
      <c r="G35" s="302"/>
      <c r="H35" s="170"/>
      <c r="I35" s="11"/>
      <c r="J35" s="232"/>
      <c r="K35" s="232"/>
      <c r="L35" s="414"/>
      <c r="M35" s="24"/>
    </row>
    <row r="36" spans="1:14" ht="15.75" x14ac:dyDescent="0.2">
      <c r="A36" s="12" t="s">
        <v>278</v>
      </c>
      <c r="B36" s="232"/>
      <c r="C36" s="302"/>
      <c r="D36" s="170"/>
      <c r="E36" s="11"/>
      <c r="F36" s="312"/>
      <c r="G36" s="313"/>
      <c r="H36" s="170"/>
      <c r="I36" s="420"/>
      <c r="J36" s="232"/>
      <c r="K36" s="232"/>
      <c r="L36" s="414"/>
      <c r="M36" s="24"/>
    </row>
    <row r="37" spans="1:14" ht="15.75" x14ac:dyDescent="0.2">
      <c r="A37" s="12" t="s">
        <v>367</v>
      </c>
      <c r="B37" s="232"/>
      <c r="C37" s="302"/>
      <c r="D37" s="170"/>
      <c r="E37" s="11"/>
      <c r="F37" s="312"/>
      <c r="G37" s="314"/>
      <c r="H37" s="170"/>
      <c r="I37" s="420"/>
      <c r="J37" s="232"/>
      <c r="K37" s="232"/>
      <c r="L37" s="414"/>
      <c r="M37" s="24"/>
    </row>
    <row r="38" spans="1:14" ht="15.75" x14ac:dyDescent="0.2">
      <c r="A38" s="12" t="s">
        <v>368</v>
      </c>
      <c r="B38" s="232"/>
      <c r="C38" s="302"/>
      <c r="D38" s="170"/>
      <c r="E38" s="24"/>
      <c r="F38" s="312"/>
      <c r="G38" s="313"/>
      <c r="H38" s="170"/>
      <c r="I38" s="420"/>
      <c r="J38" s="232"/>
      <c r="K38" s="232"/>
      <c r="L38" s="414"/>
      <c r="M38" s="24"/>
    </row>
    <row r="39" spans="1:14" ht="15.75" x14ac:dyDescent="0.2">
      <c r="A39" s="18" t="s">
        <v>369</v>
      </c>
      <c r="B39" s="272"/>
      <c r="C39" s="308"/>
      <c r="D39" s="168"/>
      <c r="E39" s="36"/>
      <c r="F39" s="315"/>
      <c r="G39" s="316"/>
      <c r="H39" s="168"/>
      <c r="I39" s="36"/>
      <c r="J39" s="232"/>
      <c r="K39" s="232"/>
      <c r="L39" s="415"/>
      <c r="M39" s="36"/>
    </row>
    <row r="40" spans="1:14" ht="15.75" x14ac:dyDescent="0.25">
      <c r="A40" s="47"/>
      <c r="B40" s="249"/>
      <c r="C40" s="249"/>
      <c r="D40" s="728"/>
      <c r="E40" s="728"/>
      <c r="F40" s="728"/>
      <c r="G40" s="728"/>
      <c r="H40" s="728"/>
      <c r="I40" s="728"/>
      <c r="J40" s="728"/>
      <c r="K40" s="728"/>
      <c r="L40" s="728"/>
      <c r="M40" s="295"/>
    </row>
    <row r="41" spans="1:14" x14ac:dyDescent="0.2">
      <c r="A41" s="154"/>
    </row>
    <row r="42" spans="1:14" ht="15.75" x14ac:dyDescent="0.25">
      <c r="A42" s="147" t="s">
        <v>267</v>
      </c>
      <c r="B42" s="729"/>
      <c r="C42" s="729"/>
      <c r="D42" s="729"/>
      <c r="E42" s="292"/>
      <c r="F42" s="730"/>
      <c r="G42" s="730"/>
      <c r="H42" s="730"/>
      <c r="I42" s="295"/>
      <c r="J42" s="730"/>
      <c r="K42" s="730"/>
      <c r="L42" s="730"/>
      <c r="M42" s="295"/>
    </row>
    <row r="43" spans="1:14" ht="15.75" x14ac:dyDescent="0.25">
      <c r="A43" s="162"/>
      <c r="B43" s="296"/>
      <c r="C43" s="296"/>
      <c r="D43" s="296"/>
      <c r="E43" s="296"/>
      <c r="F43" s="295"/>
      <c r="G43" s="295"/>
      <c r="H43" s="295"/>
      <c r="I43" s="295"/>
      <c r="J43" s="295"/>
      <c r="K43" s="295"/>
      <c r="L43" s="295"/>
      <c r="M43" s="295"/>
    </row>
    <row r="44" spans="1:14" ht="15.75" x14ac:dyDescent="0.25">
      <c r="A44" s="243"/>
      <c r="B44" s="725" t="s">
        <v>0</v>
      </c>
      <c r="C44" s="726"/>
      <c r="D44" s="726"/>
      <c r="E44" s="239"/>
      <c r="F44" s="295"/>
      <c r="G44" s="295"/>
      <c r="H44" s="295"/>
      <c r="I44" s="295"/>
      <c r="J44" s="295"/>
      <c r="K44" s="295"/>
      <c r="L44" s="295"/>
      <c r="M44" s="295"/>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v>168278.46599999999</v>
      </c>
      <c r="C47" s="304">
        <v>167494.875</v>
      </c>
      <c r="D47" s="413">
        <f t="shared" ref="D47:D48" si="7">IF(B47=0, "    ---- ", IF(ABS(ROUND(100/B47*C47-100,1))&lt;999,ROUND(100/B47*C47-100,1),IF(ROUND(100/B47*C47-100,1)&gt;999,999,-999)))</f>
        <v>-0.5</v>
      </c>
      <c r="E47" s="11">
        <f>IFERROR(100/'Skjema total MA'!C47*C47,0)</f>
        <v>4.8472090452313141</v>
      </c>
      <c r="F47" s="145"/>
      <c r="G47" s="33"/>
      <c r="H47" s="158"/>
      <c r="I47" s="158"/>
      <c r="J47" s="37"/>
      <c r="K47" s="37"/>
      <c r="L47" s="158"/>
      <c r="M47" s="158"/>
      <c r="N47" s="148"/>
    </row>
    <row r="48" spans="1:14" s="3" customFormat="1" ht="15.75" x14ac:dyDescent="0.2">
      <c r="A48" s="38" t="s">
        <v>370</v>
      </c>
      <c r="B48" s="277">
        <v>168278.46599999999</v>
      </c>
      <c r="C48" s="278">
        <v>167494.875</v>
      </c>
      <c r="D48" s="250">
        <f t="shared" si="7"/>
        <v>-0.5</v>
      </c>
      <c r="E48" s="27">
        <f>IFERROR(100/'Skjema total MA'!C48*C48,0)</f>
        <v>8.863528712333073</v>
      </c>
      <c r="F48" s="145"/>
      <c r="G48" s="33"/>
      <c r="H48" s="145"/>
      <c r="I48" s="145"/>
      <c r="J48" s="33"/>
      <c r="K48" s="33"/>
      <c r="L48" s="158"/>
      <c r="M48" s="158"/>
      <c r="N48" s="148"/>
    </row>
    <row r="49" spans="1:14" s="3" customFormat="1" ht="15.75" x14ac:dyDescent="0.2">
      <c r="A49" s="38" t="s">
        <v>371</v>
      </c>
      <c r="B49" s="44"/>
      <c r="C49" s="283"/>
      <c r="D49" s="250"/>
      <c r="E49" s="27"/>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c r="C53" s="304"/>
      <c r="D53" s="414"/>
      <c r="E53" s="11"/>
      <c r="F53" s="145"/>
      <c r="G53" s="33"/>
      <c r="H53" s="145"/>
      <c r="I53" s="145"/>
      <c r="J53" s="33"/>
      <c r="K53" s="33"/>
      <c r="L53" s="158"/>
      <c r="M53" s="158"/>
      <c r="N53" s="148"/>
    </row>
    <row r="54" spans="1:14" s="3" customFormat="1" ht="15.75" x14ac:dyDescent="0.2">
      <c r="A54" s="38" t="s">
        <v>370</v>
      </c>
      <c r="B54" s="277"/>
      <c r="C54" s="278"/>
      <c r="D54" s="250"/>
      <c r="E54" s="27"/>
      <c r="F54" s="145"/>
      <c r="G54" s="33"/>
      <c r="H54" s="145"/>
      <c r="I54" s="145"/>
      <c r="J54" s="33"/>
      <c r="K54" s="33"/>
      <c r="L54" s="158"/>
      <c r="M54" s="158"/>
      <c r="N54" s="148"/>
    </row>
    <row r="55" spans="1:14" s="3" customFormat="1" ht="15.75" x14ac:dyDescent="0.2">
      <c r="A55" s="38" t="s">
        <v>371</v>
      </c>
      <c r="B55" s="277"/>
      <c r="C55" s="278"/>
      <c r="D55" s="250"/>
      <c r="E55" s="27"/>
      <c r="F55" s="145"/>
      <c r="G55" s="33"/>
      <c r="H55" s="145"/>
      <c r="I55" s="145"/>
      <c r="J55" s="33"/>
      <c r="K55" s="33"/>
      <c r="L55" s="158"/>
      <c r="M55" s="158"/>
      <c r="N55" s="148"/>
    </row>
    <row r="56" spans="1:14" s="3" customFormat="1" ht="15.75" x14ac:dyDescent="0.2">
      <c r="A56" s="39" t="s">
        <v>373</v>
      </c>
      <c r="B56" s="303"/>
      <c r="C56" s="304"/>
      <c r="D56" s="414"/>
      <c r="E56" s="11"/>
      <c r="F56" s="145"/>
      <c r="G56" s="33"/>
      <c r="H56" s="145"/>
      <c r="I56" s="145"/>
      <c r="J56" s="33"/>
      <c r="K56" s="33"/>
      <c r="L56" s="158"/>
      <c r="M56" s="158"/>
      <c r="N56" s="148"/>
    </row>
    <row r="57" spans="1:14" s="3" customFormat="1" ht="15.75" x14ac:dyDescent="0.2">
      <c r="A57" s="38" t="s">
        <v>370</v>
      </c>
      <c r="B57" s="277"/>
      <c r="C57" s="278"/>
      <c r="D57" s="250"/>
      <c r="E57" s="27"/>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292"/>
      <c r="F62" s="724"/>
      <c r="G62" s="724"/>
      <c r="H62" s="724"/>
      <c r="I62" s="292"/>
      <c r="J62" s="724"/>
      <c r="K62" s="724"/>
      <c r="L62" s="724"/>
      <c r="M62" s="292"/>
    </row>
    <row r="63" spans="1:14" x14ac:dyDescent="0.2">
      <c r="A63" s="144"/>
      <c r="B63" s="725" t="s">
        <v>0</v>
      </c>
      <c r="C63" s="726"/>
      <c r="D63" s="727"/>
      <c r="E63" s="293"/>
      <c r="F63" s="726" t="s">
        <v>1</v>
      </c>
      <c r="G63" s="726"/>
      <c r="H63" s="726"/>
      <c r="I63" s="297"/>
      <c r="J63" s="725" t="s">
        <v>2</v>
      </c>
      <c r="K63" s="726"/>
      <c r="L63" s="726"/>
      <c r="M63" s="297"/>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c r="C66" s="343"/>
      <c r="D66" s="340"/>
      <c r="E66" s="11"/>
      <c r="F66" s="342"/>
      <c r="G66" s="342"/>
      <c r="H66" s="340"/>
      <c r="I66" s="11"/>
      <c r="J66" s="302"/>
      <c r="K66" s="309"/>
      <c r="L66" s="414"/>
      <c r="M66" s="11"/>
    </row>
    <row r="67" spans="1:14" x14ac:dyDescent="0.2">
      <c r="A67" s="405" t="s">
        <v>9</v>
      </c>
      <c r="B67" s="44"/>
      <c r="C67" s="145"/>
      <c r="D67" s="165"/>
      <c r="E67" s="27"/>
      <c r="F67" s="230"/>
      <c r="G67" s="145"/>
      <c r="H67" s="165"/>
      <c r="I67" s="27"/>
      <c r="J67" s="283"/>
      <c r="K67" s="44"/>
      <c r="L67" s="250"/>
      <c r="M67" s="27"/>
    </row>
    <row r="68" spans="1:14" x14ac:dyDescent="0.2">
      <c r="A68" s="21" t="s">
        <v>10</v>
      </c>
      <c r="B68" s="287"/>
      <c r="C68" s="288"/>
      <c r="D68" s="165"/>
      <c r="E68" s="27"/>
      <c r="F68" s="287"/>
      <c r="G68" s="288"/>
      <c r="H68" s="165"/>
      <c r="I68" s="27"/>
      <c r="J68" s="283"/>
      <c r="K68" s="44"/>
      <c r="L68" s="250"/>
      <c r="M68" s="27"/>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c r="C75" s="145"/>
      <c r="D75" s="165"/>
      <c r="E75" s="27"/>
      <c r="F75" s="230"/>
      <c r="G75" s="145"/>
      <c r="H75" s="165"/>
      <c r="I75" s="27"/>
      <c r="J75" s="283"/>
      <c r="K75" s="44"/>
      <c r="L75" s="250"/>
      <c r="M75" s="27"/>
      <c r="N75" s="148"/>
    </row>
    <row r="76" spans="1:14" s="3" customFormat="1" x14ac:dyDescent="0.2">
      <c r="A76" s="21" t="s">
        <v>343</v>
      </c>
      <c r="B76" s="230"/>
      <c r="C76" s="145"/>
      <c r="D76" s="165"/>
      <c r="E76" s="27"/>
      <c r="F76" s="230"/>
      <c r="G76" s="145"/>
      <c r="H76" s="165"/>
      <c r="I76" s="27"/>
      <c r="J76" s="283"/>
      <c r="K76" s="44"/>
      <c r="L76" s="250"/>
      <c r="M76" s="27"/>
      <c r="N76" s="148"/>
    </row>
    <row r="77" spans="1:14" ht="15.75" x14ac:dyDescent="0.2">
      <c r="A77" s="21" t="s">
        <v>376</v>
      </c>
      <c r="B77" s="230"/>
      <c r="C77" s="230"/>
      <c r="D77" s="165"/>
      <c r="E77" s="27"/>
      <c r="F77" s="230"/>
      <c r="G77" s="145"/>
      <c r="H77" s="165"/>
      <c r="I77" s="27"/>
      <c r="J77" s="283"/>
      <c r="K77" s="44"/>
      <c r="L77" s="250"/>
      <c r="M77" s="27"/>
    </row>
    <row r="78" spans="1:14" x14ac:dyDescent="0.2">
      <c r="A78" s="21" t="s">
        <v>9</v>
      </c>
      <c r="B78" s="230"/>
      <c r="C78" s="145"/>
      <c r="D78" s="165"/>
      <c r="E78" s="27"/>
      <c r="F78" s="230"/>
      <c r="G78" s="145"/>
      <c r="H78" s="165"/>
      <c r="I78" s="27"/>
      <c r="J78" s="283"/>
      <c r="K78" s="44"/>
      <c r="L78" s="250"/>
      <c r="M78" s="27"/>
    </row>
    <row r="79" spans="1:14" x14ac:dyDescent="0.2">
      <c r="A79" s="38" t="s">
        <v>413</v>
      </c>
      <c r="B79" s="287"/>
      <c r="C79" s="288"/>
      <c r="D79" s="165"/>
      <c r="E79" s="27"/>
      <c r="F79" s="287"/>
      <c r="G79" s="288"/>
      <c r="H79" s="165"/>
      <c r="I79" s="27"/>
      <c r="J79" s="283"/>
      <c r="K79" s="44"/>
      <c r="L79" s="250"/>
      <c r="M79" s="27"/>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c r="C86" s="145"/>
      <c r="D86" s="165"/>
      <c r="E86" s="27"/>
      <c r="F86" s="230"/>
      <c r="G86" s="145"/>
      <c r="H86" s="165"/>
      <c r="I86" s="27"/>
      <c r="J86" s="283"/>
      <c r="K86" s="44"/>
      <c r="L86" s="250"/>
      <c r="M86" s="27"/>
    </row>
    <row r="87" spans="1:13" ht="15.75" x14ac:dyDescent="0.2">
      <c r="A87" s="13" t="s">
        <v>359</v>
      </c>
      <c r="B87" s="343"/>
      <c r="C87" s="343"/>
      <c r="D87" s="170"/>
      <c r="E87" s="11"/>
      <c r="F87" s="342"/>
      <c r="G87" s="342"/>
      <c r="H87" s="170"/>
      <c r="I87" s="11"/>
      <c r="J87" s="302"/>
      <c r="K87" s="232"/>
      <c r="L87" s="414"/>
      <c r="M87" s="11"/>
    </row>
    <row r="88" spans="1:13" x14ac:dyDescent="0.2">
      <c r="A88" s="21" t="s">
        <v>9</v>
      </c>
      <c r="B88" s="230"/>
      <c r="C88" s="145"/>
      <c r="D88" s="165"/>
      <c r="E88" s="27"/>
      <c r="F88" s="230"/>
      <c r="G88" s="145"/>
      <c r="H88" s="165"/>
      <c r="I88" s="27"/>
      <c r="J88" s="283"/>
      <c r="K88" s="44"/>
      <c r="L88" s="250"/>
      <c r="M88" s="27"/>
    </row>
    <row r="89" spans="1:13" x14ac:dyDescent="0.2">
      <c r="A89" s="21" t="s">
        <v>10</v>
      </c>
      <c r="B89" s="230"/>
      <c r="C89" s="145"/>
      <c r="D89" s="165"/>
      <c r="E89" s="27"/>
      <c r="F89" s="230"/>
      <c r="G89" s="145"/>
      <c r="H89" s="165"/>
      <c r="I89" s="27"/>
      <c r="J89" s="283"/>
      <c r="K89" s="44"/>
      <c r="L89" s="250"/>
      <c r="M89" s="27"/>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c r="C97" s="145"/>
      <c r="D97" s="165"/>
      <c r="E97" s="27"/>
      <c r="F97" s="230"/>
      <c r="G97" s="145"/>
      <c r="H97" s="165"/>
      <c r="I97" s="27"/>
      <c r="J97" s="283"/>
      <c r="K97" s="44"/>
      <c r="L97" s="250"/>
      <c r="M97" s="27"/>
    </row>
    <row r="98" spans="1:13" ht="15.75" x14ac:dyDescent="0.2">
      <c r="A98" s="21" t="s">
        <v>376</v>
      </c>
      <c r="B98" s="230"/>
      <c r="C98" s="230"/>
      <c r="D98" s="165"/>
      <c r="E98" s="27"/>
      <c r="F98" s="287"/>
      <c r="G98" s="287"/>
      <c r="H98" s="165"/>
      <c r="I98" s="27"/>
      <c r="J98" s="283"/>
      <c r="K98" s="44"/>
      <c r="L98" s="250"/>
      <c r="M98" s="27"/>
    </row>
    <row r="99" spans="1:13" x14ac:dyDescent="0.2">
      <c r="A99" s="21" t="s">
        <v>9</v>
      </c>
      <c r="B99" s="287"/>
      <c r="C99" s="288"/>
      <c r="D99" s="165"/>
      <c r="E99" s="27"/>
      <c r="F99" s="230"/>
      <c r="G99" s="145"/>
      <c r="H99" s="165"/>
      <c r="I99" s="27"/>
      <c r="J99" s="283"/>
      <c r="K99" s="44"/>
      <c r="L99" s="250"/>
      <c r="M99" s="27"/>
    </row>
    <row r="100" spans="1:13" x14ac:dyDescent="0.2">
      <c r="A100" s="38" t="s">
        <v>413</v>
      </c>
      <c r="B100" s="287"/>
      <c r="C100" s="288"/>
      <c r="D100" s="165"/>
      <c r="E100" s="27"/>
      <c r="F100" s="230"/>
      <c r="G100" s="230"/>
      <c r="H100" s="165"/>
      <c r="I100" s="27"/>
      <c r="J100" s="283"/>
      <c r="K100" s="44"/>
      <c r="L100" s="250"/>
      <c r="M100" s="27"/>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c r="C107" s="145"/>
      <c r="D107" s="165"/>
      <c r="E107" s="27"/>
      <c r="F107" s="230"/>
      <c r="G107" s="145"/>
      <c r="H107" s="165"/>
      <c r="I107" s="27"/>
      <c r="J107" s="283"/>
      <c r="K107" s="44"/>
      <c r="L107" s="250"/>
      <c r="M107" s="27"/>
    </row>
    <row r="108" spans="1:13" ht="15.75" x14ac:dyDescent="0.2">
      <c r="A108" s="21" t="s">
        <v>378</v>
      </c>
      <c r="B108" s="230"/>
      <c r="C108" s="230"/>
      <c r="D108" s="165"/>
      <c r="E108" s="27"/>
      <c r="F108" s="230"/>
      <c r="G108" s="230"/>
      <c r="H108" s="165"/>
      <c r="I108" s="27"/>
      <c r="J108" s="283"/>
      <c r="K108" s="44"/>
      <c r="L108" s="250"/>
      <c r="M108" s="27"/>
    </row>
    <row r="109" spans="1:13" ht="15.6" customHeight="1" x14ac:dyDescent="0.2">
      <c r="A109" s="21" t="s">
        <v>430</v>
      </c>
      <c r="B109" s="230"/>
      <c r="C109" s="230"/>
      <c r="D109" s="165"/>
      <c r="E109" s="27"/>
      <c r="F109" s="230"/>
      <c r="G109" s="230"/>
      <c r="H109" s="165"/>
      <c r="I109" s="27"/>
      <c r="J109" s="283"/>
      <c r="K109" s="44"/>
      <c r="L109" s="250"/>
      <c r="M109" s="27"/>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c r="C111" s="158"/>
      <c r="D111" s="170"/>
      <c r="E111" s="11"/>
      <c r="F111" s="301"/>
      <c r="G111" s="158"/>
      <c r="H111" s="170"/>
      <c r="I111" s="11"/>
      <c r="J111" s="302"/>
      <c r="K111" s="232"/>
      <c r="L111" s="414"/>
      <c r="M111" s="11"/>
    </row>
    <row r="112" spans="1:13" x14ac:dyDescent="0.2">
      <c r="A112" s="21" t="s">
        <v>9</v>
      </c>
      <c r="B112" s="230"/>
      <c r="C112" s="145"/>
      <c r="D112" s="165"/>
      <c r="E112" s="27"/>
      <c r="F112" s="230"/>
      <c r="G112" s="145"/>
      <c r="H112" s="165"/>
      <c r="I112" s="27"/>
      <c r="J112" s="283"/>
      <c r="K112" s="44"/>
      <c r="L112" s="250"/>
      <c r="M112" s="27"/>
    </row>
    <row r="113" spans="1:14" x14ac:dyDescent="0.2">
      <c r="A113" s="21" t="s">
        <v>10</v>
      </c>
      <c r="B113" s="230"/>
      <c r="C113" s="145"/>
      <c r="D113" s="165"/>
      <c r="E113" s="27"/>
      <c r="F113" s="230"/>
      <c r="G113" s="145"/>
      <c r="H113" s="165"/>
      <c r="I113" s="27"/>
      <c r="J113" s="283"/>
      <c r="K113" s="44"/>
      <c r="L113" s="250"/>
      <c r="M113" s="27"/>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c r="C116" s="230"/>
      <c r="D116" s="165"/>
      <c r="E116" s="27"/>
      <c r="F116" s="230"/>
      <c r="G116" s="230"/>
      <c r="H116" s="165"/>
      <c r="I116" s="27"/>
      <c r="J116" s="283"/>
      <c r="K116" s="44"/>
      <c r="L116" s="250"/>
      <c r="M116" s="27"/>
    </row>
    <row r="117" spans="1:14" ht="15.6" customHeight="1" x14ac:dyDescent="0.2">
      <c r="A117" s="21" t="s">
        <v>430</v>
      </c>
      <c r="B117" s="230"/>
      <c r="C117" s="230"/>
      <c r="D117" s="165"/>
      <c r="E117" s="27"/>
      <c r="F117" s="230"/>
      <c r="G117" s="230"/>
      <c r="H117" s="165"/>
      <c r="I117" s="27"/>
      <c r="J117" s="283"/>
      <c r="K117" s="44"/>
      <c r="L117" s="250"/>
      <c r="M117" s="27"/>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c r="C119" s="158"/>
      <c r="D119" s="170"/>
      <c r="E119" s="11"/>
      <c r="F119" s="301"/>
      <c r="G119" s="158"/>
      <c r="H119" s="170"/>
      <c r="I119" s="11"/>
      <c r="J119" s="302"/>
      <c r="K119" s="232"/>
      <c r="L119" s="414"/>
      <c r="M119" s="11"/>
    </row>
    <row r="120" spans="1:14" x14ac:dyDescent="0.2">
      <c r="A120" s="21" t="s">
        <v>9</v>
      </c>
      <c r="B120" s="230"/>
      <c r="C120" s="145"/>
      <c r="D120" s="165"/>
      <c r="E120" s="27"/>
      <c r="F120" s="230"/>
      <c r="G120" s="145"/>
      <c r="H120" s="165"/>
      <c r="I120" s="27"/>
      <c r="J120" s="283"/>
      <c r="K120" s="44"/>
      <c r="L120" s="250"/>
      <c r="M120" s="27"/>
    </row>
    <row r="121" spans="1:14" x14ac:dyDescent="0.2">
      <c r="A121" s="21" t="s">
        <v>10</v>
      </c>
      <c r="B121" s="230"/>
      <c r="C121" s="145"/>
      <c r="D121" s="165"/>
      <c r="E121" s="27"/>
      <c r="F121" s="230"/>
      <c r="G121" s="145"/>
      <c r="H121" s="165"/>
      <c r="I121" s="27"/>
      <c r="J121" s="283"/>
      <c r="K121" s="44"/>
      <c r="L121" s="250"/>
      <c r="M121" s="27"/>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c r="C125" s="230"/>
      <c r="D125" s="165"/>
      <c r="E125" s="27"/>
      <c r="F125" s="230"/>
      <c r="G125" s="230"/>
      <c r="H125" s="165"/>
      <c r="I125" s="27"/>
      <c r="J125" s="283"/>
      <c r="K125" s="44"/>
      <c r="L125" s="250"/>
      <c r="M125" s="27"/>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292"/>
      <c r="F130" s="724"/>
      <c r="G130" s="724"/>
      <c r="H130" s="724"/>
      <c r="I130" s="292"/>
      <c r="J130" s="724"/>
      <c r="K130" s="724"/>
      <c r="L130" s="724"/>
      <c r="M130" s="292"/>
    </row>
    <row r="131" spans="1:14" s="3" customFormat="1" x14ac:dyDescent="0.2">
      <c r="A131" s="144"/>
      <c r="B131" s="725" t="s">
        <v>0</v>
      </c>
      <c r="C131" s="726"/>
      <c r="D131" s="726"/>
      <c r="E131" s="294"/>
      <c r="F131" s="725" t="s">
        <v>1</v>
      </c>
      <c r="G131" s="726"/>
      <c r="H131" s="726"/>
      <c r="I131" s="297"/>
      <c r="J131" s="725" t="s">
        <v>2</v>
      </c>
      <c r="K131" s="726"/>
      <c r="L131" s="726"/>
      <c r="M131" s="297"/>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c r="C134" s="302"/>
      <c r="D134" s="340"/>
      <c r="E134" s="11"/>
      <c r="F134" s="309"/>
      <c r="G134" s="310"/>
      <c r="H134" s="417"/>
      <c r="I134" s="24"/>
      <c r="J134" s="311"/>
      <c r="K134" s="311"/>
      <c r="L134" s="413"/>
      <c r="M134" s="11"/>
      <c r="N134" s="148"/>
    </row>
    <row r="135" spans="1:14" s="3" customFormat="1" ht="15.75" x14ac:dyDescent="0.2">
      <c r="A135" s="13" t="s">
        <v>386</v>
      </c>
      <c r="B135" s="232"/>
      <c r="C135" s="302"/>
      <c r="D135" s="170"/>
      <c r="E135" s="11"/>
      <c r="F135" s="232"/>
      <c r="G135" s="302"/>
      <c r="H135" s="418"/>
      <c r="I135" s="24"/>
      <c r="J135" s="301"/>
      <c r="K135" s="301"/>
      <c r="L135" s="414"/>
      <c r="M135" s="11"/>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21" priority="12">
      <formula>kvartal &lt; 4</formula>
    </cfRule>
  </conditionalFormatting>
  <conditionalFormatting sqref="A69:A74">
    <cfRule type="expression" dxfId="320" priority="10">
      <formula>kvartal &lt; 4</formula>
    </cfRule>
  </conditionalFormatting>
  <conditionalFormatting sqref="A80:A85">
    <cfRule type="expression" dxfId="319" priority="9">
      <formula>kvartal &lt; 4</formula>
    </cfRule>
  </conditionalFormatting>
  <conditionalFormatting sqref="A90:A95">
    <cfRule type="expression" dxfId="318" priority="6">
      <formula>kvartal &lt; 4</formula>
    </cfRule>
  </conditionalFormatting>
  <conditionalFormatting sqref="A101:A106">
    <cfRule type="expression" dxfId="317" priority="5">
      <formula>kvartal &lt; 4</formula>
    </cfRule>
  </conditionalFormatting>
  <conditionalFormatting sqref="A115">
    <cfRule type="expression" dxfId="316" priority="4">
      <formula>kvartal &lt; 4</formula>
    </cfRule>
  </conditionalFormatting>
  <conditionalFormatting sqref="A123">
    <cfRule type="expression" dxfId="315" priority="3">
      <formula>kvartal &lt; 4</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N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554" t="s">
        <v>406</v>
      </c>
      <c r="D1" s="26"/>
      <c r="E1" s="26"/>
      <c r="F1" s="26"/>
      <c r="G1" s="26"/>
      <c r="H1" s="26"/>
      <c r="I1" s="26"/>
      <c r="J1" s="26"/>
      <c r="K1" s="26"/>
      <c r="L1" s="26"/>
      <c r="M1" s="26"/>
    </row>
    <row r="2" spans="1:14" ht="15.75" x14ac:dyDescent="0.25">
      <c r="A2" s="164" t="s">
        <v>28</v>
      </c>
      <c r="B2" s="729"/>
      <c r="C2" s="729"/>
      <c r="D2" s="729"/>
      <c r="E2" s="292"/>
      <c r="F2" s="729"/>
      <c r="G2" s="729"/>
      <c r="H2" s="729"/>
      <c r="I2" s="292"/>
      <c r="J2" s="729"/>
      <c r="K2" s="729"/>
      <c r="L2" s="729"/>
      <c r="M2" s="292"/>
    </row>
    <row r="3" spans="1:14" ht="15.75" x14ac:dyDescent="0.25">
      <c r="A3" s="162"/>
      <c r="B3" s="292"/>
      <c r="C3" s="292"/>
      <c r="D3" s="292"/>
      <c r="E3" s="292"/>
      <c r="F3" s="292"/>
      <c r="G3" s="292"/>
      <c r="H3" s="292"/>
      <c r="I3" s="292"/>
      <c r="J3" s="292"/>
      <c r="K3" s="292"/>
      <c r="L3" s="292"/>
      <c r="M3" s="292"/>
    </row>
    <row r="4" spans="1:14" x14ac:dyDescent="0.2">
      <c r="A4" s="144"/>
      <c r="B4" s="725" t="s">
        <v>0</v>
      </c>
      <c r="C4" s="726"/>
      <c r="D4" s="726"/>
      <c r="E4" s="294"/>
      <c r="F4" s="725" t="s">
        <v>1</v>
      </c>
      <c r="G4" s="726"/>
      <c r="H4" s="726"/>
      <c r="I4" s="297"/>
      <c r="J4" s="725" t="s">
        <v>2</v>
      </c>
      <c r="K4" s="726"/>
      <c r="L4" s="726"/>
      <c r="M4" s="297"/>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c r="C7" s="300"/>
      <c r="D7" s="340"/>
      <c r="E7" s="11"/>
      <c r="F7" s="299"/>
      <c r="G7" s="300"/>
      <c r="H7" s="340"/>
      <c r="I7" s="159"/>
      <c r="J7" s="301"/>
      <c r="K7" s="302"/>
      <c r="L7" s="413"/>
      <c r="M7" s="11"/>
    </row>
    <row r="8" spans="1:14" ht="15.75" x14ac:dyDescent="0.2">
      <c r="A8" s="21" t="s">
        <v>25</v>
      </c>
      <c r="B8" s="277"/>
      <c r="C8" s="278"/>
      <c r="D8" s="165"/>
      <c r="E8" s="27"/>
      <c r="F8" s="281"/>
      <c r="G8" s="282"/>
      <c r="H8" s="165"/>
      <c r="I8" s="174"/>
      <c r="J8" s="230"/>
      <c r="K8" s="283"/>
      <c r="L8" s="165"/>
      <c r="M8" s="27"/>
    </row>
    <row r="9" spans="1:14" ht="15.75" x14ac:dyDescent="0.2">
      <c r="A9" s="21" t="s">
        <v>24</v>
      </c>
      <c r="B9" s="277"/>
      <c r="C9" s="278"/>
      <c r="D9" s="165"/>
      <c r="E9" s="27"/>
      <c r="F9" s="281"/>
      <c r="G9" s="282"/>
      <c r="H9" s="165"/>
      <c r="I9" s="174"/>
      <c r="J9" s="230"/>
      <c r="K9" s="283"/>
      <c r="L9" s="165"/>
      <c r="M9" s="27"/>
    </row>
    <row r="10" spans="1:14" ht="15.75" x14ac:dyDescent="0.2">
      <c r="A10" s="13" t="s">
        <v>359</v>
      </c>
      <c r="B10" s="303"/>
      <c r="C10" s="304"/>
      <c r="D10" s="170"/>
      <c r="E10" s="11"/>
      <c r="F10" s="303"/>
      <c r="G10" s="304"/>
      <c r="H10" s="170"/>
      <c r="I10" s="159"/>
      <c r="J10" s="301"/>
      <c r="K10" s="302"/>
      <c r="L10" s="414"/>
      <c r="M10" s="11"/>
    </row>
    <row r="11" spans="1:14" s="43" customFormat="1" ht="15.75" x14ac:dyDescent="0.2">
      <c r="A11" s="13" t="s">
        <v>360</v>
      </c>
      <c r="B11" s="303"/>
      <c r="C11" s="304"/>
      <c r="D11" s="170"/>
      <c r="E11" s="11"/>
      <c r="F11" s="303"/>
      <c r="G11" s="304"/>
      <c r="H11" s="170"/>
      <c r="I11" s="159"/>
      <c r="J11" s="301"/>
      <c r="K11" s="302"/>
      <c r="L11" s="414"/>
      <c r="M11" s="11"/>
      <c r="N11" s="143"/>
    </row>
    <row r="12" spans="1:14" s="43" customFormat="1" ht="15.75" x14ac:dyDescent="0.2">
      <c r="A12" s="41" t="s">
        <v>361</v>
      </c>
      <c r="B12" s="305"/>
      <c r="C12" s="306"/>
      <c r="D12" s="168"/>
      <c r="E12" s="36"/>
      <c r="F12" s="305"/>
      <c r="G12" s="306"/>
      <c r="H12" s="168"/>
      <c r="I12" s="168"/>
      <c r="J12" s="307"/>
      <c r="K12" s="308"/>
      <c r="L12" s="415"/>
      <c r="M12" s="36"/>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292"/>
      <c r="F18" s="724"/>
      <c r="G18" s="724"/>
      <c r="H18" s="724"/>
      <c r="I18" s="292"/>
      <c r="J18" s="724"/>
      <c r="K18" s="724"/>
      <c r="L18" s="724"/>
      <c r="M18" s="292"/>
    </row>
    <row r="19" spans="1:14" x14ac:dyDescent="0.2">
      <c r="A19" s="144"/>
      <c r="B19" s="725" t="s">
        <v>0</v>
      </c>
      <c r="C19" s="726"/>
      <c r="D19" s="726"/>
      <c r="E19" s="294"/>
      <c r="F19" s="725" t="s">
        <v>1</v>
      </c>
      <c r="G19" s="726"/>
      <c r="H19" s="726"/>
      <c r="I19" s="297"/>
      <c r="J19" s="725" t="s">
        <v>2</v>
      </c>
      <c r="K19" s="726"/>
      <c r="L19" s="726"/>
      <c r="M19" s="297"/>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303"/>
      <c r="C22" s="303"/>
      <c r="D22" s="340"/>
      <c r="E22" s="11"/>
      <c r="F22" s="311"/>
      <c r="G22" s="311"/>
      <c r="H22" s="340"/>
      <c r="I22" s="11"/>
      <c r="J22" s="309"/>
      <c r="K22" s="309"/>
      <c r="L22" s="413"/>
      <c r="M22" s="24"/>
    </row>
    <row r="23" spans="1:14" ht="15.75" x14ac:dyDescent="0.2">
      <c r="A23" s="555" t="s">
        <v>362</v>
      </c>
      <c r="B23" s="277"/>
      <c r="C23" s="277"/>
      <c r="D23" s="165"/>
      <c r="E23" s="11"/>
      <c r="F23" s="286"/>
      <c r="G23" s="286"/>
      <c r="H23" s="165"/>
      <c r="I23" s="403"/>
      <c r="J23" s="286"/>
      <c r="K23" s="286"/>
      <c r="L23" s="165"/>
      <c r="M23" s="23"/>
    </row>
    <row r="24" spans="1:14" ht="15.75" x14ac:dyDescent="0.2">
      <c r="A24" s="555" t="s">
        <v>363</v>
      </c>
      <c r="B24" s="277"/>
      <c r="C24" s="277"/>
      <c r="D24" s="165"/>
      <c r="E24" s="11"/>
      <c r="F24" s="286"/>
      <c r="G24" s="286"/>
      <c r="H24" s="165"/>
      <c r="I24" s="403"/>
      <c r="J24" s="286"/>
      <c r="K24" s="286"/>
      <c r="L24" s="165"/>
      <c r="M24" s="23"/>
    </row>
    <row r="25" spans="1:14" ht="15.75" x14ac:dyDescent="0.2">
      <c r="A25" s="555" t="s">
        <v>364</v>
      </c>
      <c r="B25" s="277"/>
      <c r="C25" s="277"/>
      <c r="D25" s="165"/>
      <c r="E25" s="11"/>
      <c r="F25" s="286"/>
      <c r="G25" s="286"/>
      <c r="H25" s="165"/>
      <c r="I25" s="403"/>
      <c r="J25" s="286"/>
      <c r="K25" s="286"/>
      <c r="L25" s="165"/>
      <c r="M25" s="23"/>
    </row>
    <row r="26" spans="1:14" ht="15.75" x14ac:dyDescent="0.2">
      <c r="A26" s="555" t="s">
        <v>365</v>
      </c>
      <c r="B26" s="277"/>
      <c r="C26" s="277"/>
      <c r="D26" s="165"/>
      <c r="E26" s="11"/>
      <c r="F26" s="286"/>
      <c r="G26" s="286"/>
      <c r="H26" s="165"/>
      <c r="I26" s="403"/>
      <c r="J26" s="286"/>
      <c r="K26" s="286"/>
      <c r="L26" s="165"/>
      <c r="M26" s="23"/>
    </row>
    <row r="27" spans="1:14" x14ac:dyDescent="0.2">
      <c r="A27" s="555" t="s">
        <v>11</v>
      </c>
      <c r="B27" s="277"/>
      <c r="C27" s="277"/>
      <c r="D27" s="165"/>
      <c r="E27" s="11"/>
      <c r="F27" s="286"/>
      <c r="G27" s="286"/>
      <c r="H27" s="165"/>
      <c r="I27" s="403"/>
      <c r="J27" s="286"/>
      <c r="K27" s="286"/>
      <c r="L27" s="165"/>
      <c r="M27" s="23"/>
    </row>
    <row r="28" spans="1:14" ht="15.75" x14ac:dyDescent="0.2">
      <c r="A28" s="49" t="s">
        <v>270</v>
      </c>
      <c r="B28" s="44"/>
      <c r="C28" s="283"/>
      <c r="D28" s="165"/>
      <c r="E28" s="11"/>
      <c r="F28" s="230"/>
      <c r="G28" s="283"/>
      <c r="H28" s="165"/>
      <c r="I28" s="27"/>
      <c r="J28" s="44"/>
      <c r="K28" s="44"/>
      <c r="L28" s="250"/>
      <c r="M28" s="23"/>
    </row>
    <row r="29" spans="1:14" s="3" customFormat="1" ht="15.75" x14ac:dyDescent="0.2">
      <c r="A29" s="13" t="s">
        <v>359</v>
      </c>
      <c r="B29" s="232"/>
      <c r="C29" s="232"/>
      <c r="D29" s="170"/>
      <c r="E29" s="11"/>
      <c r="F29" s="301"/>
      <c r="G29" s="301"/>
      <c r="H29" s="170"/>
      <c r="I29" s="11"/>
      <c r="J29" s="232"/>
      <c r="K29" s="232"/>
      <c r="L29" s="414"/>
      <c r="M29" s="24"/>
      <c r="N29" s="148"/>
    </row>
    <row r="30" spans="1:14" s="3" customFormat="1" ht="15.75" x14ac:dyDescent="0.2">
      <c r="A30" s="555" t="s">
        <v>362</v>
      </c>
      <c r="B30" s="277"/>
      <c r="C30" s="277"/>
      <c r="D30" s="165"/>
      <c r="E30" s="11"/>
      <c r="F30" s="286"/>
      <c r="G30" s="286"/>
      <c r="H30" s="165"/>
      <c r="I30" s="403"/>
      <c r="J30" s="286"/>
      <c r="K30" s="286"/>
      <c r="L30" s="165"/>
      <c r="M30" s="23"/>
      <c r="N30" s="148"/>
    </row>
    <row r="31" spans="1:14" s="3" customFormat="1" ht="15.75" x14ac:dyDescent="0.2">
      <c r="A31" s="555" t="s">
        <v>363</v>
      </c>
      <c r="B31" s="277"/>
      <c r="C31" s="277"/>
      <c r="D31" s="165"/>
      <c r="E31" s="11"/>
      <c r="F31" s="286"/>
      <c r="G31" s="286"/>
      <c r="H31" s="165"/>
      <c r="I31" s="403"/>
      <c r="J31" s="286"/>
      <c r="K31" s="286"/>
      <c r="L31" s="165"/>
      <c r="M31" s="23"/>
      <c r="N31" s="148"/>
    </row>
    <row r="32" spans="1:14" ht="15.75" x14ac:dyDescent="0.2">
      <c r="A32" s="555" t="s">
        <v>364</v>
      </c>
      <c r="B32" s="277"/>
      <c r="C32" s="277"/>
      <c r="D32" s="165"/>
      <c r="E32" s="11"/>
      <c r="F32" s="286"/>
      <c r="G32" s="286"/>
      <c r="H32" s="165"/>
      <c r="I32" s="403"/>
      <c r="J32" s="286"/>
      <c r="K32" s="286"/>
      <c r="L32" s="165"/>
      <c r="M32" s="23"/>
    </row>
    <row r="33" spans="1:14" ht="15.75" x14ac:dyDescent="0.2">
      <c r="A33" s="555" t="s">
        <v>365</v>
      </c>
      <c r="B33" s="277"/>
      <c r="C33" s="277"/>
      <c r="D33" s="165"/>
      <c r="E33" s="11"/>
      <c r="F33" s="286"/>
      <c r="G33" s="286"/>
      <c r="H33" s="165"/>
      <c r="I33" s="403"/>
      <c r="J33" s="286"/>
      <c r="K33" s="286"/>
      <c r="L33" s="165"/>
      <c r="M33" s="23"/>
    </row>
    <row r="34" spans="1:14" ht="15.75" x14ac:dyDescent="0.2">
      <c r="A34" s="13" t="s">
        <v>360</v>
      </c>
      <c r="B34" s="232"/>
      <c r="C34" s="302"/>
      <c r="D34" s="170"/>
      <c r="E34" s="11"/>
      <c r="F34" s="301"/>
      <c r="G34" s="302"/>
      <c r="H34" s="170"/>
      <c r="I34" s="11"/>
      <c r="J34" s="232"/>
      <c r="K34" s="232"/>
      <c r="L34" s="414"/>
      <c r="M34" s="24"/>
    </row>
    <row r="35" spans="1:14" ht="15.75" x14ac:dyDescent="0.2">
      <c r="A35" s="13" t="s">
        <v>361</v>
      </c>
      <c r="B35" s="232"/>
      <c r="C35" s="302"/>
      <c r="D35" s="170"/>
      <c r="E35" s="11"/>
      <c r="F35" s="301"/>
      <c r="G35" s="302"/>
      <c r="H35" s="170"/>
      <c r="I35" s="11"/>
      <c r="J35" s="232"/>
      <c r="K35" s="232"/>
      <c r="L35" s="414"/>
      <c r="M35" s="24"/>
    </row>
    <row r="36" spans="1:14" ht="15.75" x14ac:dyDescent="0.2">
      <c r="A36" s="12" t="s">
        <v>278</v>
      </c>
      <c r="B36" s="232"/>
      <c r="C36" s="302"/>
      <c r="D36" s="170"/>
      <c r="E36" s="11"/>
      <c r="F36" s="312"/>
      <c r="G36" s="313"/>
      <c r="H36" s="170"/>
      <c r="I36" s="420"/>
      <c r="J36" s="232"/>
      <c r="K36" s="232"/>
      <c r="L36" s="414"/>
      <c r="M36" s="24"/>
    </row>
    <row r="37" spans="1:14" ht="15.75" x14ac:dyDescent="0.2">
      <c r="A37" s="12" t="s">
        <v>367</v>
      </c>
      <c r="B37" s="232"/>
      <c r="C37" s="302"/>
      <c r="D37" s="170"/>
      <c r="E37" s="11"/>
      <c r="F37" s="312"/>
      <c r="G37" s="314"/>
      <c r="H37" s="170"/>
      <c r="I37" s="420"/>
      <c r="J37" s="232"/>
      <c r="K37" s="232"/>
      <c r="L37" s="414"/>
      <c r="M37" s="24"/>
    </row>
    <row r="38" spans="1:14" ht="15.75" x14ac:dyDescent="0.2">
      <c r="A38" s="12" t="s">
        <v>368</v>
      </c>
      <c r="B38" s="232"/>
      <c r="C38" s="302"/>
      <c r="D38" s="170"/>
      <c r="E38" s="24"/>
      <c r="F38" s="312"/>
      <c r="G38" s="313"/>
      <c r="H38" s="170"/>
      <c r="I38" s="420"/>
      <c r="J38" s="232"/>
      <c r="K38" s="232"/>
      <c r="L38" s="414"/>
      <c r="M38" s="24"/>
    </row>
    <row r="39" spans="1:14" ht="15.75" x14ac:dyDescent="0.2">
      <c r="A39" s="18" t="s">
        <v>369</v>
      </c>
      <c r="B39" s="272"/>
      <c r="C39" s="308"/>
      <c r="D39" s="168"/>
      <c r="E39" s="36"/>
      <c r="F39" s="315"/>
      <c r="G39" s="316"/>
      <c r="H39" s="168"/>
      <c r="I39" s="36"/>
      <c r="J39" s="232"/>
      <c r="K39" s="232"/>
      <c r="L39" s="415"/>
      <c r="M39" s="36"/>
    </row>
    <row r="40" spans="1:14" ht="15.75" x14ac:dyDescent="0.25">
      <c r="A40" s="47"/>
      <c r="B40" s="249"/>
      <c r="C40" s="249"/>
      <c r="D40" s="728"/>
      <c r="E40" s="728"/>
      <c r="F40" s="728"/>
      <c r="G40" s="728"/>
      <c r="H40" s="728"/>
      <c r="I40" s="728"/>
      <c r="J40" s="728"/>
      <c r="K40" s="728"/>
      <c r="L40" s="728"/>
      <c r="M40" s="295"/>
    </row>
    <row r="41" spans="1:14" x14ac:dyDescent="0.2">
      <c r="A41" s="154"/>
    </row>
    <row r="42" spans="1:14" ht="15.75" x14ac:dyDescent="0.25">
      <c r="A42" s="147" t="s">
        <v>267</v>
      </c>
      <c r="B42" s="729"/>
      <c r="C42" s="729"/>
      <c r="D42" s="729"/>
      <c r="E42" s="292"/>
      <c r="F42" s="730"/>
      <c r="G42" s="730"/>
      <c r="H42" s="730"/>
      <c r="I42" s="295"/>
      <c r="J42" s="730"/>
      <c r="K42" s="730"/>
      <c r="L42" s="730"/>
      <c r="M42" s="295"/>
    </row>
    <row r="43" spans="1:14" ht="15.75" x14ac:dyDescent="0.25">
      <c r="A43" s="162"/>
      <c r="B43" s="296"/>
      <c r="C43" s="296"/>
      <c r="D43" s="296"/>
      <c r="E43" s="296"/>
      <c r="F43" s="295"/>
      <c r="G43" s="295"/>
      <c r="H43" s="295"/>
      <c r="I43" s="295"/>
      <c r="J43" s="295"/>
      <c r="K43" s="295"/>
      <c r="L43" s="295"/>
      <c r="M43" s="295"/>
    </row>
    <row r="44" spans="1:14" ht="15.75" x14ac:dyDescent="0.25">
      <c r="A44" s="243"/>
      <c r="B44" s="725" t="s">
        <v>0</v>
      </c>
      <c r="C44" s="726"/>
      <c r="D44" s="726"/>
      <c r="E44" s="239"/>
      <c r="F44" s="295"/>
      <c r="G44" s="295"/>
      <c r="H44" s="295"/>
      <c r="I44" s="295"/>
      <c r="J44" s="295"/>
      <c r="K44" s="295"/>
      <c r="L44" s="295"/>
      <c r="M44" s="295"/>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v>32788</v>
      </c>
      <c r="C47" s="304">
        <v>18594</v>
      </c>
      <c r="D47" s="413">
        <f t="shared" ref="D47:D57" si="0">IF(B47=0, "    ---- ", IF(ABS(ROUND(100/B47*C47-100,1))&lt;999,ROUND(100/B47*C47-100,1),IF(ROUND(100/B47*C47-100,1)&gt;999,999,-999)))</f>
        <v>-43.3</v>
      </c>
      <c r="E47" s="11">
        <f>IFERROR(100/'Skjema total MA'!C47*C47,0)</f>
        <v>0.53810007611893229</v>
      </c>
      <c r="F47" s="145"/>
      <c r="G47" s="33"/>
      <c r="H47" s="158"/>
      <c r="I47" s="158"/>
      <c r="J47" s="37"/>
      <c r="K47" s="37"/>
      <c r="L47" s="158"/>
      <c r="M47" s="158"/>
      <c r="N47" s="148"/>
    </row>
    <row r="48" spans="1:14" s="3" customFormat="1" ht="15.75" x14ac:dyDescent="0.2">
      <c r="A48" s="38" t="s">
        <v>370</v>
      </c>
      <c r="B48" s="277">
        <v>32788</v>
      </c>
      <c r="C48" s="278">
        <v>18594</v>
      </c>
      <c r="D48" s="250">
        <f t="shared" si="0"/>
        <v>-43.3</v>
      </c>
      <c r="E48" s="27">
        <f>IFERROR(100/'Skjema total MA'!C48*C48,0)</f>
        <v>0.98396116822751234</v>
      </c>
      <c r="F48" s="145"/>
      <c r="G48" s="33"/>
      <c r="H48" s="145"/>
      <c r="I48" s="145"/>
      <c r="J48" s="33"/>
      <c r="K48" s="33"/>
      <c r="L48" s="158"/>
      <c r="M48" s="158"/>
      <c r="N48" s="148"/>
    </row>
    <row r="49" spans="1:14" s="3" customFormat="1" ht="15.75" x14ac:dyDescent="0.2">
      <c r="A49" s="38" t="s">
        <v>371</v>
      </c>
      <c r="B49" s="44"/>
      <c r="C49" s="283"/>
      <c r="D49" s="250"/>
      <c r="E49" s="27"/>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v>2928</v>
      </c>
      <c r="C53" s="304">
        <v>449</v>
      </c>
      <c r="D53" s="414">
        <f t="shared" si="0"/>
        <v>-84.7</v>
      </c>
      <c r="E53" s="11">
        <f>IFERROR(100/'Skjema total MA'!C53*C53,0)</f>
        <v>0.41973775962661775</v>
      </c>
      <c r="F53" s="145"/>
      <c r="G53" s="33"/>
      <c r="H53" s="145"/>
      <c r="I53" s="145"/>
      <c r="J53" s="33"/>
      <c r="K53" s="33"/>
      <c r="L53" s="158"/>
      <c r="M53" s="158"/>
      <c r="N53" s="148"/>
    </row>
    <row r="54" spans="1:14" s="3" customFormat="1" ht="15.75" x14ac:dyDescent="0.2">
      <c r="A54" s="38" t="s">
        <v>370</v>
      </c>
      <c r="B54" s="277">
        <v>2928</v>
      </c>
      <c r="C54" s="278">
        <v>449</v>
      </c>
      <c r="D54" s="250">
        <f t="shared" si="0"/>
        <v>-84.7</v>
      </c>
      <c r="E54" s="27">
        <f>IFERROR(100/'Skjema total MA'!C54*C54,0)</f>
        <v>0.48267864675784594</v>
      </c>
      <c r="F54" s="145"/>
      <c r="G54" s="33"/>
      <c r="H54" s="145"/>
      <c r="I54" s="145"/>
      <c r="J54" s="33"/>
      <c r="K54" s="33"/>
      <c r="L54" s="158"/>
      <c r="M54" s="158"/>
      <c r="N54" s="148"/>
    </row>
    <row r="55" spans="1:14" s="3" customFormat="1" ht="15.75" x14ac:dyDescent="0.2">
      <c r="A55" s="38" t="s">
        <v>371</v>
      </c>
      <c r="B55" s="277"/>
      <c r="C55" s="278"/>
      <c r="D55" s="250"/>
      <c r="E55" s="27"/>
      <c r="F55" s="145"/>
      <c r="G55" s="33"/>
      <c r="H55" s="145"/>
      <c r="I55" s="145"/>
      <c r="J55" s="33"/>
      <c r="K55" s="33"/>
      <c r="L55" s="158"/>
      <c r="M55" s="158"/>
      <c r="N55" s="148"/>
    </row>
    <row r="56" spans="1:14" s="3" customFormat="1" ht="15.75" x14ac:dyDescent="0.2">
      <c r="A56" s="39" t="s">
        <v>373</v>
      </c>
      <c r="B56" s="303">
        <v>233</v>
      </c>
      <c r="C56" s="304">
        <v>15987</v>
      </c>
      <c r="D56" s="414">
        <f t="shared" si="0"/>
        <v>999</v>
      </c>
      <c r="E56" s="11">
        <f>IFERROR(100/'Skjema total MA'!C56*C56,0)</f>
        <v>27.031845990001415</v>
      </c>
      <c r="F56" s="145"/>
      <c r="G56" s="33"/>
      <c r="H56" s="145"/>
      <c r="I56" s="145"/>
      <c r="J56" s="33"/>
      <c r="K56" s="33"/>
      <c r="L56" s="158"/>
      <c r="M56" s="158"/>
      <c r="N56" s="148"/>
    </row>
    <row r="57" spans="1:14" s="3" customFormat="1" ht="15.75" x14ac:dyDescent="0.2">
      <c r="A57" s="38" t="s">
        <v>370</v>
      </c>
      <c r="B57" s="277">
        <v>233</v>
      </c>
      <c r="C57" s="278">
        <v>15987</v>
      </c>
      <c r="D57" s="250">
        <f t="shared" si="0"/>
        <v>999</v>
      </c>
      <c r="E57" s="27">
        <f>IFERROR(100/'Skjema total MA'!C57*C57,0)</f>
        <v>27.031845990001415</v>
      </c>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292"/>
      <c r="F62" s="724"/>
      <c r="G62" s="724"/>
      <c r="H62" s="724"/>
      <c r="I62" s="292"/>
      <c r="J62" s="724"/>
      <c r="K62" s="724"/>
      <c r="L62" s="724"/>
      <c r="M62" s="292"/>
    </row>
    <row r="63" spans="1:14" x14ac:dyDescent="0.2">
      <c r="A63" s="144"/>
      <c r="B63" s="725" t="s">
        <v>0</v>
      </c>
      <c r="C63" s="726"/>
      <c r="D63" s="727"/>
      <c r="E63" s="293"/>
      <c r="F63" s="726" t="s">
        <v>1</v>
      </c>
      <c r="G63" s="726"/>
      <c r="H63" s="726"/>
      <c r="I63" s="297"/>
      <c r="J63" s="725" t="s">
        <v>2</v>
      </c>
      <c r="K63" s="726"/>
      <c r="L63" s="726"/>
      <c r="M63" s="297"/>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c r="C66" s="343"/>
      <c r="D66" s="340"/>
      <c r="E66" s="11"/>
      <c r="F66" s="342"/>
      <c r="G66" s="342"/>
      <c r="H66" s="340"/>
      <c r="I66" s="11"/>
      <c r="J66" s="302"/>
      <c r="K66" s="309"/>
      <c r="L66" s="414"/>
      <c r="M66" s="11"/>
    </row>
    <row r="67" spans="1:14" x14ac:dyDescent="0.2">
      <c r="A67" s="405" t="s">
        <v>9</v>
      </c>
      <c r="B67" s="44"/>
      <c r="C67" s="145"/>
      <c r="D67" s="165"/>
      <c r="E67" s="27"/>
      <c r="F67" s="230"/>
      <c r="G67" s="145"/>
      <c r="H67" s="165"/>
      <c r="I67" s="27"/>
      <c r="J67" s="283"/>
      <c r="K67" s="44"/>
      <c r="L67" s="250"/>
      <c r="M67" s="27"/>
    </row>
    <row r="68" spans="1:14" x14ac:dyDescent="0.2">
      <c r="A68" s="21" t="s">
        <v>10</v>
      </c>
      <c r="B68" s="287"/>
      <c r="C68" s="288"/>
      <c r="D68" s="165"/>
      <c r="E68" s="27"/>
      <c r="F68" s="287"/>
      <c r="G68" s="288"/>
      <c r="H68" s="165"/>
      <c r="I68" s="27"/>
      <c r="J68" s="283"/>
      <c r="K68" s="44"/>
      <c r="L68" s="250"/>
      <c r="M68" s="27"/>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c r="C75" s="145"/>
      <c r="D75" s="165"/>
      <c r="E75" s="27"/>
      <c r="F75" s="230"/>
      <c r="G75" s="145"/>
      <c r="H75" s="165"/>
      <c r="I75" s="27"/>
      <c r="J75" s="283"/>
      <c r="K75" s="44"/>
      <c r="L75" s="250"/>
      <c r="M75" s="27"/>
      <c r="N75" s="148"/>
    </row>
    <row r="76" spans="1:14" s="3" customFormat="1" x14ac:dyDescent="0.2">
      <c r="A76" s="21" t="s">
        <v>343</v>
      </c>
      <c r="B76" s="230"/>
      <c r="C76" s="145"/>
      <c r="D76" s="165"/>
      <c r="E76" s="27"/>
      <c r="F76" s="230"/>
      <c r="G76" s="145"/>
      <c r="H76" s="165"/>
      <c r="I76" s="27"/>
      <c r="J76" s="283"/>
      <c r="K76" s="44"/>
      <c r="L76" s="250"/>
      <c r="M76" s="27"/>
      <c r="N76" s="148"/>
    </row>
    <row r="77" spans="1:14" ht="15.75" x14ac:dyDescent="0.2">
      <c r="A77" s="21" t="s">
        <v>376</v>
      </c>
      <c r="B77" s="230"/>
      <c r="C77" s="230"/>
      <c r="D77" s="165"/>
      <c r="E77" s="27"/>
      <c r="F77" s="230"/>
      <c r="G77" s="145"/>
      <c r="H77" s="165"/>
      <c r="I77" s="27"/>
      <c r="J77" s="283"/>
      <c r="K77" s="44"/>
      <c r="L77" s="250"/>
      <c r="M77" s="27"/>
    </row>
    <row r="78" spans="1:14" x14ac:dyDescent="0.2">
      <c r="A78" s="21" t="s">
        <v>9</v>
      </c>
      <c r="B78" s="230"/>
      <c r="C78" s="145"/>
      <c r="D78" s="165"/>
      <c r="E78" s="27"/>
      <c r="F78" s="230"/>
      <c r="G78" s="145"/>
      <c r="H78" s="165"/>
      <c r="I78" s="27"/>
      <c r="J78" s="283"/>
      <c r="K78" s="44"/>
      <c r="L78" s="250"/>
      <c r="M78" s="27"/>
    </row>
    <row r="79" spans="1:14" x14ac:dyDescent="0.2">
      <c r="A79" s="38" t="s">
        <v>413</v>
      </c>
      <c r="B79" s="287"/>
      <c r="C79" s="288"/>
      <c r="D79" s="165"/>
      <c r="E79" s="27"/>
      <c r="F79" s="287"/>
      <c r="G79" s="288"/>
      <c r="H79" s="165"/>
      <c r="I79" s="27"/>
      <c r="J79" s="283"/>
      <c r="K79" s="44"/>
      <c r="L79" s="250"/>
      <c r="M79" s="27"/>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c r="C86" s="145"/>
      <c r="D86" s="165"/>
      <c r="E86" s="27"/>
      <c r="F86" s="230"/>
      <c r="G86" s="145"/>
      <c r="H86" s="165"/>
      <c r="I86" s="27"/>
      <c r="J86" s="283"/>
      <c r="K86" s="44"/>
      <c r="L86" s="250"/>
      <c r="M86" s="27"/>
    </row>
    <row r="87" spans="1:13" ht="15.75" x14ac:dyDescent="0.2">
      <c r="A87" s="13" t="s">
        <v>359</v>
      </c>
      <c r="B87" s="343"/>
      <c r="C87" s="343"/>
      <c r="D87" s="170"/>
      <c r="E87" s="11"/>
      <c r="F87" s="342"/>
      <c r="G87" s="342"/>
      <c r="H87" s="170"/>
      <c r="I87" s="11"/>
      <c r="J87" s="302"/>
      <c r="K87" s="232"/>
      <c r="L87" s="414"/>
      <c r="M87" s="11"/>
    </row>
    <row r="88" spans="1:13" x14ac:dyDescent="0.2">
      <c r="A88" s="21" t="s">
        <v>9</v>
      </c>
      <c r="B88" s="230"/>
      <c r="C88" s="145"/>
      <c r="D88" s="165"/>
      <c r="E88" s="27"/>
      <c r="F88" s="230"/>
      <c r="G88" s="145"/>
      <c r="H88" s="165"/>
      <c r="I88" s="27"/>
      <c r="J88" s="283"/>
      <c r="K88" s="44"/>
      <c r="L88" s="250"/>
      <c r="M88" s="27"/>
    </row>
    <row r="89" spans="1:13" x14ac:dyDescent="0.2">
      <c r="A89" s="21" t="s">
        <v>10</v>
      </c>
      <c r="B89" s="230"/>
      <c r="C89" s="145"/>
      <c r="D89" s="165"/>
      <c r="E89" s="27"/>
      <c r="F89" s="230"/>
      <c r="G89" s="145"/>
      <c r="H89" s="165"/>
      <c r="I89" s="27"/>
      <c r="J89" s="283"/>
      <c r="K89" s="44"/>
      <c r="L89" s="250"/>
      <c r="M89" s="27"/>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c r="C97" s="145"/>
      <c r="D97" s="165"/>
      <c r="E97" s="27"/>
      <c r="F97" s="230"/>
      <c r="G97" s="145"/>
      <c r="H97" s="165"/>
      <c r="I97" s="27"/>
      <c r="J97" s="283"/>
      <c r="K97" s="44"/>
      <c r="L97" s="250"/>
      <c r="M97" s="27"/>
    </row>
    <row r="98" spans="1:13" ht="15.75" x14ac:dyDescent="0.2">
      <c r="A98" s="21" t="s">
        <v>376</v>
      </c>
      <c r="B98" s="230"/>
      <c r="C98" s="230"/>
      <c r="D98" s="165"/>
      <c r="E98" s="27"/>
      <c r="F98" s="287"/>
      <c r="G98" s="287"/>
      <c r="H98" s="165"/>
      <c r="I98" s="27"/>
      <c r="J98" s="283"/>
      <c r="K98" s="44"/>
      <c r="L98" s="250"/>
      <c r="M98" s="27"/>
    </row>
    <row r="99" spans="1:13" x14ac:dyDescent="0.2">
      <c r="A99" s="21" t="s">
        <v>9</v>
      </c>
      <c r="B99" s="287"/>
      <c r="C99" s="288"/>
      <c r="D99" s="165"/>
      <c r="E99" s="27"/>
      <c r="F99" s="230"/>
      <c r="G99" s="145"/>
      <c r="H99" s="165"/>
      <c r="I99" s="27"/>
      <c r="J99" s="283"/>
      <c r="K99" s="44"/>
      <c r="L99" s="250"/>
      <c r="M99" s="27"/>
    </row>
    <row r="100" spans="1:13" x14ac:dyDescent="0.2">
      <c r="A100" s="38" t="s">
        <v>413</v>
      </c>
      <c r="B100" s="287"/>
      <c r="C100" s="288"/>
      <c r="D100" s="165"/>
      <c r="E100" s="27"/>
      <c r="F100" s="230"/>
      <c r="G100" s="230"/>
      <c r="H100" s="165"/>
      <c r="I100" s="27"/>
      <c r="J100" s="283"/>
      <c r="K100" s="44"/>
      <c r="L100" s="250"/>
      <c r="M100" s="27"/>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c r="C107" s="145"/>
      <c r="D107" s="165"/>
      <c r="E107" s="27"/>
      <c r="F107" s="230"/>
      <c r="G107" s="145"/>
      <c r="H107" s="165"/>
      <c r="I107" s="27"/>
      <c r="J107" s="283"/>
      <c r="K107" s="44"/>
      <c r="L107" s="250"/>
      <c r="M107" s="27"/>
    </row>
    <row r="108" spans="1:13" ht="15.75" x14ac:dyDescent="0.2">
      <c r="A108" s="21" t="s">
        <v>378</v>
      </c>
      <c r="B108" s="230"/>
      <c r="C108" s="230"/>
      <c r="D108" s="165"/>
      <c r="E108" s="27"/>
      <c r="F108" s="230"/>
      <c r="G108" s="230"/>
      <c r="H108" s="165"/>
      <c r="I108" s="27"/>
      <c r="J108" s="283"/>
      <c r="K108" s="44"/>
      <c r="L108" s="250"/>
      <c r="M108" s="27"/>
    </row>
    <row r="109" spans="1:13" ht="15.6" customHeight="1" x14ac:dyDescent="0.2">
      <c r="A109" s="21" t="s">
        <v>430</v>
      </c>
      <c r="B109" s="230"/>
      <c r="C109" s="230"/>
      <c r="D109" s="165"/>
      <c r="E109" s="27"/>
      <c r="F109" s="230"/>
      <c r="G109" s="230"/>
      <c r="H109" s="165"/>
      <c r="I109" s="27"/>
      <c r="J109" s="283"/>
      <c r="K109" s="44"/>
      <c r="L109" s="250"/>
      <c r="M109" s="27"/>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c r="C111" s="158"/>
      <c r="D111" s="170"/>
      <c r="E111" s="11"/>
      <c r="F111" s="301"/>
      <c r="G111" s="158"/>
      <c r="H111" s="170"/>
      <c r="I111" s="11"/>
      <c r="J111" s="302"/>
      <c r="K111" s="232"/>
      <c r="L111" s="414"/>
      <c r="M111" s="11"/>
    </row>
    <row r="112" spans="1:13" x14ac:dyDescent="0.2">
      <c r="A112" s="21" t="s">
        <v>9</v>
      </c>
      <c r="B112" s="230"/>
      <c r="C112" s="145"/>
      <c r="D112" s="165"/>
      <c r="E112" s="27"/>
      <c r="F112" s="230"/>
      <c r="G112" s="145"/>
      <c r="H112" s="165"/>
      <c r="I112" s="27"/>
      <c r="J112" s="283"/>
      <c r="K112" s="44"/>
      <c r="L112" s="250"/>
      <c r="M112" s="27"/>
    </row>
    <row r="113" spans="1:14" x14ac:dyDescent="0.2">
      <c r="A113" s="21" t="s">
        <v>10</v>
      </c>
      <c r="B113" s="230"/>
      <c r="C113" s="145"/>
      <c r="D113" s="165"/>
      <c r="E113" s="27"/>
      <c r="F113" s="230"/>
      <c r="G113" s="145"/>
      <c r="H113" s="165"/>
      <c r="I113" s="27"/>
      <c r="J113" s="283"/>
      <c r="K113" s="44"/>
      <c r="L113" s="250"/>
      <c r="M113" s="27"/>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c r="C116" s="230"/>
      <c r="D116" s="165"/>
      <c r="E116" s="27"/>
      <c r="F116" s="230"/>
      <c r="G116" s="230"/>
      <c r="H116" s="165"/>
      <c r="I116" s="27"/>
      <c r="J116" s="283"/>
      <c r="K116" s="44"/>
      <c r="L116" s="250"/>
      <c r="M116" s="27"/>
    </row>
    <row r="117" spans="1:14" ht="15.6" customHeight="1" x14ac:dyDescent="0.2">
      <c r="A117" s="21" t="s">
        <v>430</v>
      </c>
      <c r="B117" s="230"/>
      <c r="C117" s="230"/>
      <c r="D117" s="165"/>
      <c r="E117" s="27"/>
      <c r="F117" s="230"/>
      <c r="G117" s="230"/>
      <c r="H117" s="165"/>
      <c r="I117" s="27"/>
      <c r="J117" s="283"/>
      <c r="K117" s="44"/>
      <c r="L117" s="250"/>
      <c r="M117" s="27"/>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c r="C119" s="158"/>
      <c r="D119" s="170"/>
      <c r="E119" s="11"/>
      <c r="F119" s="301"/>
      <c r="G119" s="158"/>
      <c r="H119" s="170"/>
      <c r="I119" s="11"/>
      <c r="J119" s="302"/>
      <c r="K119" s="232"/>
      <c r="L119" s="414"/>
      <c r="M119" s="11"/>
    </row>
    <row r="120" spans="1:14" x14ac:dyDescent="0.2">
      <c r="A120" s="21" t="s">
        <v>9</v>
      </c>
      <c r="B120" s="230"/>
      <c r="C120" s="145"/>
      <c r="D120" s="165"/>
      <c r="E120" s="27"/>
      <c r="F120" s="230"/>
      <c r="G120" s="145"/>
      <c r="H120" s="165"/>
      <c r="I120" s="27"/>
      <c r="J120" s="283"/>
      <c r="K120" s="44"/>
      <c r="L120" s="250"/>
      <c r="M120" s="27"/>
    </row>
    <row r="121" spans="1:14" x14ac:dyDescent="0.2">
      <c r="A121" s="21" t="s">
        <v>10</v>
      </c>
      <c r="B121" s="230"/>
      <c r="C121" s="145"/>
      <c r="D121" s="165"/>
      <c r="E121" s="27"/>
      <c r="F121" s="230"/>
      <c r="G121" s="145"/>
      <c r="H121" s="165"/>
      <c r="I121" s="27"/>
      <c r="J121" s="283"/>
      <c r="K121" s="44"/>
      <c r="L121" s="250"/>
      <c r="M121" s="27"/>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c r="C125" s="230"/>
      <c r="D125" s="165"/>
      <c r="E125" s="27"/>
      <c r="F125" s="230"/>
      <c r="G125" s="230"/>
      <c r="H125" s="165"/>
      <c r="I125" s="27"/>
      <c r="J125" s="283"/>
      <c r="K125" s="44"/>
      <c r="L125" s="250"/>
      <c r="M125" s="27"/>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292"/>
      <c r="F130" s="724"/>
      <c r="G130" s="724"/>
      <c r="H130" s="724"/>
      <c r="I130" s="292"/>
      <c r="J130" s="724"/>
      <c r="K130" s="724"/>
      <c r="L130" s="724"/>
      <c r="M130" s="292"/>
    </row>
    <row r="131" spans="1:14" s="3" customFormat="1" x14ac:dyDescent="0.2">
      <c r="A131" s="144"/>
      <c r="B131" s="725" t="s">
        <v>0</v>
      </c>
      <c r="C131" s="726"/>
      <c r="D131" s="726"/>
      <c r="E131" s="294"/>
      <c r="F131" s="725" t="s">
        <v>1</v>
      </c>
      <c r="G131" s="726"/>
      <c r="H131" s="726"/>
      <c r="I131" s="297"/>
      <c r="J131" s="725" t="s">
        <v>2</v>
      </c>
      <c r="K131" s="726"/>
      <c r="L131" s="726"/>
      <c r="M131" s="297"/>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c r="C134" s="302"/>
      <c r="D134" s="340"/>
      <c r="E134" s="11"/>
      <c r="F134" s="309"/>
      <c r="G134" s="310"/>
      <c r="H134" s="417"/>
      <c r="I134" s="24"/>
      <c r="J134" s="311"/>
      <c r="K134" s="311"/>
      <c r="L134" s="413"/>
      <c r="M134" s="11"/>
      <c r="N134" s="148"/>
    </row>
    <row r="135" spans="1:14" s="3" customFormat="1" ht="15.75" x14ac:dyDescent="0.2">
      <c r="A135" s="13" t="s">
        <v>386</v>
      </c>
      <c r="B135" s="232"/>
      <c r="C135" s="302"/>
      <c r="D135" s="170"/>
      <c r="E135" s="11"/>
      <c r="F135" s="232"/>
      <c r="G135" s="302"/>
      <c r="H135" s="418"/>
      <c r="I135" s="24"/>
      <c r="J135" s="301"/>
      <c r="K135" s="301"/>
      <c r="L135" s="414"/>
      <c r="M135" s="11"/>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14" priority="12">
      <formula>kvartal &lt; 4</formula>
    </cfRule>
  </conditionalFormatting>
  <conditionalFormatting sqref="A69:A74">
    <cfRule type="expression" dxfId="313" priority="10">
      <formula>kvartal &lt; 4</formula>
    </cfRule>
  </conditionalFormatting>
  <conditionalFormatting sqref="A80:A85">
    <cfRule type="expression" dxfId="312" priority="9">
      <formula>kvartal &lt; 4</formula>
    </cfRule>
  </conditionalFormatting>
  <conditionalFormatting sqref="A90:A95">
    <cfRule type="expression" dxfId="311" priority="6">
      <formula>kvartal &lt; 4</formula>
    </cfRule>
  </conditionalFormatting>
  <conditionalFormatting sqref="A101:A106">
    <cfRule type="expression" dxfId="310" priority="5">
      <formula>kvartal &lt; 4</formula>
    </cfRule>
  </conditionalFormatting>
  <conditionalFormatting sqref="A115">
    <cfRule type="expression" dxfId="309" priority="4">
      <formula>kvartal &lt; 4</formula>
    </cfRule>
  </conditionalFormatting>
  <conditionalFormatting sqref="A123">
    <cfRule type="expression" dxfId="308" priority="3">
      <formula>kvartal &lt; 4</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N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244" t="s">
        <v>127</v>
      </c>
      <c r="D1" s="26"/>
      <c r="E1" s="26"/>
      <c r="F1" s="26"/>
      <c r="G1" s="26"/>
      <c r="H1" s="26"/>
      <c r="I1" s="26"/>
      <c r="J1" s="26"/>
      <c r="K1" s="26"/>
      <c r="L1" s="26"/>
      <c r="M1" s="26"/>
    </row>
    <row r="2" spans="1:14" ht="15.75" x14ac:dyDescent="0.25">
      <c r="A2" s="164" t="s">
        <v>28</v>
      </c>
      <c r="B2" s="729"/>
      <c r="C2" s="729"/>
      <c r="D2" s="729"/>
      <c r="E2" s="292"/>
      <c r="F2" s="729"/>
      <c r="G2" s="729"/>
      <c r="H2" s="729"/>
      <c r="I2" s="292"/>
      <c r="J2" s="729"/>
      <c r="K2" s="729"/>
      <c r="L2" s="729"/>
      <c r="M2" s="292"/>
    </row>
    <row r="3" spans="1:14" ht="15.75" x14ac:dyDescent="0.25">
      <c r="A3" s="162"/>
      <c r="B3" s="292"/>
      <c r="C3" s="292"/>
      <c r="D3" s="292"/>
      <c r="E3" s="292"/>
      <c r="F3" s="292"/>
      <c r="G3" s="292"/>
      <c r="H3" s="292"/>
      <c r="I3" s="292"/>
      <c r="J3" s="292"/>
      <c r="K3" s="292"/>
      <c r="L3" s="292"/>
      <c r="M3" s="292"/>
    </row>
    <row r="4" spans="1:14" x14ac:dyDescent="0.2">
      <c r="A4" s="144"/>
      <c r="B4" s="725" t="s">
        <v>0</v>
      </c>
      <c r="C4" s="726"/>
      <c r="D4" s="726"/>
      <c r="E4" s="294"/>
      <c r="F4" s="725" t="s">
        <v>1</v>
      </c>
      <c r="G4" s="726"/>
      <c r="H4" s="726"/>
      <c r="I4" s="297"/>
      <c r="J4" s="725" t="s">
        <v>2</v>
      </c>
      <c r="K4" s="726"/>
      <c r="L4" s="726"/>
      <c r="M4" s="297"/>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v>127137</v>
      </c>
      <c r="C7" s="300">
        <v>131211.541327588</v>
      </c>
      <c r="D7" s="340">
        <f>IF(B7=0, "    ---- ", IF(ABS(ROUND(100/B7*C7-100,1))&lt;999,ROUND(100/B7*C7-100,1),IF(ROUND(100/B7*C7-100,1)&gt;999,999,-999)))</f>
        <v>3.2</v>
      </c>
      <c r="E7" s="11">
        <f>IFERROR(100/'Skjema total MA'!C7*C7,0)</f>
        <v>7.5687191886361829</v>
      </c>
      <c r="F7" s="299">
        <v>2978498.4797399999</v>
      </c>
      <c r="G7" s="300">
        <v>2647804.4657700001</v>
      </c>
      <c r="H7" s="340">
        <f>IF(F7=0, "    ---- ", IF(ABS(ROUND(100/F7*G7-100,1))&lt;999,ROUND(100/F7*G7-100,1),IF(ROUND(100/F7*G7-100,1)&gt;999,999,-999)))</f>
        <v>-11.1</v>
      </c>
      <c r="I7" s="159">
        <f>IFERROR(100/'Skjema total MA'!F7*G7,0)</f>
        <v>77.082621668621357</v>
      </c>
      <c r="J7" s="301">
        <f t="shared" ref="J7:K12" si="0">SUM(B7,F7)</f>
        <v>3105635.4797399999</v>
      </c>
      <c r="K7" s="302">
        <f t="shared" si="0"/>
        <v>2779016.0070975879</v>
      </c>
      <c r="L7" s="413">
        <f>IF(J7=0, "    ---- ", IF(ABS(ROUND(100/J7*K7-100,1))&lt;999,ROUND(100/J7*K7-100,1),IF(ROUND(100/J7*K7-100,1)&gt;999,999,-999)))</f>
        <v>-10.5</v>
      </c>
      <c r="M7" s="11">
        <f>IFERROR(100/'Skjema total MA'!I7*K7,0)</f>
        <v>53.767034747795734</v>
      </c>
    </row>
    <row r="8" spans="1:14" ht="15.75" x14ac:dyDescent="0.2">
      <c r="A8" s="21" t="s">
        <v>25</v>
      </c>
      <c r="B8" s="277">
        <v>107174</v>
      </c>
      <c r="C8" s="278">
        <v>112015.812275708</v>
      </c>
      <c r="D8" s="165">
        <f t="shared" ref="D8:D10" si="1">IF(B8=0, "    ---- ", IF(ABS(ROUND(100/B8*C8-100,1))&lt;999,ROUND(100/B8*C8-100,1),IF(ROUND(100/B8*C8-100,1)&gt;999,999,-999)))</f>
        <v>4.5</v>
      </c>
      <c r="E8" s="27">
        <f>IFERROR(100/'Skjema total MA'!C8*C8,0)</f>
        <v>9.6316533909474398</v>
      </c>
      <c r="F8" s="281"/>
      <c r="G8" s="282"/>
      <c r="H8" s="165"/>
      <c r="I8" s="174"/>
      <c r="J8" s="230">
        <f t="shared" si="0"/>
        <v>107174</v>
      </c>
      <c r="K8" s="283">
        <f t="shared" si="0"/>
        <v>112015.812275708</v>
      </c>
      <c r="L8" s="165">
        <f t="shared" ref="L8:L9" si="2">IF(J8=0, "    ---- ", IF(ABS(ROUND(100/J8*K8-100,1))&lt;999,ROUND(100/J8*K8-100,1),IF(ROUND(100/J8*K8-100,1)&gt;999,999,-999)))</f>
        <v>4.5</v>
      </c>
      <c r="M8" s="27">
        <f>IFERROR(100/'Skjema total MA'!I8*K8,0)</f>
        <v>9.6316533909474398</v>
      </c>
    </row>
    <row r="9" spans="1:14" ht="15.75" x14ac:dyDescent="0.2">
      <c r="A9" s="21" t="s">
        <v>24</v>
      </c>
      <c r="B9" s="277">
        <v>18248</v>
      </c>
      <c r="C9" s="278">
        <v>17594.088552287601</v>
      </c>
      <c r="D9" s="165">
        <f t="shared" si="1"/>
        <v>-3.6</v>
      </c>
      <c r="E9" s="27">
        <f>IFERROR(100/'Skjema total MA'!C9*C9,0)</f>
        <v>4.8647733793139833</v>
      </c>
      <c r="F9" s="281"/>
      <c r="G9" s="282"/>
      <c r="H9" s="165"/>
      <c r="I9" s="174"/>
      <c r="J9" s="230">
        <f t="shared" si="0"/>
        <v>18248</v>
      </c>
      <c r="K9" s="283">
        <f t="shared" si="0"/>
        <v>17594.088552287601</v>
      </c>
      <c r="L9" s="165">
        <f t="shared" si="2"/>
        <v>-3.6</v>
      </c>
      <c r="M9" s="27">
        <f>IFERROR(100/'Skjema total MA'!I9*K9,0)</f>
        <v>4.8647733793139833</v>
      </c>
    </row>
    <row r="10" spans="1:14" ht="15.75" x14ac:dyDescent="0.2">
      <c r="A10" s="13" t="s">
        <v>359</v>
      </c>
      <c r="B10" s="303">
        <v>730168.153618193</v>
      </c>
      <c r="C10" s="304">
        <v>718563.58995470195</v>
      </c>
      <c r="D10" s="170">
        <f t="shared" si="1"/>
        <v>-1.6</v>
      </c>
      <c r="E10" s="11">
        <f>IFERROR(100/'Skjema total MA'!C10*C10,0)</f>
        <v>4.3798558802401155</v>
      </c>
      <c r="F10" s="303">
        <v>39940479.83309</v>
      </c>
      <c r="G10" s="304">
        <v>47314491.222695</v>
      </c>
      <c r="H10" s="170">
        <f t="shared" ref="H10:H12" si="3">IF(F10=0, "    ---- ", IF(ABS(ROUND(100/F10*G10-100,1))&lt;999,ROUND(100/F10*G10-100,1),IF(ROUND(100/F10*G10-100,1)&gt;999,999,-999)))</f>
        <v>18.5</v>
      </c>
      <c r="I10" s="159">
        <f>IFERROR(100/'Skjema total MA'!F10*G10,0)</f>
        <v>63.14556211302682</v>
      </c>
      <c r="J10" s="301">
        <f t="shared" si="0"/>
        <v>40670647.986708194</v>
      </c>
      <c r="K10" s="302">
        <f t="shared" si="0"/>
        <v>48033054.812649705</v>
      </c>
      <c r="L10" s="414">
        <f t="shared" ref="L10:L12" si="4">IF(J10=0, "    ---- ", IF(ABS(ROUND(100/J10*K10-100,1))&lt;999,ROUND(100/J10*K10-100,1),IF(ROUND(100/J10*K10-100,1)&gt;999,999,-999)))</f>
        <v>18.100000000000001</v>
      </c>
      <c r="M10" s="11">
        <f>IFERROR(100/'Skjema total MA'!I10*K10,0)</f>
        <v>52.589778460641021</v>
      </c>
    </row>
    <row r="11" spans="1:14" s="43" customFormat="1" ht="15.75" x14ac:dyDescent="0.2">
      <c r="A11" s="13" t="s">
        <v>360</v>
      </c>
      <c r="B11" s="303"/>
      <c r="C11" s="304"/>
      <c r="D11" s="170"/>
      <c r="E11" s="11"/>
      <c r="F11" s="303">
        <v>74034.434940000006</v>
      </c>
      <c r="G11" s="304">
        <v>257874.45884000001</v>
      </c>
      <c r="H11" s="170">
        <f t="shared" si="3"/>
        <v>248.3</v>
      </c>
      <c r="I11" s="159">
        <f>IFERROR(100/'Skjema total MA'!F11*G11,0)</f>
        <v>86.066388200384509</v>
      </c>
      <c r="J11" s="301">
        <f t="shared" si="0"/>
        <v>74034.434940000006</v>
      </c>
      <c r="K11" s="302">
        <f t="shared" si="0"/>
        <v>257874.45884000001</v>
      </c>
      <c r="L11" s="414">
        <f t="shared" si="4"/>
        <v>248.3</v>
      </c>
      <c r="M11" s="11">
        <f>IFERROR(100/'Skjema total MA'!I11*K11,0)</f>
        <v>81.463032738638574</v>
      </c>
      <c r="N11" s="143"/>
    </row>
    <row r="12" spans="1:14" s="43" customFormat="1" ht="15.75" x14ac:dyDescent="0.2">
      <c r="A12" s="41" t="s">
        <v>361</v>
      </c>
      <c r="B12" s="305"/>
      <c r="C12" s="306"/>
      <c r="D12" s="168"/>
      <c r="E12" s="36"/>
      <c r="F12" s="305">
        <v>18308.202120000002</v>
      </c>
      <c r="G12" s="306">
        <v>26244.493890000002</v>
      </c>
      <c r="H12" s="168">
        <f t="shared" si="3"/>
        <v>43.3</v>
      </c>
      <c r="I12" s="168">
        <f>IFERROR(100/'Skjema total MA'!F12*G12,0)</f>
        <v>48.625396264485971</v>
      </c>
      <c r="J12" s="307">
        <f t="shared" si="0"/>
        <v>18308.202120000002</v>
      </c>
      <c r="K12" s="308">
        <f t="shared" si="0"/>
        <v>26244.493890000002</v>
      </c>
      <c r="L12" s="415">
        <f t="shared" si="4"/>
        <v>43.3</v>
      </c>
      <c r="M12" s="36">
        <f>IFERROR(100/'Skjema total MA'!I12*K12,0)</f>
        <v>47.262066460296566</v>
      </c>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292"/>
      <c r="F18" s="724"/>
      <c r="G18" s="724"/>
      <c r="H18" s="724"/>
      <c r="I18" s="292"/>
      <c r="J18" s="724"/>
      <c r="K18" s="724"/>
      <c r="L18" s="724"/>
      <c r="M18" s="292"/>
    </row>
    <row r="19" spans="1:14" x14ac:dyDescent="0.2">
      <c r="A19" s="144"/>
      <c r="B19" s="725" t="s">
        <v>0</v>
      </c>
      <c r="C19" s="726"/>
      <c r="D19" s="726"/>
      <c r="E19" s="294"/>
      <c r="F19" s="725" t="s">
        <v>1</v>
      </c>
      <c r="G19" s="726"/>
      <c r="H19" s="726"/>
      <c r="I19" s="297"/>
      <c r="J19" s="725" t="s">
        <v>2</v>
      </c>
      <c r="K19" s="726"/>
      <c r="L19" s="726"/>
      <c r="M19" s="297"/>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303">
        <v>45830</v>
      </c>
      <c r="C22" s="303">
        <v>49402.7109003269</v>
      </c>
      <c r="D22" s="340">
        <f t="shared" ref="D22:D34" si="5">IF(B22=0, "    ---- ", IF(ABS(ROUND(100/B22*C22-100,1))&lt;999,ROUND(100/B22*C22-100,1),IF(ROUND(100/B22*C22-100,1)&gt;999,999,-999)))</f>
        <v>7.8</v>
      </c>
      <c r="E22" s="11">
        <f>IFERROR(100/'Skjema total MA'!C22*C22,0)</f>
        <v>6.4906160636879342</v>
      </c>
      <c r="F22" s="311">
        <v>93028.321979999993</v>
      </c>
      <c r="G22" s="311">
        <v>66946.237760000004</v>
      </c>
      <c r="H22" s="340">
        <f t="shared" ref="H22:H35" si="6">IF(F22=0, "    ---- ", IF(ABS(ROUND(100/F22*G22-100,1))&lt;999,ROUND(100/F22*G22-100,1),IF(ROUND(100/F22*G22-100,1)&gt;999,999,-999)))</f>
        <v>-28</v>
      </c>
      <c r="I22" s="11">
        <f>IFERROR(100/'Skjema total MA'!F22*G22,0)</f>
        <v>24.487806770104136</v>
      </c>
      <c r="J22" s="309">
        <f t="shared" ref="J22:K35" si="7">SUM(B22,F22)</f>
        <v>138858.32198000001</v>
      </c>
      <c r="K22" s="309">
        <f t="shared" si="7"/>
        <v>116348.9486603269</v>
      </c>
      <c r="L22" s="413">
        <f t="shared" ref="L22:L35" si="8">IF(J22=0, "    ---- ", IF(ABS(ROUND(100/J22*K22-100,1))&lt;999,ROUND(100/J22*K22-100,1),IF(ROUND(100/J22*K22-100,1)&gt;999,999,-999)))</f>
        <v>-16.2</v>
      </c>
      <c r="M22" s="24">
        <f>IFERROR(100/'Skjema total MA'!I22*K22,0)</f>
        <v>11.246588830396995</v>
      </c>
    </row>
    <row r="23" spans="1:14" ht="15.75" x14ac:dyDescent="0.2">
      <c r="A23" s="555" t="s">
        <v>362</v>
      </c>
      <c r="B23" s="277">
        <v>45461</v>
      </c>
      <c r="C23" s="277">
        <v>49302.598900326899</v>
      </c>
      <c r="D23" s="165">
        <f t="shared" si="5"/>
        <v>8.5</v>
      </c>
      <c r="E23" s="11">
        <f>IFERROR(100/'Skjema total MA'!C23*C23,0)</f>
        <v>13.660992364672719</v>
      </c>
      <c r="F23" s="286">
        <v>837.14599999999996</v>
      </c>
      <c r="G23" s="286">
        <v>721.00800000000004</v>
      </c>
      <c r="H23" s="165">
        <f t="shared" si="6"/>
        <v>-13.9</v>
      </c>
      <c r="I23" s="403">
        <f>IFERROR(100/'Skjema total MA'!F23*G23,0)</f>
        <v>3.7684087888871409</v>
      </c>
      <c r="J23" s="286">
        <f t="shared" ref="J23:J26" si="9">SUM(B23,F23)</f>
        <v>46298.146000000001</v>
      </c>
      <c r="K23" s="286">
        <f t="shared" ref="K23:K26" si="10">SUM(C23,G23)</f>
        <v>50023.6069003269</v>
      </c>
      <c r="L23" s="165">
        <f t="shared" si="8"/>
        <v>8</v>
      </c>
      <c r="M23" s="23">
        <f>IFERROR(100/'Skjema total MA'!I23*K23,0)</f>
        <v>13.162945860983044</v>
      </c>
    </row>
    <row r="24" spans="1:14" ht="15.75" x14ac:dyDescent="0.2">
      <c r="A24" s="555" t="s">
        <v>363</v>
      </c>
      <c r="B24" s="277">
        <v>281</v>
      </c>
      <c r="C24" s="277">
        <v>100.11199999999999</v>
      </c>
      <c r="D24" s="165">
        <f t="shared" si="5"/>
        <v>-64.400000000000006</v>
      </c>
      <c r="E24" s="11">
        <f>IFERROR(100/'Skjema total MA'!C24*C24,0)</f>
        <v>2.0456307875594733</v>
      </c>
      <c r="F24" s="286"/>
      <c r="G24" s="286"/>
      <c r="H24" s="165"/>
      <c r="I24" s="403"/>
      <c r="J24" s="286">
        <f t="shared" si="9"/>
        <v>281</v>
      </c>
      <c r="K24" s="286">
        <f t="shared" si="10"/>
        <v>100.11199999999999</v>
      </c>
      <c r="L24" s="165">
        <f t="shared" si="8"/>
        <v>-64.400000000000006</v>
      </c>
      <c r="M24" s="23">
        <f>IFERROR(100/'Skjema total MA'!I24*K24,0)</f>
        <v>1.9765978340445542</v>
      </c>
    </row>
    <row r="25" spans="1:14" ht="15.75" x14ac:dyDescent="0.2">
      <c r="A25" s="555" t="s">
        <v>364</v>
      </c>
      <c r="B25" s="277">
        <v>88</v>
      </c>
      <c r="C25" s="277">
        <v>0</v>
      </c>
      <c r="D25" s="165">
        <f t="shared" si="5"/>
        <v>-100</v>
      </c>
      <c r="E25" s="11">
        <f>IFERROR(100/'Skjema total MA'!C25*C25,0)</f>
        <v>0</v>
      </c>
      <c r="F25" s="286">
        <v>272.84800000000001</v>
      </c>
      <c r="G25" s="286">
        <v>324.04320999999999</v>
      </c>
      <c r="H25" s="165">
        <f t="shared" si="6"/>
        <v>18.8</v>
      </c>
      <c r="I25" s="403">
        <f>IFERROR(100/'Skjema total MA'!F25*G25,0)</f>
        <v>7.1276672906319911</v>
      </c>
      <c r="J25" s="286">
        <f t="shared" si="9"/>
        <v>360.84800000000001</v>
      </c>
      <c r="K25" s="286">
        <f t="shared" si="10"/>
        <v>324.04320999999999</v>
      </c>
      <c r="L25" s="165">
        <f t="shared" si="8"/>
        <v>-10.199999999999999</v>
      </c>
      <c r="M25" s="23">
        <f>IFERROR(100/'Skjema total MA'!I25*K25,0)</f>
        <v>2.6908335541048842</v>
      </c>
    </row>
    <row r="26" spans="1:14" ht="15.75" x14ac:dyDescent="0.2">
      <c r="A26" s="555" t="s">
        <v>365</v>
      </c>
      <c r="B26" s="277"/>
      <c r="C26" s="277"/>
      <c r="D26" s="165"/>
      <c r="E26" s="11"/>
      <c r="F26" s="286">
        <v>91918.327980000002</v>
      </c>
      <c r="G26" s="286">
        <v>65901.186549999999</v>
      </c>
      <c r="H26" s="165">
        <f t="shared" si="6"/>
        <v>-28.3</v>
      </c>
      <c r="I26" s="403">
        <f>IFERROR(100/'Skjema total MA'!F26*G26,0)</f>
        <v>26.409505571033922</v>
      </c>
      <c r="J26" s="286">
        <f t="shared" si="9"/>
        <v>91918.327980000002</v>
      </c>
      <c r="K26" s="286">
        <f t="shared" si="10"/>
        <v>65901.186549999999</v>
      </c>
      <c r="L26" s="165">
        <f t="shared" si="8"/>
        <v>-28.3</v>
      </c>
      <c r="M26" s="23">
        <f>IFERROR(100/'Skjema total MA'!I26*K26,0)</f>
        <v>26.409505571033922</v>
      </c>
    </row>
    <row r="27" spans="1:14" x14ac:dyDescent="0.2">
      <c r="A27" s="555" t="s">
        <v>11</v>
      </c>
      <c r="B27" s="277"/>
      <c r="C27" s="277"/>
      <c r="D27" s="165"/>
      <c r="E27" s="11"/>
      <c r="F27" s="286"/>
      <c r="G27" s="286"/>
      <c r="H27" s="165"/>
      <c r="I27" s="403"/>
      <c r="J27" s="286"/>
      <c r="K27" s="286"/>
      <c r="L27" s="165"/>
      <c r="M27" s="23"/>
    </row>
    <row r="28" spans="1:14" ht="15.75" x14ac:dyDescent="0.2">
      <c r="A28" s="49" t="s">
        <v>270</v>
      </c>
      <c r="B28" s="44">
        <v>47123</v>
      </c>
      <c r="C28" s="283">
        <v>51033.1516037724</v>
      </c>
      <c r="D28" s="165">
        <f t="shared" si="5"/>
        <v>8.3000000000000007</v>
      </c>
      <c r="E28" s="11">
        <f>IFERROR(100/'Skjema total MA'!C28*C28,0)</f>
        <v>6.0837732812205907</v>
      </c>
      <c r="F28" s="230"/>
      <c r="G28" s="283"/>
      <c r="H28" s="165"/>
      <c r="I28" s="27"/>
      <c r="J28" s="44">
        <f t="shared" si="7"/>
        <v>47123</v>
      </c>
      <c r="K28" s="44">
        <f t="shared" si="7"/>
        <v>51033.1516037724</v>
      </c>
      <c r="L28" s="250">
        <f t="shared" si="8"/>
        <v>8.3000000000000007</v>
      </c>
      <c r="M28" s="23">
        <f>IFERROR(100/'Skjema total MA'!I28*K28,0)</f>
        <v>6.0837732812205907</v>
      </c>
    </row>
    <row r="29" spans="1:14" s="3" customFormat="1" ht="15.75" x14ac:dyDescent="0.2">
      <c r="A29" s="13" t="s">
        <v>359</v>
      </c>
      <c r="B29" s="232">
        <v>3965871.2067171899</v>
      </c>
      <c r="C29" s="232">
        <v>4085765.5186189301</v>
      </c>
      <c r="D29" s="170">
        <f t="shared" si="5"/>
        <v>3</v>
      </c>
      <c r="E29" s="11">
        <f>IFERROR(100/'Skjema total MA'!C29*C29,0)</f>
        <v>8.9916036541864823</v>
      </c>
      <c r="F29" s="301">
        <v>5129864.9800000004</v>
      </c>
      <c r="G29" s="301">
        <v>5400033.7599999998</v>
      </c>
      <c r="H29" s="170">
        <f t="shared" si="6"/>
        <v>5.3</v>
      </c>
      <c r="I29" s="11">
        <f>IFERROR(100/'Skjema total MA'!F29*G29,0)</f>
        <v>21.371954765703915</v>
      </c>
      <c r="J29" s="232">
        <f t="shared" si="7"/>
        <v>9095736.1867171898</v>
      </c>
      <c r="K29" s="232">
        <f t="shared" si="7"/>
        <v>9485799.2786189299</v>
      </c>
      <c r="L29" s="414">
        <f t="shared" si="8"/>
        <v>4.3</v>
      </c>
      <c r="M29" s="24">
        <f>IFERROR(100/'Skjema total MA'!I29*K29,0)</f>
        <v>13.415700325641154</v>
      </c>
      <c r="N29" s="148"/>
    </row>
    <row r="30" spans="1:14" s="3" customFormat="1" ht="15.75" x14ac:dyDescent="0.2">
      <c r="A30" s="555" t="s">
        <v>362</v>
      </c>
      <c r="B30" s="277">
        <v>639485.44319273799</v>
      </c>
      <c r="C30" s="277">
        <v>599834.21551544499</v>
      </c>
      <c r="D30" s="165">
        <f t="shared" si="5"/>
        <v>-6.2</v>
      </c>
      <c r="E30" s="11">
        <f>IFERROR(100/'Skjema total MA'!C30*C30,0)</f>
        <v>5.9015615673119282</v>
      </c>
      <c r="F30" s="286">
        <v>478482.60882442002</v>
      </c>
      <c r="G30" s="286">
        <v>426371.22367764101</v>
      </c>
      <c r="H30" s="165">
        <f t="shared" si="6"/>
        <v>-10.9</v>
      </c>
      <c r="I30" s="403">
        <f>IFERROR(100/'Skjema total MA'!F30*G30,0)</f>
        <v>11.187391885410634</v>
      </c>
      <c r="J30" s="286">
        <f t="shared" ref="J30:J33" si="11">SUM(B30,F30)</f>
        <v>1117968.0520171579</v>
      </c>
      <c r="K30" s="286">
        <f t="shared" ref="K30:K33" si="12">SUM(C30,G30)</f>
        <v>1026205.439193086</v>
      </c>
      <c r="L30" s="165">
        <f t="shared" si="8"/>
        <v>-8.1999999999999993</v>
      </c>
      <c r="M30" s="23">
        <f>IFERROR(100/'Skjema total MA'!I30*K30,0)</f>
        <v>7.3430634786417865</v>
      </c>
      <c r="N30" s="148"/>
    </row>
    <row r="31" spans="1:14" s="3" customFormat="1" ht="15.75" x14ac:dyDescent="0.2">
      <c r="A31" s="555" t="s">
        <v>363</v>
      </c>
      <c r="B31" s="277">
        <v>2774208.2231179299</v>
      </c>
      <c r="C31" s="277">
        <v>2812447.6037792899</v>
      </c>
      <c r="D31" s="165">
        <f t="shared" si="5"/>
        <v>1.4</v>
      </c>
      <c r="E31" s="11">
        <f>IFERROR(100/'Skjema total MA'!C31*C31,0)</f>
        <v>10.805119126361937</v>
      </c>
      <c r="F31" s="286">
        <v>831076.65987991204</v>
      </c>
      <c r="G31" s="286">
        <v>760409.92676534096</v>
      </c>
      <c r="H31" s="165">
        <f t="shared" si="6"/>
        <v>-8.5</v>
      </c>
      <c r="I31" s="403">
        <f>IFERROR(100/'Skjema total MA'!F31*G31,0)</f>
        <v>8.8090690809873244</v>
      </c>
      <c r="J31" s="286">
        <f t="shared" si="11"/>
        <v>3605284.882997842</v>
      </c>
      <c r="K31" s="286">
        <f t="shared" si="12"/>
        <v>3572857.5305446307</v>
      </c>
      <c r="L31" s="165">
        <f t="shared" si="8"/>
        <v>-0.9</v>
      </c>
      <c r="M31" s="23">
        <f>IFERROR(100/'Skjema total MA'!I31*K31,0)</f>
        <v>10.308013730425291</v>
      </c>
      <c r="N31" s="148"/>
    </row>
    <row r="32" spans="1:14" ht="15.75" x14ac:dyDescent="0.2">
      <c r="A32" s="555" t="s">
        <v>364</v>
      </c>
      <c r="B32" s="277">
        <v>552177.54040652199</v>
      </c>
      <c r="C32" s="277">
        <v>673483.69932419003</v>
      </c>
      <c r="D32" s="165">
        <f t="shared" si="5"/>
        <v>22</v>
      </c>
      <c r="E32" s="11">
        <f>IFERROR(100/'Skjema total MA'!C32*C32,0)</f>
        <v>27.792509915950728</v>
      </c>
      <c r="F32" s="286">
        <v>2349952.4527302599</v>
      </c>
      <c r="G32" s="286">
        <v>2358447.5583060002</v>
      </c>
      <c r="H32" s="165">
        <f t="shared" si="6"/>
        <v>0.4</v>
      </c>
      <c r="I32" s="403">
        <f>IFERROR(100/'Skjema total MA'!F32*G32,0)</f>
        <v>41.800400849123044</v>
      </c>
      <c r="J32" s="286">
        <f t="shared" si="11"/>
        <v>2902129.9931367817</v>
      </c>
      <c r="K32" s="286">
        <f t="shared" si="12"/>
        <v>3031931.2576301903</v>
      </c>
      <c r="L32" s="165">
        <f t="shared" si="8"/>
        <v>4.5</v>
      </c>
      <c r="M32" s="23">
        <f>IFERROR(100/'Skjema total MA'!I32*K32,0)</f>
        <v>37.59172937641695</v>
      </c>
    </row>
    <row r="33" spans="1:14" ht="15.75" x14ac:dyDescent="0.2">
      <c r="A33" s="555" t="s">
        <v>365</v>
      </c>
      <c r="B33" s="277"/>
      <c r="C33" s="277"/>
      <c r="D33" s="165"/>
      <c r="E33" s="11"/>
      <c r="F33" s="286">
        <v>1470353.25856541</v>
      </c>
      <c r="G33" s="286">
        <v>1854805.05125102</v>
      </c>
      <c r="H33" s="165">
        <f t="shared" si="6"/>
        <v>26.1</v>
      </c>
      <c r="I33" s="403">
        <f>IFERROR(100/'Skjema total MA'!F33*G33,0)</f>
        <v>25.740853916241651</v>
      </c>
      <c r="J33" s="286">
        <f t="shared" si="11"/>
        <v>1470353.25856541</v>
      </c>
      <c r="K33" s="286">
        <f t="shared" si="12"/>
        <v>1854805.05125102</v>
      </c>
      <c r="L33" s="165">
        <f t="shared" si="8"/>
        <v>26.1</v>
      </c>
      <c r="M33" s="23">
        <f>IFERROR(100/'Skjema total MA'!I33*K33,0)</f>
        <v>25.740853916241651</v>
      </c>
    </row>
    <row r="34" spans="1:14" ht="15.75" x14ac:dyDescent="0.2">
      <c r="A34" s="13" t="s">
        <v>360</v>
      </c>
      <c r="B34" s="232">
        <v>0</v>
      </c>
      <c r="C34" s="302">
        <v>974.46686999999997</v>
      </c>
      <c r="D34" s="170" t="str">
        <f t="shared" si="5"/>
        <v xml:space="preserve">    ---- </v>
      </c>
      <c r="E34" s="11">
        <f>IFERROR(100/'Skjema total MA'!C34*C34,0)</f>
        <v>15.863321771853382</v>
      </c>
      <c r="F34" s="301">
        <v>3697.76683</v>
      </c>
      <c r="G34" s="302">
        <v>2549.8894599999999</v>
      </c>
      <c r="H34" s="170">
        <f t="shared" si="6"/>
        <v>-31</v>
      </c>
      <c r="I34" s="11">
        <f>IFERROR(100/'Skjema total MA'!F34*G34,0)</f>
        <v>10.854980725154329</v>
      </c>
      <c r="J34" s="232">
        <f t="shared" si="7"/>
        <v>3697.76683</v>
      </c>
      <c r="K34" s="232">
        <f t="shared" si="7"/>
        <v>3524.3563299999996</v>
      </c>
      <c r="L34" s="414">
        <f t="shared" si="8"/>
        <v>-4.7</v>
      </c>
      <c r="M34" s="24">
        <f>IFERROR(100/'Skjema total MA'!I34*K34,0)</f>
        <v>11.893191260305574</v>
      </c>
    </row>
    <row r="35" spans="1:14" ht="15.75" x14ac:dyDescent="0.2">
      <c r="A35" s="13" t="s">
        <v>361</v>
      </c>
      <c r="B35" s="232"/>
      <c r="C35" s="302"/>
      <c r="D35" s="170"/>
      <c r="E35" s="11"/>
      <c r="F35" s="301">
        <v>14174.36974</v>
      </c>
      <c r="G35" s="302">
        <v>8535.2025300000005</v>
      </c>
      <c r="H35" s="170">
        <f t="shared" si="6"/>
        <v>-39.799999999999997</v>
      </c>
      <c r="I35" s="11">
        <f>IFERROR(100/'Skjema total MA'!F35*G35,0)</f>
        <v>34.039932100421758</v>
      </c>
      <c r="J35" s="232">
        <f t="shared" si="7"/>
        <v>14174.36974</v>
      </c>
      <c r="K35" s="232">
        <f t="shared" si="7"/>
        <v>8535.2025300000005</v>
      </c>
      <c r="L35" s="414">
        <f t="shared" si="8"/>
        <v>-39.799999999999997</v>
      </c>
      <c r="M35" s="24">
        <f>IFERROR(100/'Skjema total MA'!I35*K35,0)</f>
        <v>34.653791034232242</v>
      </c>
    </row>
    <row r="36" spans="1:14" ht="15.75" x14ac:dyDescent="0.2">
      <c r="A36" s="12" t="s">
        <v>278</v>
      </c>
      <c r="B36" s="232"/>
      <c r="C36" s="302"/>
      <c r="D36" s="170"/>
      <c r="E36" s="11"/>
      <c r="F36" s="312"/>
      <c r="G36" s="313"/>
      <c r="H36" s="170"/>
      <c r="I36" s="420"/>
      <c r="J36" s="232"/>
      <c r="K36" s="232"/>
      <c r="L36" s="414"/>
      <c r="M36" s="24"/>
    </row>
    <row r="37" spans="1:14" ht="15.75" x14ac:dyDescent="0.2">
      <c r="A37" s="12" t="s">
        <v>367</v>
      </c>
      <c r="B37" s="232"/>
      <c r="C37" s="302"/>
      <c r="D37" s="170"/>
      <c r="E37" s="11"/>
      <c r="F37" s="312"/>
      <c r="G37" s="314"/>
      <c r="H37" s="170"/>
      <c r="I37" s="420"/>
      <c r="J37" s="232"/>
      <c r="K37" s="232"/>
      <c r="L37" s="414"/>
      <c r="M37" s="24"/>
    </row>
    <row r="38" spans="1:14" ht="15.75" x14ac:dyDescent="0.2">
      <c r="A38" s="12" t="s">
        <v>368</v>
      </c>
      <c r="B38" s="232"/>
      <c r="C38" s="302"/>
      <c r="D38" s="170"/>
      <c r="E38" s="24"/>
      <c r="F38" s="312"/>
      <c r="G38" s="313"/>
      <c r="H38" s="170"/>
      <c r="I38" s="420"/>
      <c r="J38" s="232"/>
      <c r="K38" s="232"/>
      <c r="L38" s="414"/>
      <c r="M38" s="24"/>
    </row>
    <row r="39" spans="1:14" ht="15.75" x14ac:dyDescent="0.2">
      <c r="A39" s="18" t="s">
        <v>369</v>
      </c>
      <c r="B39" s="272"/>
      <c r="C39" s="308"/>
      <c r="D39" s="168"/>
      <c r="E39" s="36"/>
      <c r="F39" s="315"/>
      <c r="G39" s="316"/>
      <c r="H39" s="168"/>
      <c r="I39" s="36"/>
      <c r="J39" s="232"/>
      <c r="K39" s="232"/>
      <c r="L39" s="415"/>
      <c r="M39" s="36"/>
    </row>
    <row r="40" spans="1:14" ht="15.75" x14ac:dyDescent="0.25">
      <c r="A40" s="47"/>
      <c r="B40" s="249"/>
      <c r="C40" s="249"/>
      <c r="D40" s="728"/>
      <c r="E40" s="728"/>
      <c r="F40" s="728"/>
      <c r="G40" s="728"/>
      <c r="H40" s="728"/>
      <c r="I40" s="728"/>
      <c r="J40" s="728"/>
      <c r="K40" s="728"/>
      <c r="L40" s="728"/>
      <c r="M40" s="295"/>
    </row>
    <row r="41" spans="1:14" x14ac:dyDescent="0.2">
      <c r="A41" s="154"/>
    </row>
    <row r="42" spans="1:14" ht="15.75" x14ac:dyDescent="0.25">
      <c r="A42" s="147" t="s">
        <v>267</v>
      </c>
      <c r="B42" s="729"/>
      <c r="C42" s="729"/>
      <c r="D42" s="729"/>
      <c r="E42" s="292"/>
      <c r="F42" s="730"/>
      <c r="G42" s="730"/>
      <c r="H42" s="730"/>
      <c r="I42" s="295"/>
      <c r="J42" s="730"/>
      <c r="K42" s="730"/>
      <c r="L42" s="730"/>
      <c r="M42" s="295"/>
    </row>
    <row r="43" spans="1:14" ht="15.75" x14ac:dyDescent="0.25">
      <c r="A43" s="162"/>
      <c r="B43" s="296"/>
      <c r="C43" s="296"/>
      <c r="D43" s="296"/>
      <c r="E43" s="296"/>
      <c r="F43" s="295"/>
      <c r="G43" s="295"/>
      <c r="H43" s="295"/>
      <c r="I43" s="295"/>
      <c r="J43" s="295"/>
      <c r="K43" s="295"/>
      <c r="L43" s="295"/>
      <c r="M43" s="295"/>
    </row>
    <row r="44" spans="1:14" ht="15.75" x14ac:dyDescent="0.25">
      <c r="A44" s="243"/>
      <c r="B44" s="725" t="s">
        <v>0</v>
      </c>
      <c r="C44" s="726"/>
      <c r="D44" s="726"/>
      <c r="E44" s="239"/>
      <c r="F44" s="295"/>
      <c r="G44" s="295"/>
      <c r="H44" s="295"/>
      <c r="I44" s="295"/>
      <c r="J44" s="295"/>
      <c r="K44" s="295"/>
      <c r="L44" s="295"/>
      <c r="M44" s="295"/>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c r="C47" s="304"/>
      <c r="D47" s="413"/>
      <c r="E47" s="11"/>
      <c r="F47" s="145"/>
      <c r="G47" s="33"/>
      <c r="H47" s="158"/>
      <c r="I47" s="158"/>
      <c r="J47" s="37"/>
      <c r="K47" s="37"/>
      <c r="L47" s="158"/>
      <c r="M47" s="158"/>
      <c r="N47" s="148"/>
    </row>
    <row r="48" spans="1:14" s="3" customFormat="1" ht="15.75" x14ac:dyDescent="0.2">
      <c r="A48" s="38" t="s">
        <v>370</v>
      </c>
      <c r="B48" s="277"/>
      <c r="C48" s="278"/>
      <c r="D48" s="250"/>
      <c r="E48" s="27"/>
      <c r="F48" s="145"/>
      <c r="G48" s="33"/>
      <c r="H48" s="145"/>
      <c r="I48" s="145"/>
      <c r="J48" s="33"/>
      <c r="K48" s="33"/>
      <c r="L48" s="158"/>
      <c r="M48" s="158"/>
      <c r="N48" s="148"/>
    </row>
    <row r="49" spans="1:14" s="3" customFormat="1" ht="15.75" x14ac:dyDescent="0.2">
      <c r="A49" s="38" t="s">
        <v>371</v>
      </c>
      <c r="B49" s="44"/>
      <c r="C49" s="283"/>
      <c r="D49" s="250"/>
      <c r="E49" s="27"/>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c r="C53" s="304"/>
      <c r="D53" s="414"/>
      <c r="E53" s="11"/>
      <c r="F53" s="145"/>
      <c r="G53" s="33"/>
      <c r="H53" s="145"/>
      <c r="I53" s="145"/>
      <c r="J53" s="33"/>
      <c r="K53" s="33"/>
      <c r="L53" s="158"/>
      <c r="M53" s="158"/>
      <c r="N53" s="148"/>
    </row>
    <row r="54" spans="1:14" s="3" customFormat="1" ht="15.75" x14ac:dyDescent="0.2">
      <c r="A54" s="38" t="s">
        <v>370</v>
      </c>
      <c r="B54" s="277"/>
      <c r="C54" s="278"/>
      <c r="D54" s="250"/>
      <c r="E54" s="27"/>
      <c r="F54" s="145"/>
      <c r="G54" s="33"/>
      <c r="H54" s="145"/>
      <c r="I54" s="145"/>
      <c r="J54" s="33"/>
      <c r="K54" s="33"/>
      <c r="L54" s="158"/>
      <c r="M54" s="158"/>
      <c r="N54" s="148"/>
    </row>
    <row r="55" spans="1:14" s="3" customFormat="1" ht="15.75" x14ac:dyDescent="0.2">
      <c r="A55" s="38" t="s">
        <v>371</v>
      </c>
      <c r="B55" s="277"/>
      <c r="C55" s="278"/>
      <c r="D55" s="250"/>
      <c r="E55" s="27"/>
      <c r="F55" s="145"/>
      <c r="G55" s="33"/>
      <c r="H55" s="145"/>
      <c r="I55" s="145"/>
      <c r="J55" s="33"/>
      <c r="K55" s="33"/>
      <c r="L55" s="158"/>
      <c r="M55" s="158"/>
      <c r="N55" s="148"/>
    </row>
    <row r="56" spans="1:14" s="3" customFormat="1" ht="15.75" x14ac:dyDescent="0.2">
      <c r="A56" s="39" t="s">
        <v>373</v>
      </c>
      <c r="B56" s="303"/>
      <c r="C56" s="304"/>
      <c r="D56" s="414"/>
      <c r="E56" s="11"/>
      <c r="F56" s="145"/>
      <c r="G56" s="33"/>
      <c r="H56" s="145"/>
      <c r="I56" s="145"/>
      <c r="J56" s="33"/>
      <c r="K56" s="33"/>
      <c r="L56" s="158"/>
      <c r="M56" s="158"/>
      <c r="N56" s="148"/>
    </row>
    <row r="57" spans="1:14" s="3" customFormat="1" ht="15.75" x14ac:dyDescent="0.2">
      <c r="A57" s="38" t="s">
        <v>370</v>
      </c>
      <c r="B57" s="277"/>
      <c r="C57" s="278"/>
      <c r="D57" s="250"/>
      <c r="E57" s="27"/>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292"/>
      <c r="F62" s="724"/>
      <c r="G62" s="724"/>
      <c r="H62" s="724"/>
      <c r="I62" s="292"/>
      <c r="J62" s="724"/>
      <c r="K62" s="724"/>
      <c r="L62" s="724"/>
      <c r="M62" s="292"/>
    </row>
    <row r="63" spans="1:14" x14ac:dyDescent="0.2">
      <c r="A63" s="144"/>
      <c r="B63" s="725" t="s">
        <v>0</v>
      </c>
      <c r="C63" s="726"/>
      <c r="D63" s="727"/>
      <c r="E63" s="293"/>
      <c r="F63" s="726" t="s">
        <v>1</v>
      </c>
      <c r="G63" s="726"/>
      <c r="H63" s="726"/>
      <c r="I63" s="297"/>
      <c r="J63" s="725" t="s">
        <v>2</v>
      </c>
      <c r="K63" s="726"/>
      <c r="L63" s="726"/>
      <c r="M63" s="297"/>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v>467656</v>
      </c>
      <c r="C66" s="343">
        <v>455520.00000000023</v>
      </c>
      <c r="D66" s="340">
        <f t="shared" ref="D66:D109" si="13">IF(B66=0, "    ---- ", IF(ABS(ROUND(100/B66*C66-100,1))&lt;999,ROUND(100/B66*C66-100,1),IF(ROUND(100/B66*C66-100,1)&gt;999,999,-999)))</f>
        <v>-2.6</v>
      </c>
      <c r="E66" s="11">
        <f>IFERROR(100/'Skjema total MA'!C66*C66,0)</f>
        <v>17.170474922359332</v>
      </c>
      <c r="F66" s="342">
        <v>1520461</v>
      </c>
      <c r="G66" s="342">
        <v>1556099.59</v>
      </c>
      <c r="H66" s="340">
        <f t="shared" ref="H66:H111" si="14">IF(F66=0, "    ---- ", IF(ABS(ROUND(100/F66*G66-100,1))&lt;999,ROUND(100/F66*G66-100,1),IF(ROUND(100/F66*G66-100,1)&gt;999,999,-999)))</f>
        <v>2.2999999999999998</v>
      </c>
      <c r="I66" s="11">
        <f>IFERROR(100/'Skjema total MA'!F66*G66,0)</f>
        <v>15.72744276715639</v>
      </c>
      <c r="J66" s="302">
        <f t="shared" ref="J66:K86" si="15">SUM(B66,F66)</f>
        <v>1988117</v>
      </c>
      <c r="K66" s="309">
        <f t="shared" si="15"/>
        <v>2011619.5900000003</v>
      </c>
      <c r="L66" s="414">
        <f t="shared" ref="L66:L111" si="16">IF(J66=0, "    ---- ", IF(ABS(ROUND(100/J66*K66-100,1))&lt;999,ROUND(100/J66*K66-100,1),IF(ROUND(100/J66*K66-100,1)&gt;999,999,-999)))</f>
        <v>1.2</v>
      </c>
      <c r="M66" s="11">
        <f>IFERROR(100/'Skjema total MA'!I66*K66,0)</f>
        <v>16.032553863319144</v>
      </c>
    </row>
    <row r="67" spans="1:14" x14ac:dyDescent="0.2">
      <c r="A67" s="405" t="s">
        <v>9</v>
      </c>
      <c r="B67" s="44">
        <v>412133.21799999999</v>
      </c>
      <c r="C67" s="145">
        <v>379100.06278979901</v>
      </c>
      <c r="D67" s="165">
        <f t="shared" si="13"/>
        <v>-8</v>
      </c>
      <c r="E67" s="27">
        <f>IFERROR(100/'Skjema total MA'!C67*C67,0)</f>
        <v>19.452902405972655</v>
      </c>
      <c r="F67" s="230"/>
      <c r="G67" s="145"/>
      <c r="H67" s="165"/>
      <c r="I67" s="27"/>
      <c r="J67" s="283">
        <f t="shared" si="15"/>
        <v>412133.21799999999</v>
      </c>
      <c r="K67" s="44">
        <f t="shared" si="15"/>
        <v>379100.06278979901</v>
      </c>
      <c r="L67" s="250">
        <f t="shared" si="16"/>
        <v>-8</v>
      </c>
      <c r="M67" s="27">
        <f>IFERROR(100/'Skjema total MA'!I67*K67,0)</f>
        <v>19.452902405972655</v>
      </c>
    </row>
    <row r="68" spans="1:14" x14ac:dyDescent="0.2">
      <c r="A68" s="21" t="s">
        <v>10</v>
      </c>
      <c r="B68" s="287">
        <v>4766</v>
      </c>
      <c r="C68" s="288">
        <v>1553</v>
      </c>
      <c r="D68" s="165">
        <f t="shared" si="13"/>
        <v>-67.400000000000006</v>
      </c>
      <c r="E68" s="27">
        <f>IFERROR(100/'Skjema total MA'!C68*C68,0)</f>
        <v>14.931484192691959</v>
      </c>
      <c r="F68" s="287">
        <v>1520461</v>
      </c>
      <c r="G68" s="288">
        <v>1556099.59</v>
      </c>
      <c r="H68" s="165">
        <f t="shared" si="14"/>
        <v>2.2999999999999998</v>
      </c>
      <c r="I68" s="27">
        <f>IFERROR(100/'Skjema total MA'!F68*G68,0)</f>
        <v>16.382421144289726</v>
      </c>
      <c r="J68" s="283">
        <f t="shared" si="15"/>
        <v>1525227</v>
      </c>
      <c r="K68" s="44">
        <f t="shared" si="15"/>
        <v>1557652.59</v>
      </c>
      <c r="L68" s="250">
        <f t="shared" si="16"/>
        <v>2.1</v>
      </c>
      <c r="M68" s="27">
        <f>IFERROR(100/'Skjema total MA'!I68*K68,0)</f>
        <v>16.380834124182851</v>
      </c>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c r="C75" s="145"/>
      <c r="D75" s="165"/>
      <c r="E75" s="27"/>
      <c r="F75" s="230"/>
      <c r="G75" s="145"/>
      <c r="H75" s="165"/>
      <c r="I75" s="27"/>
      <c r="J75" s="283"/>
      <c r="K75" s="44"/>
      <c r="L75" s="250"/>
      <c r="M75" s="27"/>
      <c r="N75" s="148"/>
    </row>
    <row r="76" spans="1:14" s="3" customFormat="1" x14ac:dyDescent="0.2">
      <c r="A76" s="21" t="s">
        <v>343</v>
      </c>
      <c r="B76" s="230">
        <v>50756.781999999999</v>
      </c>
      <c r="C76" s="145">
        <v>74866.937210201198</v>
      </c>
      <c r="D76" s="165">
        <f t="shared" ref="D76" si="17">IF(B76=0, "    ---- ", IF(ABS(ROUND(100/B76*C76-100,1))&lt;999,ROUND(100/B76*C76-100,1),IF(ROUND(100/B76*C76-100,1)&gt;999,999,-999)))</f>
        <v>47.5</v>
      </c>
      <c r="E76" s="27">
        <f>IFERROR(100/'Skjema total MA'!C76*C76,0)</f>
        <v>13.602031417706561</v>
      </c>
      <c r="F76" s="230"/>
      <c r="G76" s="145"/>
      <c r="H76" s="165"/>
      <c r="I76" s="27"/>
      <c r="J76" s="283">
        <f t="shared" ref="J76" si="18">SUM(B76,F76)</f>
        <v>50756.781999999999</v>
      </c>
      <c r="K76" s="44">
        <f t="shared" ref="K76" si="19">SUM(C76,G76)</f>
        <v>74866.937210201198</v>
      </c>
      <c r="L76" s="250">
        <f t="shared" ref="L76" si="20">IF(J76=0, "    ---- ", IF(ABS(ROUND(100/J76*K76-100,1))&lt;999,ROUND(100/J76*K76-100,1),IF(ROUND(100/J76*K76-100,1)&gt;999,999,-999)))</f>
        <v>47.5</v>
      </c>
      <c r="M76" s="27">
        <f>IFERROR(100/'Skjema total MA'!I76*K76,0)</f>
        <v>13.602031417706561</v>
      </c>
      <c r="N76" s="148"/>
    </row>
    <row r="77" spans="1:14" ht="15.75" x14ac:dyDescent="0.2">
      <c r="A77" s="21" t="s">
        <v>376</v>
      </c>
      <c r="B77" s="230">
        <v>411027.01</v>
      </c>
      <c r="C77" s="230">
        <v>374794.97078979894</v>
      </c>
      <c r="D77" s="165">
        <f t="shared" si="13"/>
        <v>-8.8000000000000007</v>
      </c>
      <c r="E77" s="27">
        <f>IFERROR(100/'Skjema total MA'!C77*C77,0)</f>
        <v>20.108945587891291</v>
      </c>
      <c r="F77" s="230">
        <v>1519640</v>
      </c>
      <c r="G77" s="145">
        <v>1555065.868</v>
      </c>
      <c r="H77" s="165">
        <f t="shared" si="14"/>
        <v>2.2999999999999998</v>
      </c>
      <c r="I77" s="27">
        <f>IFERROR(100/'Skjema total MA'!F77*G77,0)</f>
        <v>16.377816341785177</v>
      </c>
      <c r="J77" s="283">
        <f t="shared" si="15"/>
        <v>1930667.01</v>
      </c>
      <c r="K77" s="44">
        <f t="shared" si="15"/>
        <v>1929860.838789799</v>
      </c>
      <c r="L77" s="250">
        <f t="shared" si="16"/>
        <v>0</v>
      </c>
      <c r="M77" s="27">
        <f>IFERROR(100/'Skjema total MA'!I77*K77,0)</f>
        <v>16.990044458539007</v>
      </c>
    </row>
    <row r="78" spans="1:14" x14ac:dyDescent="0.2">
      <c r="A78" s="21" t="s">
        <v>9</v>
      </c>
      <c r="B78" s="230">
        <v>407082.01</v>
      </c>
      <c r="C78" s="145">
        <v>374275.78878979897</v>
      </c>
      <c r="D78" s="165">
        <f t="shared" si="13"/>
        <v>-8.1</v>
      </c>
      <c r="E78" s="27">
        <f>IFERROR(100/'Skjema total MA'!C78*C78,0)</f>
        <v>20.182521253016805</v>
      </c>
      <c r="F78" s="230"/>
      <c r="G78" s="145"/>
      <c r="H78" s="165"/>
      <c r="I78" s="27"/>
      <c r="J78" s="283">
        <f t="shared" si="15"/>
        <v>407082.01</v>
      </c>
      <c r="K78" s="44">
        <f t="shared" si="15"/>
        <v>374275.78878979897</v>
      </c>
      <c r="L78" s="250">
        <f t="shared" si="16"/>
        <v>-8.1</v>
      </c>
      <c r="M78" s="27">
        <f>IFERROR(100/'Skjema total MA'!I78*K78,0)</f>
        <v>20.182521253016805</v>
      </c>
    </row>
    <row r="79" spans="1:14" x14ac:dyDescent="0.2">
      <c r="A79" s="38" t="s">
        <v>413</v>
      </c>
      <c r="B79" s="287">
        <v>3945</v>
      </c>
      <c r="C79" s="288">
        <v>519.18200000000002</v>
      </c>
      <c r="D79" s="165">
        <f t="shared" si="13"/>
        <v>-86.8</v>
      </c>
      <c r="E79" s="27">
        <f>IFERROR(100/'Skjema total MA'!C79*C79,0)</f>
        <v>5.5426571916126521</v>
      </c>
      <c r="F79" s="287">
        <v>1519640</v>
      </c>
      <c r="G79" s="288">
        <v>1555065.868</v>
      </c>
      <c r="H79" s="165">
        <f t="shared" si="14"/>
        <v>2.2999999999999998</v>
      </c>
      <c r="I79" s="27">
        <f>IFERROR(100/'Skjema total MA'!F79*G79,0)</f>
        <v>16.377816341785177</v>
      </c>
      <c r="J79" s="283">
        <f t="shared" si="15"/>
        <v>1523585</v>
      </c>
      <c r="K79" s="44">
        <f t="shared" si="15"/>
        <v>1555585.05</v>
      </c>
      <c r="L79" s="250">
        <f t="shared" si="16"/>
        <v>2.1</v>
      </c>
      <c r="M79" s="27">
        <f>IFERROR(100/'Skjema total MA'!I79*K79,0)</f>
        <v>16.367137703431805</v>
      </c>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v>5872.57</v>
      </c>
      <c r="C86" s="145">
        <v>5858.0919999999996</v>
      </c>
      <c r="D86" s="165">
        <f t="shared" si="13"/>
        <v>-0.2</v>
      </c>
      <c r="E86" s="27">
        <f>IFERROR(100/'Skjema total MA'!C86*C86,0)</f>
        <v>6.1412949936358183</v>
      </c>
      <c r="F86" s="230">
        <v>821.26199999999994</v>
      </c>
      <c r="G86" s="145">
        <v>1033.722</v>
      </c>
      <c r="H86" s="165">
        <f t="shared" si="14"/>
        <v>25.9</v>
      </c>
      <c r="I86" s="27">
        <f>IFERROR(100/'Skjema total MA'!F86*G86,0)</f>
        <v>28.390478522275981</v>
      </c>
      <c r="J86" s="283">
        <f t="shared" si="15"/>
        <v>6693.8319999999994</v>
      </c>
      <c r="K86" s="44">
        <f t="shared" si="15"/>
        <v>6891.8139999999994</v>
      </c>
      <c r="L86" s="250">
        <f t="shared" si="16"/>
        <v>3</v>
      </c>
      <c r="M86" s="27">
        <f>IFERROR(100/'Skjema total MA'!I86*K86,0)</f>
        <v>6.9593451947534488</v>
      </c>
    </row>
    <row r="87" spans="1:13" ht="15.75" x14ac:dyDescent="0.2">
      <c r="A87" s="13" t="s">
        <v>359</v>
      </c>
      <c r="B87" s="343">
        <v>49540260.639726602</v>
      </c>
      <c r="C87" s="343">
        <v>51270960.891452275</v>
      </c>
      <c r="D87" s="170">
        <f t="shared" si="13"/>
        <v>3.5</v>
      </c>
      <c r="E87" s="11">
        <f>IFERROR(100/'Skjema total MA'!C87*C87,0)</f>
        <v>12.673537124457068</v>
      </c>
      <c r="F87" s="342">
        <v>60476655.186910003</v>
      </c>
      <c r="G87" s="342">
        <v>69826355.017305002</v>
      </c>
      <c r="H87" s="170">
        <f t="shared" si="14"/>
        <v>15.5</v>
      </c>
      <c r="I87" s="11">
        <f>IFERROR(100/'Skjema total MA'!F87*G87,0)</f>
        <v>15.757876040537761</v>
      </c>
      <c r="J87" s="302">
        <f t="shared" ref="J87:K111" si="21">SUM(B87,F87)</f>
        <v>110016915.82663661</v>
      </c>
      <c r="K87" s="232">
        <f t="shared" si="21"/>
        <v>121097315.90875727</v>
      </c>
      <c r="L87" s="414">
        <f t="shared" si="16"/>
        <v>10.1</v>
      </c>
      <c r="M87" s="11">
        <f>IFERROR(100/'Skjema total MA'!I87*K87,0)</f>
        <v>14.285875244101625</v>
      </c>
    </row>
    <row r="88" spans="1:13" x14ac:dyDescent="0.2">
      <c r="A88" s="21" t="s">
        <v>9</v>
      </c>
      <c r="B88" s="230">
        <v>48020633.194726601</v>
      </c>
      <c r="C88" s="145">
        <v>49672596.709401101</v>
      </c>
      <c r="D88" s="165">
        <f t="shared" si="13"/>
        <v>3.4</v>
      </c>
      <c r="E88" s="27">
        <f>IFERROR(100/'Skjema total MA'!C88*C88,0)</f>
        <v>12.727656877612322</v>
      </c>
      <c r="F88" s="230"/>
      <c r="G88" s="145"/>
      <c r="H88" s="165"/>
      <c r="I88" s="27"/>
      <c r="J88" s="283">
        <f t="shared" si="21"/>
        <v>48020633.194726601</v>
      </c>
      <c r="K88" s="44">
        <f t="shared" si="21"/>
        <v>49672596.709401101</v>
      </c>
      <c r="L88" s="250">
        <f t="shared" si="16"/>
        <v>3.4</v>
      </c>
      <c r="M88" s="27">
        <f>IFERROR(100/'Skjema total MA'!I88*K88,0)</f>
        <v>12.727656877612322</v>
      </c>
    </row>
    <row r="89" spans="1:13" x14ac:dyDescent="0.2">
      <c r="A89" s="21" t="s">
        <v>10</v>
      </c>
      <c r="B89" s="230">
        <v>1244058.8030000001</v>
      </c>
      <c r="C89" s="145">
        <v>1282105.0440511799</v>
      </c>
      <c r="D89" s="165">
        <f t="shared" si="13"/>
        <v>3.1</v>
      </c>
      <c r="E89" s="27">
        <f>IFERROR(100/'Skjema total MA'!C89*C89,0)</f>
        <v>40.572265628193023</v>
      </c>
      <c r="F89" s="230">
        <v>60476655.186910003</v>
      </c>
      <c r="G89" s="145">
        <v>69826355.017305002</v>
      </c>
      <c r="H89" s="165">
        <f t="shared" si="14"/>
        <v>15.5</v>
      </c>
      <c r="I89" s="27">
        <f>IFERROR(100/'Skjema total MA'!F89*G89,0)</f>
        <v>15.936776009624259</v>
      </c>
      <c r="J89" s="283">
        <f t="shared" si="21"/>
        <v>61720713.989910007</v>
      </c>
      <c r="K89" s="44">
        <f t="shared" si="21"/>
        <v>71108460.061356187</v>
      </c>
      <c r="L89" s="250">
        <f t="shared" si="16"/>
        <v>15.2</v>
      </c>
      <c r="M89" s="27">
        <f>IFERROR(100/'Skjema total MA'!I89*K89,0)</f>
        <v>16.113182926875261</v>
      </c>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v>275568.64199999999</v>
      </c>
      <c r="C97" s="145">
        <v>316259.13799999998</v>
      </c>
      <c r="D97" s="165">
        <f t="shared" ref="D97" si="22">IF(B97=0, "    ---- ", IF(ABS(ROUND(100/B97*C97-100,1))&lt;999,ROUND(100/B97*C97-100,1),IF(ROUND(100/B97*C97-100,1)&gt;999,999,-999)))</f>
        <v>14.8</v>
      </c>
      <c r="E97" s="27">
        <f>IFERROR(100/'Skjema total MA'!C98*C97,0)</f>
        <v>8.1312803931212166E-2</v>
      </c>
      <c r="F97" s="230"/>
      <c r="G97" s="145"/>
      <c r="H97" s="165"/>
      <c r="I97" s="27"/>
      <c r="J97" s="283">
        <f t="shared" ref="J97" si="23">SUM(B97,F97)</f>
        <v>275568.64199999999</v>
      </c>
      <c r="K97" s="44">
        <f t="shared" ref="K97" si="24">SUM(C97,G97)</f>
        <v>316259.13799999998</v>
      </c>
      <c r="L97" s="250">
        <f t="shared" ref="L97" si="25">IF(J97=0, "    ---- ", IF(ABS(ROUND(100/J97*K97-100,1))&lt;999,ROUND(100/J97*K97-100,1),IF(ROUND(100/J97*K97-100,1)&gt;999,999,-999)))</f>
        <v>14.8</v>
      </c>
      <c r="M97" s="27">
        <f>IFERROR(100/'Skjema total MA'!I98*K97,0)</f>
        <v>3.8278118533541357E-2</v>
      </c>
    </row>
    <row r="98" spans="1:13" ht="15.75" x14ac:dyDescent="0.2">
      <c r="A98" s="21" t="s">
        <v>376</v>
      </c>
      <c r="B98" s="230">
        <v>49250164.025726601</v>
      </c>
      <c r="C98" s="230">
        <v>50943538.81645228</v>
      </c>
      <c r="D98" s="165">
        <f t="shared" si="13"/>
        <v>3.4</v>
      </c>
      <c r="E98" s="27">
        <f>IFERROR(100/'Skjema total MA'!C98*C98,0)</f>
        <v>13.097999348067157</v>
      </c>
      <c r="F98" s="287">
        <v>60464133.774910003</v>
      </c>
      <c r="G98" s="287">
        <v>69813067.922305003</v>
      </c>
      <c r="H98" s="165">
        <f t="shared" si="14"/>
        <v>15.5</v>
      </c>
      <c r="I98" s="27">
        <f>IFERROR(100/'Skjema total MA'!F98*G98,0)</f>
        <v>15.965573676827171</v>
      </c>
      <c r="J98" s="283">
        <f t="shared" si="21"/>
        <v>109714297.8006366</v>
      </c>
      <c r="K98" s="44">
        <f t="shared" si="21"/>
        <v>120756606.73875728</v>
      </c>
      <c r="L98" s="250">
        <f t="shared" si="16"/>
        <v>10.1</v>
      </c>
      <c r="M98" s="27">
        <f>IFERROR(100/'Skjema total MA'!I98*K98,0)</f>
        <v>14.615658967787329</v>
      </c>
    </row>
    <row r="99" spans="1:13" x14ac:dyDescent="0.2">
      <c r="A99" s="21" t="s">
        <v>9</v>
      </c>
      <c r="B99" s="287">
        <v>48006105.222726598</v>
      </c>
      <c r="C99" s="288">
        <v>49661433.772401102</v>
      </c>
      <c r="D99" s="165">
        <f t="shared" si="13"/>
        <v>3.4</v>
      </c>
      <c r="E99" s="27">
        <f>IFERROR(100/'Skjema total MA'!C99*C99,0)</f>
        <v>12.872949225339182</v>
      </c>
      <c r="F99" s="230"/>
      <c r="G99" s="145"/>
      <c r="H99" s="165"/>
      <c r="I99" s="27"/>
      <c r="J99" s="283">
        <f t="shared" si="21"/>
        <v>48006105.222726598</v>
      </c>
      <c r="K99" s="44">
        <f t="shared" si="21"/>
        <v>49661433.772401102</v>
      </c>
      <c r="L99" s="250">
        <f t="shared" si="16"/>
        <v>3.4</v>
      </c>
      <c r="M99" s="27">
        <f>IFERROR(100/'Skjema total MA'!I99*K99,0)</f>
        <v>12.872949225339182</v>
      </c>
    </row>
    <row r="100" spans="1:13" x14ac:dyDescent="0.2">
      <c r="A100" s="38" t="s">
        <v>413</v>
      </c>
      <c r="B100" s="287">
        <v>1244058.8030000001</v>
      </c>
      <c r="C100" s="288">
        <v>1282105.0440511799</v>
      </c>
      <c r="D100" s="165">
        <f t="shared" si="13"/>
        <v>3.1</v>
      </c>
      <c r="E100" s="27">
        <f>IFERROR(100/'Skjema total MA'!C100*C100,0)</f>
        <v>40.572265628193023</v>
      </c>
      <c r="F100" s="230">
        <v>60464133.774910003</v>
      </c>
      <c r="G100" s="230">
        <v>69813067.922305003</v>
      </c>
      <c r="H100" s="165">
        <f t="shared" si="14"/>
        <v>15.5</v>
      </c>
      <c r="I100" s="27">
        <f>IFERROR(100/'Skjema total MA'!F100*G100,0)</f>
        <v>15.965573676827171</v>
      </c>
      <c r="J100" s="283">
        <f t="shared" si="21"/>
        <v>61708192.577910006</v>
      </c>
      <c r="K100" s="44">
        <f t="shared" si="21"/>
        <v>71095172.966356188</v>
      </c>
      <c r="L100" s="250">
        <f t="shared" si="16"/>
        <v>15.2</v>
      </c>
      <c r="M100" s="27">
        <f>IFERROR(100/'Skjema total MA'!I100*K100,0)</f>
        <v>16.142123847161518</v>
      </c>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v>14527.972</v>
      </c>
      <c r="C107" s="145">
        <v>11162.937</v>
      </c>
      <c r="D107" s="165">
        <f t="shared" si="13"/>
        <v>-23.2</v>
      </c>
      <c r="E107" s="27">
        <f>IFERROR(100/'Skjema total MA'!C107*C107,0)</f>
        <v>0.24852994763853434</v>
      </c>
      <c r="F107" s="230">
        <v>12521.412</v>
      </c>
      <c r="G107" s="145">
        <v>13287.094999999999</v>
      </c>
      <c r="H107" s="165">
        <f t="shared" si="14"/>
        <v>6.1</v>
      </c>
      <c r="I107" s="27">
        <f>IFERROR(100/'Skjema total MA'!F107*G107,0)</f>
        <v>1.5210929784546217</v>
      </c>
      <c r="J107" s="283">
        <f t="shared" si="21"/>
        <v>27049.383999999998</v>
      </c>
      <c r="K107" s="44">
        <f t="shared" si="21"/>
        <v>24450.031999999999</v>
      </c>
      <c r="L107" s="250">
        <f t="shared" si="16"/>
        <v>-9.6</v>
      </c>
      <c r="M107" s="27">
        <f>IFERROR(100/'Skjema total MA'!I107*K107,0)</f>
        <v>0.45572291976389934</v>
      </c>
    </row>
    <row r="108" spans="1:13" ht="15.75" x14ac:dyDescent="0.2">
      <c r="A108" s="21" t="s">
        <v>378</v>
      </c>
      <c r="B108" s="230">
        <v>38617754.771732502</v>
      </c>
      <c r="C108" s="230">
        <v>39198074.983036198</v>
      </c>
      <c r="D108" s="165">
        <f t="shared" si="13"/>
        <v>1.5</v>
      </c>
      <c r="E108" s="27">
        <f>IFERROR(100/'Skjema total MA'!C108*C108,0)</f>
        <v>11.696790100175619</v>
      </c>
      <c r="F108" s="230"/>
      <c r="G108" s="230"/>
      <c r="H108" s="165"/>
      <c r="I108" s="27"/>
      <c r="J108" s="283">
        <f t="shared" si="21"/>
        <v>38617754.771732502</v>
      </c>
      <c r="K108" s="44">
        <f t="shared" si="21"/>
        <v>39198074.983036198</v>
      </c>
      <c r="L108" s="250">
        <f t="shared" si="16"/>
        <v>1.5</v>
      </c>
      <c r="M108" s="27">
        <f>IFERROR(100/'Skjema total MA'!I108*K108,0)</f>
        <v>11.02618559711739</v>
      </c>
    </row>
    <row r="109" spans="1:13" ht="15.6" customHeight="1" x14ac:dyDescent="0.2">
      <c r="A109" s="21" t="s">
        <v>430</v>
      </c>
      <c r="B109" s="230">
        <v>821889.04500000004</v>
      </c>
      <c r="C109" s="230">
        <v>972186.07971184806</v>
      </c>
      <c r="D109" s="165">
        <f t="shared" si="13"/>
        <v>18.3</v>
      </c>
      <c r="E109" s="27">
        <f>IFERROR(100/'Skjema total MA'!C109*C109,0)</f>
        <v>52.811020989089279</v>
      </c>
      <c r="F109" s="230">
        <v>23478481.266656</v>
      </c>
      <c r="G109" s="230">
        <v>27720614.978757199</v>
      </c>
      <c r="H109" s="165">
        <f t="shared" si="14"/>
        <v>18.100000000000001</v>
      </c>
      <c r="I109" s="27">
        <f>IFERROR(100/'Skjema total MA'!F109*G109,0)</f>
        <v>17.899436979797976</v>
      </c>
      <c r="J109" s="283">
        <f t="shared" si="21"/>
        <v>24300370.311656002</v>
      </c>
      <c r="K109" s="44">
        <f t="shared" si="21"/>
        <v>28692801.058469046</v>
      </c>
      <c r="L109" s="250">
        <f t="shared" si="16"/>
        <v>18.100000000000001</v>
      </c>
      <c r="M109" s="27">
        <f>IFERROR(100/'Skjema total MA'!I109*K109,0)</f>
        <v>18.309545706076722</v>
      </c>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c r="C111" s="158"/>
      <c r="D111" s="170"/>
      <c r="E111" s="11"/>
      <c r="F111" s="301">
        <v>1494317</v>
      </c>
      <c r="G111" s="158">
        <v>1956231.966</v>
      </c>
      <c r="H111" s="170">
        <f t="shared" si="14"/>
        <v>30.9</v>
      </c>
      <c r="I111" s="11">
        <f>IFERROR(100/'Skjema total MA'!F111*G111,0)</f>
        <v>17.299599088496773</v>
      </c>
      <c r="J111" s="302">
        <f t="shared" si="21"/>
        <v>1494317</v>
      </c>
      <c r="K111" s="232">
        <f t="shared" si="21"/>
        <v>1956231.966</v>
      </c>
      <c r="L111" s="414">
        <f t="shared" si="16"/>
        <v>30.9</v>
      </c>
      <c r="M111" s="11">
        <f>IFERROR(100/'Skjema total MA'!I111*K111,0)</f>
        <v>16.788299391259656</v>
      </c>
    </row>
    <row r="112" spans="1:13" x14ac:dyDescent="0.2">
      <c r="A112" s="21" t="s">
        <v>9</v>
      </c>
      <c r="B112" s="230"/>
      <c r="C112" s="145"/>
      <c r="D112" s="165"/>
      <c r="E112" s="27"/>
      <c r="F112" s="230"/>
      <c r="G112" s="145"/>
      <c r="H112" s="165"/>
      <c r="I112" s="27"/>
      <c r="J112" s="283"/>
      <c r="K112" s="44"/>
      <c r="L112" s="250"/>
      <c r="M112" s="27"/>
    </row>
    <row r="113" spans="1:14" x14ac:dyDescent="0.2">
      <c r="A113" s="21" t="s">
        <v>10</v>
      </c>
      <c r="B113" s="230"/>
      <c r="C113" s="145"/>
      <c r="D113" s="165"/>
      <c r="E113" s="27"/>
      <c r="F113" s="230">
        <v>1494317</v>
      </c>
      <c r="G113" s="145">
        <v>1956231.966</v>
      </c>
      <c r="H113" s="165">
        <f t="shared" ref="H113:H125" si="26">IF(F113=0, "    ---- ", IF(ABS(ROUND(100/F113*G113-100,1))&lt;999,ROUND(100/F113*G113-100,1),IF(ROUND(100/F113*G113-100,1)&gt;999,999,-999)))</f>
        <v>30.9</v>
      </c>
      <c r="I113" s="27">
        <f>IFERROR(100/'Skjema total MA'!F113*G113,0)</f>
        <v>17.299872858239382</v>
      </c>
      <c r="J113" s="283">
        <f t="shared" ref="J113:K125" si="27">SUM(B113,F113)</f>
        <v>1494317</v>
      </c>
      <c r="K113" s="44">
        <f t="shared" si="27"/>
        <v>1956231.966</v>
      </c>
      <c r="L113" s="250">
        <f t="shared" ref="L113:L125" si="28">IF(J113=0, "    ---- ", IF(ABS(ROUND(100/J113*K113-100,1))&lt;999,ROUND(100/J113*K113-100,1),IF(ROUND(100/J113*K113-100,1)&gt;999,999,-999)))</f>
        <v>30.9</v>
      </c>
      <c r="M113" s="27">
        <f>IFERROR(100/'Skjema total MA'!I113*K113,0)</f>
        <v>17.299872858239382</v>
      </c>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c r="C116" s="230"/>
      <c r="D116" s="165"/>
      <c r="E116" s="27"/>
      <c r="F116" s="230"/>
      <c r="G116" s="230"/>
      <c r="H116" s="165"/>
      <c r="I116" s="27"/>
      <c r="J116" s="283"/>
      <c r="K116" s="44"/>
      <c r="L116" s="250"/>
      <c r="M116" s="27"/>
    </row>
    <row r="117" spans="1:14" ht="15.6" customHeight="1" x14ac:dyDescent="0.2">
      <c r="A117" s="21" t="s">
        <v>430</v>
      </c>
      <c r="B117" s="230"/>
      <c r="C117" s="230"/>
      <c r="D117" s="165"/>
      <c r="E117" s="27"/>
      <c r="F117" s="230">
        <v>202731.236</v>
      </c>
      <c r="G117" s="230">
        <v>1263050.7479999999</v>
      </c>
      <c r="H117" s="165">
        <f t="shared" si="26"/>
        <v>523</v>
      </c>
      <c r="I117" s="27">
        <f>IFERROR(100/'Skjema total MA'!F117*G117,0)</f>
        <v>21.948634753349957</v>
      </c>
      <c r="J117" s="283">
        <f t="shared" si="27"/>
        <v>202731.236</v>
      </c>
      <c r="K117" s="44">
        <f t="shared" si="27"/>
        <v>1263050.7479999999</v>
      </c>
      <c r="L117" s="250">
        <f t="shared" si="28"/>
        <v>523</v>
      </c>
      <c r="M117" s="27">
        <f>IFERROR(100/'Skjema total MA'!I117*K117,0)</f>
        <v>21.948634753349957</v>
      </c>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v>1770</v>
      </c>
      <c r="C119" s="158">
        <v>1674.7185800001</v>
      </c>
      <c r="D119" s="170">
        <f t="shared" ref="D119:D120" si="29">IF(B119=0, "    ---- ", IF(ABS(ROUND(100/B119*C119-100,1))&lt;999,ROUND(100/B119*C119-100,1),IF(ROUND(100/B119*C119-100,1)&gt;999,999,-999)))</f>
        <v>-5.4</v>
      </c>
      <c r="E119" s="11">
        <f>IFERROR(100/'Skjema total MA'!C119*C119,0)</f>
        <v>0.47106352010936026</v>
      </c>
      <c r="F119" s="301">
        <v>1778748</v>
      </c>
      <c r="G119" s="158">
        <v>1610545.585</v>
      </c>
      <c r="H119" s="170">
        <f t="shared" si="26"/>
        <v>-9.5</v>
      </c>
      <c r="I119" s="11">
        <f>IFERROR(100/'Skjema total MA'!F119*G119,0)</f>
        <v>13.2860903979836</v>
      </c>
      <c r="J119" s="302">
        <f t="shared" si="27"/>
        <v>1780518</v>
      </c>
      <c r="K119" s="232">
        <f t="shared" si="27"/>
        <v>1612220.3035800001</v>
      </c>
      <c r="L119" s="414">
        <f t="shared" si="28"/>
        <v>-9.5</v>
      </c>
      <c r="M119" s="11">
        <f>IFERROR(100/'Skjema total MA'!I119*K119,0)</f>
        <v>12.920956490496508</v>
      </c>
    </row>
    <row r="120" spans="1:14" x14ac:dyDescent="0.2">
      <c r="A120" s="21" t="s">
        <v>9</v>
      </c>
      <c r="B120" s="230">
        <v>1770</v>
      </c>
      <c r="C120" s="145">
        <v>1674.7185800001</v>
      </c>
      <c r="D120" s="165">
        <f t="shared" si="29"/>
        <v>-5.4</v>
      </c>
      <c r="E120" s="27">
        <f>IFERROR(100/'Skjema total MA'!C120*C120,0)</f>
        <v>1.9308200576317813</v>
      </c>
      <c r="F120" s="230"/>
      <c r="G120" s="145"/>
      <c r="H120" s="165"/>
      <c r="I120" s="27"/>
      <c r="J120" s="283">
        <f t="shared" si="27"/>
        <v>1770</v>
      </c>
      <c r="K120" s="44">
        <f t="shared" si="27"/>
        <v>1674.7185800001</v>
      </c>
      <c r="L120" s="250">
        <f t="shared" si="28"/>
        <v>-5.4</v>
      </c>
      <c r="M120" s="27">
        <f>IFERROR(100/'Skjema total MA'!I120*K120,0)</f>
        <v>1.9308200576317813</v>
      </c>
    </row>
    <row r="121" spans="1:14" x14ac:dyDescent="0.2">
      <c r="A121" s="21" t="s">
        <v>10</v>
      </c>
      <c r="B121" s="230"/>
      <c r="C121" s="145"/>
      <c r="D121" s="165"/>
      <c r="E121" s="27"/>
      <c r="F121" s="230">
        <v>1778748</v>
      </c>
      <c r="G121" s="145">
        <v>1610545.585</v>
      </c>
      <c r="H121" s="165">
        <f t="shared" si="26"/>
        <v>-9.5</v>
      </c>
      <c r="I121" s="27">
        <f>IFERROR(100/'Skjema total MA'!F121*G121,0)</f>
        <v>13.2860903979836</v>
      </c>
      <c r="J121" s="283">
        <f t="shared" si="27"/>
        <v>1778748</v>
      </c>
      <c r="K121" s="44">
        <f t="shared" si="27"/>
        <v>1610545.585</v>
      </c>
      <c r="L121" s="250">
        <f t="shared" si="28"/>
        <v>-9.5</v>
      </c>
      <c r="M121" s="27">
        <f>IFERROR(100/'Skjema total MA'!I121*K121,0)</f>
        <v>13.280484920282589</v>
      </c>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c r="C125" s="230"/>
      <c r="D125" s="165"/>
      <c r="E125" s="27"/>
      <c r="F125" s="230">
        <v>751756.87800000003</v>
      </c>
      <c r="G125" s="230">
        <v>1131947.7080000001</v>
      </c>
      <c r="H125" s="165">
        <f t="shared" si="26"/>
        <v>50.6</v>
      </c>
      <c r="I125" s="27">
        <f>IFERROR(100/'Skjema total MA'!F125*G125,0)</f>
        <v>19.914807901595559</v>
      </c>
      <c r="J125" s="283">
        <f t="shared" si="27"/>
        <v>751756.87800000003</v>
      </c>
      <c r="K125" s="44">
        <f t="shared" si="27"/>
        <v>1131947.7080000001</v>
      </c>
      <c r="L125" s="250">
        <f t="shared" si="28"/>
        <v>50.6</v>
      </c>
      <c r="M125" s="27">
        <f>IFERROR(100/'Skjema total MA'!I125*K125,0)</f>
        <v>19.914750528494675</v>
      </c>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292"/>
      <c r="F130" s="724"/>
      <c r="G130" s="724"/>
      <c r="H130" s="724"/>
      <c r="I130" s="292"/>
      <c r="J130" s="724"/>
      <c r="K130" s="724"/>
      <c r="L130" s="724"/>
      <c r="M130" s="292"/>
    </row>
    <row r="131" spans="1:14" s="3" customFormat="1" x14ac:dyDescent="0.2">
      <c r="A131" s="144"/>
      <c r="B131" s="725" t="s">
        <v>0</v>
      </c>
      <c r="C131" s="726"/>
      <c r="D131" s="726"/>
      <c r="E131" s="294"/>
      <c r="F131" s="725" t="s">
        <v>1</v>
      </c>
      <c r="G131" s="726"/>
      <c r="H131" s="726"/>
      <c r="I131" s="297"/>
      <c r="J131" s="725" t="s">
        <v>2</v>
      </c>
      <c r="K131" s="726"/>
      <c r="L131" s="726"/>
      <c r="M131" s="297"/>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c r="C134" s="302"/>
      <c r="D134" s="340"/>
      <c r="E134" s="11"/>
      <c r="F134" s="309"/>
      <c r="G134" s="310"/>
      <c r="H134" s="417"/>
      <c r="I134" s="24"/>
      <c r="J134" s="311"/>
      <c r="K134" s="311"/>
      <c r="L134" s="413"/>
      <c r="M134" s="11"/>
      <c r="N134" s="148"/>
    </row>
    <row r="135" spans="1:14" s="3" customFormat="1" ht="15.75" x14ac:dyDescent="0.2">
      <c r="A135" s="13" t="s">
        <v>386</v>
      </c>
      <c r="B135" s="232"/>
      <c r="C135" s="302"/>
      <c r="D135" s="170"/>
      <c r="E135" s="11"/>
      <c r="F135" s="232"/>
      <c r="G135" s="302"/>
      <c r="H135" s="418"/>
      <c r="I135" s="24"/>
      <c r="J135" s="301"/>
      <c r="K135" s="301"/>
      <c r="L135" s="414"/>
      <c r="M135" s="11"/>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07" priority="12">
      <formula>kvartal &lt; 4</formula>
    </cfRule>
  </conditionalFormatting>
  <conditionalFormatting sqref="A69:A74">
    <cfRule type="expression" dxfId="306" priority="10">
      <formula>kvartal &lt; 4</formula>
    </cfRule>
  </conditionalFormatting>
  <conditionalFormatting sqref="A80:A85">
    <cfRule type="expression" dxfId="305" priority="9">
      <formula>kvartal &lt; 4</formula>
    </cfRule>
  </conditionalFormatting>
  <conditionalFormatting sqref="A90:A95">
    <cfRule type="expression" dxfId="304" priority="6">
      <formula>kvartal &lt; 4</formula>
    </cfRule>
  </conditionalFormatting>
  <conditionalFormatting sqref="A101:A106">
    <cfRule type="expression" dxfId="303" priority="5">
      <formula>kvartal &lt; 4</formula>
    </cfRule>
  </conditionalFormatting>
  <conditionalFormatting sqref="A115">
    <cfRule type="expression" dxfId="302" priority="4">
      <formula>kvartal &lt; 4</formula>
    </cfRule>
  </conditionalFormatting>
  <conditionalFormatting sqref="A123">
    <cfRule type="expression" dxfId="301" priority="3">
      <formula>kvartal &lt; 4</formula>
    </cfRule>
  </conditionalFormatting>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N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244" t="s">
        <v>94</v>
      </c>
      <c r="D1" s="26"/>
      <c r="E1" s="26"/>
      <c r="F1" s="26"/>
      <c r="G1" s="26"/>
      <c r="H1" s="26"/>
      <c r="I1" s="26"/>
      <c r="J1" s="26"/>
      <c r="K1" s="26"/>
      <c r="L1" s="26"/>
      <c r="M1" s="26"/>
    </row>
    <row r="2" spans="1:14" ht="15.75" x14ac:dyDescent="0.25">
      <c r="A2" s="164" t="s">
        <v>28</v>
      </c>
      <c r="B2" s="729"/>
      <c r="C2" s="729"/>
      <c r="D2" s="729"/>
      <c r="E2" s="292"/>
      <c r="F2" s="729"/>
      <c r="G2" s="729"/>
      <c r="H2" s="729"/>
      <c r="I2" s="292"/>
      <c r="J2" s="729"/>
      <c r="K2" s="729"/>
      <c r="L2" s="729"/>
      <c r="M2" s="292"/>
    </row>
    <row r="3" spans="1:14" ht="15.75" x14ac:dyDescent="0.25">
      <c r="A3" s="162"/>
      <c r="B3" s="292"/>
      <c r="C3" s="292"/>
      <c r="D3" s="292"/>
      <c r="E3" s="292"/>
      <c r="F3" s="292"/>
      <c r="G3" s="292"/>
      <c r="H3" s="292"/>
      <c r="I3" s="292"/>
      <c r="J3" s="292"/>
      <c r="K3" s="292"/>
      <c r="L3" s="292"/>
      <c r="M3" s="292"/>
    </row>
    <row r="4" spans="1:14" x14ac:dyDescent="0.2">
      <c r="A4" s="144"/>
      <c r="B4" s="725" t="s">
        <v>0</v>
      </c>
      <c r="C4" s="726"/>
      <c r="D4" s="726"/>
      <c r="E4" s="294"/>
      <c r="F4" s="725" t="s">
        <v>1</v>
      </c>
      <c r="G4" s="726"/>
      <c r="H4" s="726"/>
      <c r="I4" s="297"/>
      <c r="J4" s="725" t="s">
        <v>2</v>
      </c>
      <c r="K4" s="726"/>
      <c r="L4" s="726"/>
      <c r="M4" s="297"/>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c r="C7" s="300"/>
      <c r="D7" s="340"/>
      <c r="E7" s="11"/>
      <c r="F7" s="299"/>
      <c r="G7" s="300"/>
      <c r="H7" s="340"/>
      <c r="I7" s="159"/>
      <c r="J7" s="301"/>
      <c r="K7" s="302"/>
      <c r="L7" s="413"/>
      <c r="M7" s="11"/>
    </row>
    <row r="8" spans="1:14" ht="15.75" x14ac:dyDescent="0.2">
      <c r="A8" s="21" t="s">
        <v>25</v>
      </c>
      <c r="B8" s="277"/>
      <c r="C8" s="278"/>
      <c r="D8" s="165"/>
      <c r="E8" s="27"/>
      <c r="F8" s="281"/>
      <c r="G8" s="282"/>
      <c r="H8" s="165"/>
      <c r="I8" s="174"/>
      <c r="J8" s="230"/>
      <c r="K8" s="283"/>
      <c r="L8" s="165"/>
      <c r="M8" s="27"/>
    </row>
    <row r="9" spans="1:14" ht="15.75" x14ac:dyDescent="0.2">
      <c r="A9" s="21" t="s">
        <v>24</v>
      </c>
      <c r="B9" s="277"/>
      <c r="C9" s="278"/>
      <c r="D9" s="165"/>
      <c r="E9" s="27"/>
      <c r="F9" s="281"/>
      <c r="G9" s="282"/>
      <c r="H9" s="165"/>
      <c r="I9" s="174"/>
      <c r="J9" s="230"/>
      <c r="K9" s="283"/>
      <c r="L9" s="165"/>
      <c r="M9" s="27"/>
    </row>
    <row r="10" spans="1:14" ht="15.75" x14ac:dyDescent="0.2">
      <c r="A10" s="13" t="s">
        <v>359</v>
      </c>
      <c r="B10" s="303"/>
      <c r="C10" s="304"/>
      <c r="D10" s="170"/>
      <c r="E10" s="11"/>
      <c r="F10" s="303"/>
      <c r="G10" s="304"/>
      <c r="H10" s="170"/>
      <c r="I10" s="159"/>
      <c r="J10" s="301"/>
      <c r="K10" s="302"/>
      <c r="L10" s="414"/>
      <c r="M10" s="11"/>
    </row>
    <row r="11" spans="1:14" s="43" customFormat="1" ht="15.75" x14ac:dyDescent="0.2">
      <c r="A11" s="13" t="s">
        <v>360</v>
      </c>
      <c r="B11" s="303"/>
      <c r="C11" s="304"/>
      <c r="D11" s="170"/>
      <c r="E11" s="11"/>
      <c r="F11" s="303"/>
      <c r="G11" s="304"/>
      <c r="H11" s="170"/>
      <c r="I11" s="159"/>
      <c r="J11" s="301"/>
      <c r="K11" s="302"/>
      <c r="L11" s="414"/>
      <c r="M11" s="11"/>
      <c r="N11" s="143"/>
    </row>
    <row r="12" spans="1:14" s="43" customFormat="1" ht="15.75" x14ac:dyDescent="0.2">
      <c r="A12" s="41" t="s">
        <v>361</v>
      </c>
      <c r="B12" s="305"/>
      <c r="C12" s="306"/>
      <c r="D12" s="168"/>
      <c r="E12" s="36"/>
      <c r="F12" s="305"/>
      <c r="G12" s="306"/>
      <c r="H12" s="168"/>
      <c r="I12" s="168"/>
      <c r="J12" s="307"/>
      <c r="K12" s="308"/>
      <c r="L12" s="415"/>
      <c r="M12" s="36"/>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292"/>
      <c r="F18" s="724"/>
      <c r="G18" s="724"/>
      <c r="H18" s="724"/>
      <c r="I18" s="292"/>
      <c r="J18" s="724"/>
      <c r="K18" s="724"/>
      <c r="L18" s="724"/>
      <c r="M18" s="292"/>
    </row>
    <row r="19" spans="1:14" x14ac:dyDescent="0.2">
      <c r="A19" s="144"/>
      <c r="B19" s="725" t="s">
        <v>0</v>
      </c>
      <c r="C19" s="726"/>
      <c r="D19" s="726"/>
      <c r="E19" s="294"/>
      <c r="F19" s="725" t="s">
        <v>1</v>
      </c>
      <c r="G19" s="726"/>
      <c r="H19" s="726"/>
      <c r="I19" s="297"/>
      <c r="J19" s="725" t="s">
        <v>2</v>
      </c>
      <c r="K19" s="726"/>
      <c r="L19" s="726"/>
      <c r="M19" s="297"/>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303"/>
      <c r="C22" s="303"/>
      <c r="D22" s="340"/>
      <c r="E22" s="11"/>
      <c r="F22" s="311"/>
      <c r="G22" s="311"/>
      <c r="H22" s="340"/>
      <c r="I22" s="11"/>
      <c r="J22" s="309"/>
      <c r="K22" s="309"/>
      <c r="L22" s="413"/>
      <c r="M22" s="24"/>
    </row>
    <row r="23" spans="1:14" ht="15.75" x14ac:dyDescent="0.2">
      <c r="A23" s="555" t="s">
        <v>362</v>
      </c>
      <c r="B23" s="277"/>
      <c r="C23" s="277"/>
      <c r="D23" s="165"/>
      <c r="E23" s="11"/>
      <c r="F23" s="286"/>
      <c r="G23" s="286"/>
      <c r="H23" s="165"/>
      <c r="I23" s="403"/>
      <c r="J23" s="286"/>
      <c r="K23" s="286"/>
      <c r="L23" s="165"/>
      <c r="M23" s="23"/>
    </row>
    <row r="24" spans="1:14" ht="15.75" x14ac:dyDescent="0.2">
      <c r="A24" s="555" t="s">
        <v>363</v>
      </c>
      <c r="B24" s="277"/>
      <c r="C24" s="277"/>
      <c r="D24" s="165"/>
      <c r="E24" s="11"/>
      <c r="F24" s="286"/>
      <c r="G24" s="286"/>
      <c r="H24" s="165"/>
      <c r="I24" s="403"/>
      <c r="J24" s="286"/>
      <c r="K24" s="286"/>
      <c r="L24" s="165"/>
      <c r="M24" s="23"/>
    </row>
    <row r="25" spans="1:14" ht="15.75" x14ac:dyDescent="0.2">
      <c r="A25" s="555" t="s">
        <v>364</v>
      </c>
      <c r="B25" s="277"/>
      <c r="C25" s="277"/>
      <c r="D25" s="165"/>
      <c r="E25" s="11"/>
      <c r="F25" s="286"/>
      <c r="G25" s="286"/>
      <c r="H25" s="165"/>
      <c r="I25" s="403"/>
      <c r="J25" s="286"/>
      <c r="K25" s="286"/>
      <c r="L25" s="165"/>
      <c r="M25" s="23"/>
    </row>
    <row r="26" spans="1:14" ht="15.75" x14ac:dyDescent="0.2">
      <c r="A26" s="555" t="s">
        <v>365</v>
      </c>
      <c r="B26" s="277"/>
      <c r="C26" s="277"/>
      <c r="D26" s="165"/>
      <c r="E26" s="11"/>
      <c r="F26" s="286"/>
      <c r="G26" s="286"/>
      <c r="H26" s="165"/>
      <c r="I26" s="403"/>
      <c r="J26" s="286"/>
      <c r="K26" s="286"/>
      <c r="L26" s="165"/>
      <c r="M26" s="23"/>
    </row>
    <row r="27" spans="1:14" x14ac:dyDescent="0.2">
      <c r="A27" s="555" t="s">
        <v>11</v>
      </c>
      <c r="B27" s="277"/>
      <c r="C27" s="277"/>
      <c r="D27" s="165"/>
      <c r="E27" s="11"/>
      <c r="F27" s="286"/>
      <c r="G27" s="286"/>
      <c r="H27" s="165"/>
      <c r="I27" s="403"/>
      <c r="J27" s="286"/>
      <c r="K27" s="286"/>
      <c r="L27" s="165"/>
      <c r="M27" s="23"/>
    </row>
    <row r="28" spans="1:14" ht="15.75" x14ac:dyDescent="0.2">
      <c r="A28" s="49" t="s">
        <v>270</v>
      </c>
      <c r="B28" s="44"/>
      <c r="C28" s="283"/>
      <c r="D28" s="165"/>
      <c r="E28" s="11"/>
      <c r="F28" s="230"/>
      <c r="G28" s="283"/>
      <c r="H28" s="165"/>
      <c r="I28" s="27"/>
      <c r="J28" s="44"/>
      <c r="K28" s="44"/>
      <c r="L28" s="250"/>
      <c r="M28" s="23"/>
    </row>
    <row r="29" spans="1:14" s="3" customFormat="1" ht="15.75" x14ac:dyDescent="0.2">
      <c r="A29" s="13" t="s">
        <v>359</v>
      </c>
      <c r="B29" s="232"/>
      <c r="C29" s="232"/>
      <c r="D29" s="170"/>
      <c r="E29" s="11"/>
      <c r="F29" s="301"/>
      <c r="G29" s="301"/>
      <c r="H29" s="170"/>
      <c r="I29" s="11"/>
      <c r="J29" s="232"/>
      <c r="K29" s="232"/>
      <c r="L29" s="414"/>
      <c r="M29" s="24"/>
      <c r="N29" s="148"/>
    </row>
    <row r="30" spans="1:14" s="3" customFormat="1" ht="15.75" x14ac:dyDescent="0.2">
      <c r="A30" s="555" t="s">
        <v>362</v>
      </c>
      <c r="B30" s="277"/>
      <c r="C30" s="277"/>
      <c r="D30" s="165"/>
      <c r="E30" s="11"/>
      <c r="F30" s="286"/>
      <c r="G30" s="286"/>
      <c r="H30" s="165"/>
      <c r="I30" s="403"/>
      <c r="J30" s="286"/>
      <c r="K30" s="286"/>
      <c r="L30" s="165"/>
      <c r="M30" s="23"/>
      <c r="N30" s="148"/>
    </row>
    <row r="31" spans="1:14" s="3" customFormat="1" ht="15.75" x14ac:dyDescent="0.2">
      <c r="A31" s="555" t="s">
        <v>363</v>
      </c>
      <c r="B31" s="277"/>
      <c r="C31" s="277"/>
      <c r="D31" s="165"/>
      <c r="E31" s="11"/>
      <c r="F31" s="286"/>
      <c r="G31" s="286"/>
      <c r="H31" s="165"/>
      <c r="I31" s="403"/>
      <c r="J31" s="286"/>
      <c r="K31" s="286"/>
      <c r="L31" s="165"/>
      <c r="M31" s="23"/>
      <c r="N31" s="148"/>
    </row>
    <row r="32" spans="1:14" ht="15.75" x14ac:dyDescent="0.2">
      <c r="A32" s="555" t="s">
        <v>364</v>
      </c>
      <c r="B32" s="277"/>
      <c r="C32" s="277"/>
      <c r="D32" s="165"/>
      <c r="E32" s="11"/>
      <c r="F32" s="286"/>
      <c r="G32" s="286"/>
      <c r="H32" s="165"/>
      <c r="I32" s="403"/>
      <c r="J32" s="286"/>
      <c r="K32" s="286"/>
      <c r="L32" s="165"/>
      <c r="M32" s="23"/>
    </row>
    <row r="33" spans="1:14" ht="15.75" x14ac:dyDescent="0.2">
      <c r="A33" s="555" t="s">
        <v>365</v>
      </c>
      <c r="B33" s="277"/>
      <c r="C33" s="277"/>
      <c r="D33" s="165"/>
      <c r="E33" s="11"/>
      <c r="F33" s="286"/>
      <c r="G33" s="286"/>
      <c r="H33" s="165"/>
      <c r="I33" s="403"/>
      <c r="J33" s="286"/>
      <c r="K33" s="286"/>
      <c r="L33" s="165"/>
      <c r="M33" s="23"/>
    </row>
    <row r="34" spans="1:14" ht="15.75" x14ac:dyDescent="0.2">
      <c r="A34" s="13" t="s">
        <v>360</v>
      </c>
      <c r="B34" s="232"/>
      <c r="C34" s="302"/>
      <c r="D34" s="170"/>
      <c r="E34" s="11"/>
      <c r="F34" s="301"/>
      <c r="G34" s="302"/>
      <c r="H34" s="170"/>
      <c r="I34" s="11"/>
      <c r="J34" s="232"/>
      <c r="K34" s="232"/>
      <c r="L34" s="414"/>
      <c r="M34" s="24"/>
    </row>
    <row r="35" spans="1:14" ht="15.75" x14ac:dyDescent="0.2">
      <c r="A35" s="13" t="s">
        <v>361</v>
      </c>
      <c r="B35" s="232"/>
      <c r="C35" s="302"/>
      <c r="D35" s="170"/>
      <c r="E35" s="11"/>
      <c r="F35" s="301"/>
      <c r="G35" s="302"/>
      <c r="H35" s="170"/>
      <c r="I35" s="11"/>
      <c r="J35" s="232"/>
      <c r="K35" s="232"/>
      <c r="L35" s="414"/>
      <c r="M35" s="24"/>
    </row>
    <row r="36" spans="1:14" ht="15.75" x14ac:dyDescent="0.2">
      <c r="A36" s="12" t="s">
        <v>278</v>
      </c>
      <c r="B36" s="232"/>
      <c r="C36" s="302"/>
      <c r="D36" s="170"/>
      <c r="E36" s="11"/>
      <c r="F36" s="312"/>
      <c r="G36" s="313"/>
      <c r="H36" s="170"/>
      <c r="I36" s="420"/>
      <c r="J36" s="232"/>
      <c r="K36" s="232"/>
      <c r="L36" s="414"/>
      <c r="M36" s="24"/>
    </row>
    <row r="37" spans="1:14" ht="15.75" x14ac:dyDescent="0.2">
      <c r="A37" s="12" t="s">
        <v>367</v>
      </c>
      <c r="B37" s="232"/>
      <c r="C37" s="302"/>
      <c r="D37" s="170"/>
      <c r="E37" s="11"/>
      <c r="F37" s="312"/>
      <c r="G37" s="314"/>
      <c r="H37" s="170"/>
      <c r="I37" s="420"/>
      <c r="J37" s="232"/>
      <c r="K37" s="232"/>
      <c r="L37" s="414"/>
      <c r="M37" s="24"/>
    </row>
    <row r="38" spans="1:14" ht="15.75" x14ac:dyDescent="0.2">
      <c r="A38" s="12" t="s">
        <v>368</v>
      </c>
      <c r="B38" s="232"/>
      <c r="C38" s="302"/>
      <c r="D38" s="170"/>
      <c r="E38" s="24"/>
      <c r="F38" s="312"/>
      <c r="G38" s="313"/>
      <c r="H38" s="170"/>
      <c r="I38" s="420"/>
      <c r="J38" s="232"/>
      <c r="K38" s="232"/>
      <c r="L38" s="414"/>
      <c r="M38" s="24"/>
    </row>
    <row r="39" spans="1:14" ht="15.75" x14ac:dyDescent="0.2">
      <c r="A39" s="18" t="s">
        <v>369</v>
      </c>
      <c r="B39" s="272"/>
      <c r="C39" s="308"/>
      <c r="D39" s="168"/>
      <c r="E39" s="36"/>
      <c r="F39" s="315"/>
      <c r="G39" s="316"/>
      <c r="H39" s="168"/>
      <c r="I39" s="36"/>
      <c r="J39" s="232"/>
      <c r="K39" s="232"/>
      <c r="L39" s="415"/>
      <c r="M39" s="36"/>
    </row>
    <row r="40" spans="1:14" ht="15.75" x14ac:dyDescent="0.25">
      <c r="A40" s="47"/>
      <c r="B40" s="249"/>
      <c r="C40" s="249"/>
      <c r="D40" s="728"/>
      <c r="E40" s="728"/>
      <c r="F40" s="728"/>
      <c r="G40" s="728"/>
      <c r="H40" s="728"/>
      <c r="I40" s="728"/>
      <c r="J40" s="728"/>
      <c r="K40" s="728"/>
      <c r="L40" s="728"/>
      <c r="M40" s="295"/>
    </row>
    <row r="41" spans="1:14" x14ac:dyDescent="0.2">
      <c r="A41" s="154"/>
    </row>
    <row r="42" spans="1:14" ht="15.75" x14ac:dyDescent="0.25">
      <c r="A42" s="147" t="s">
        <v>267</v>
      </c>
      <c r="B42" s="729"/>
      <c r="C42" s="729"/>
      <c r="D42" s="729"/>
      <c r="E42" s="292"/>
      <c r="F42" s="730"/>
      <c r="G42" s="730"/>
      <c r="H42" s="730"/>
      <c r="I42" s="295"/>
      <c r="J42" s="730"/>
      <c r="K42" s="730"/>
      <c r="L42" s="730"/>
      <c r="M42" s="295"/>
    </row>
    <row r="43" spans="1:14" ht="15.75" x14ac:dyDescent="0.25">
      <c r="A43" s="162"/>
      <c r="B43" s="296"/>
      <c r="C43" s="296"/>
      <c r="D43" s="296"/>
      <c r="E43" s="296"/>
      <c r="F43" s="295"/>
      <c r="G43" s="295"/>
      <c r="H43" s="295"/>
      <c r="I43" s="295"/>
      <c r="J43" s="295"/>
      <c r="K43" s="295"/>
      <c r="L43" s="295"/>
      <c r="M43" s="295"/>
    </row>
    <row r="44" spans="1:14" ht="15.75" x14ac:dyDescent="0.25">
      <c r="A44" s="243"/>
      <c r="B44" s="725" t="s">
        <v>0</v>
      </c>
      <c r="C44" s="726"/>
      <c r="D44" s="726"/>
      <c r="E44" s="239"/>
      <c r="F44" s="295"/>
      <c r="G44" s="295"/>
      <c r="H44" s="295"/>
      <c r="I44" s="295"/>
      <c r="J44" s="295"/>
      <c r="K44" s="295"/>
      <c r="L44" s="295"/>
      <c r="M44" s="295"/>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v>7705</v>
      </c>
      <c r="C47" s="304">
        <v>8153</v>
      </c>
      <c r="D47" s="413">
        <f t="shared" ref="D47:D55" si="0">IF(B47=0, "    ---- ", IF(ABS(ROUND(100/B47*C47-100,1))&lt;999,ROUND(100/B47*C47-100,1),IF(ROUND(100/B47*C47-100,1)&gt;999,999,-999)))</f>
        <v>5.8</v>
      </c>
      <c r="E47" s="11">
        <f>IFERROR(100/'Skjema total MA'!C47*C47,0)</f>
        <v>0.2359433107775441</v>
      </c>
      <c r="F47" s="145"/>
      <c r="G47" s="33"/>
      <c r="H47" s="158"/>
      <c r="I47" s="158"/>
      <c r="J47" s="37"/>
      <c r="K47" s="37"/>
      <c r="L47" s="158"/>
      <c r="M47" s="158"/>
      <c r="N47" s="148"/>
    </row>
    <row r="48" spans="1:14" s="3" customFormat="1" ht="15.75" x14ac:dyDescent="0.2">
      <c r="A48" s="38" t="s">
        <v>370</v>
      </c>
      <c r="B48" s="277">
        <v>7705</v>
      </c>
      <c r="C48" s="278">
        <v>8153</v>
      </c>
      <c r="D48" s="250">
        <f t="shared" si="0"/>
        <v>5.8</v>
      </c>
      <c r="E48" s="27">
        <f>IFERROR(100/'Skjema total MA'!C48*C48,0)</f>
        <v>0.43144215362799332</v>
      </c>
      <c r="F48" s="145"/>
      <c r="G48" s="33"/>
      <c r="H48" s="145"/>
      <c r="I48" s="145"/>
      <c r="J48" s="33"/>
      <c r="K48" s="33"/>
      <c r="L48" s="158"/>
      <c r="M48" s="158"/>
      <c r="N48" s="148"/>
    </row>
    <row r="49" spans="1:14" s="3" customFormat="1" ht="15.75" x14ac:dyDescent="0.2">
      <c r="A49" s="38" t="s">
        <v>371</v>
      </c>
      <c r="B49" s="44"/>
      <c r="C49" s="283"/>
      <c r="D49" s="250"/>
      <c r="E49" s="27"/>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v>13000</v>
      </c>
      <c r="C53" s="304">
        <v>13000</v>
      </c>
      <c r="D53" s="414">
        <f t="shared" si="0"/>
        <v>0</v>
      </c>
      <c r="E53" s="11">
        <f>IFERROR(100/'Skjema total MA'!C53*C53,0)</f>
        <v>12.152763641750624</v>
      </c>
      <c r="F53" s="145"/>
      <c r="G53" s="33"/>
      <c r="H53" s="145"/>
      <c r="I53" s="145"/>
      <c r="J53" s="33"/>
      <c r="K53" s="33"/>
      <c r="L53" s="158"/>
      <c r="M53" s="158"/>
      <c r="N53" s="148"/>
    </row>
    <row r="54" spans="1:14" s="3" customFormat="1" ht="15.75" x14ac:dyDescent="0.2">
      <c r="A54" s="38" t="s">
        <v>370</v>
      </c>
      <c r="B54" s="277"/>
      <c r="C54" s="278"/>
      <c r="D54" s="250"/>
      <c r="E54" s="27"/>
      <c r="F54" s="145"/>
      <c r="G54" s="33"/>
      <c r="H54" s="145"/>
      <c r="I54" s="145"/>
      <c r="J54" s="33"/>
      <c r="K54" s="33"/>
      <c r="L54" s="158"/>
      <c r="M54" s="158"/>
      <c r="N54" s="148"/>
    </row>
    <row r="55" spans="1:14" s="3" customFormat="1" ht="15.75" x14ac:dyDescent="0.2">
      <c r="A55" s="38" t="s">
        <v>371</v>
      </c>
      <c r="B55" s="277">
        <v>13000</v>
      </c>
      <c r="C55" s="278">
        <v>13000</v>
      </c>
      <c r="D55" s="250">
        <f t="shared" si="0"/>
        <v>0</v>
      </c>
      <c r="E55" s="27">
        <f>IFERROR(100/'Skjema total MA'!C55*C55,0)</f>
        <v>93.196644920782859</v>
      </c>
      <c r="F55" s="145"/>
      <c r="G55" s="33"/>
      <c r="H55" s="145"/>
      <c r="I55" s="145"/>
      <c r="J55" s="33"/>
      <c r="K55" s="33"/>
      <c r="L55" s="158"/>
      <c r="M55" s="158"/>
      <c r="N55" s="148"/>
    </row>
    <row r="56" spans="1:14" s="3" customFormat="1" ht="15.75" x14ac:dyDescent="0.2">
      <c r="A56" s="39" t="s">
        <v>373</v>
      </c>
      <c r="B56" s="303"/>
      <c r="C56" s="304"/>
      <c r="D56" s="414"/>
      <c r="E56" s="11"/>
      <c r="F56" s="145"/>
      <c r="G56" s="33"/>
      <c r="H56" s="145"/>
      <c r="I56" s="145"/>
      <c r="J56" s="33"/>
      <c r="K56" s="33"/>
      <c r="L56" s="158"/>
      <c r="M56" s="158"/>
      <c r="N56" s="148"/>
    </row>
    <row r="57" spans="1:14" s="3" customFormat="1" ht="15.75" x14ac:dyDescent="0.2">
      <c r="A57" s="38" t="s">
        <v>370</v>
      </c>
      <c r="B57" s="277"/>
      <c r="C57" s="278"/>
      <c r="D57" s="250"/>
      <c r="E57" s="27"/>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292"/>
      <c r="F62" s="724"/>
      <c r="G62" s="724"/>
      <c r="H62" s="724"/>
      <c r="I62" s="292"/>
      <c r="J62" s="724"/>
      <c r="K62" s="724"/>
      <c r="L62" s="724"/>
      <c r="M62" s="292"/>
    </row>
    <row r="63" spans="1:14" x14ac:dyDescent="0.2">
      <c r="A63" s="144"/>
      <c r="B63" s="725" t="s">
        <v>0</v>
      </c>
      <c r="C63" s="726"/>
      <c r="D63" s="727"/>
      <c r="E63" s="293"/>
      <c r="F63" s="726" t="s">
        <v>1</v>
      </c>
      <c r="G63" s="726"/>
      <c r="H63" s="726"/>
      <c r="I63" s="297"/>
      <c r="J63" s="725" t="s">
        <v>2</v>
      </c>
      <c r="K63" s="726"/>
      <c r="L63" s="726"/>
      <c r="M63" s="297"/>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c r="C66" s="343"/>
      <c r="D66" s="340"/>
      <c r="E66" s="11"/>
      <c r="F66" s="342"/>
      <c r="G66" s="342"/>
      <c r="H66" s="340"/>
      <c r="I66" s="11"/>
      <c r="J66" s="302"/>
      <c r="K66" s="309"/>
      <c r="L66" s="414"/>
      <c r="M66" s="11"/>
    </row>
    <row r="67" spans="1:14" x14ac:dyDescent="0.2">
      <c r="A67" s="405" t="s">
        <v>9</v>
      </c>
      <c r="B67" s="44"/>
      <c r="C67" s="145"/>
      <c r="D67" s="165"/>
      <c r="E67" s="27"/>
      <c r="F67" s="230"/>
      <c r="G67" s="145"/>
      <c r="H67" s="165"/>
      <c r="I67" s="27"/>
      <c r="J67" s="283"/>
      <c r="K67" s="44"/>
      <c r="L67" s="250"/>
      <c r="M67" s="27"/>
    </row>
    <row r="68" spans="1:14" x14ac:dyDescent="0.2">
      <c r="A68" s="21" t="s">
        <v>10</v>
      </c>
      <c r="B68" s="287"/>
      <c r="C68" s="288"/>
      <c r="D68" s="165"/>
      <c r="E68" s="27"/>
      <c r="F68" s="287"/>
      <c r="G68" s="288"/>
      <c r="H68" s="165"/>
      <c r="I68" s="27"/>
      <c r="J68" s="283"/>
      <c r="K68" s="44"/>
      <c r="L68" s="250"/>
      <c r="M68" s="27"/>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c r="C75" s="145"/>
      <c r="D75" s="165"/>
      <c r="E75" s="27"/>
      <c r="F75" s="230"/>
      <c r="G75" s="145"/>
      <c r="H75" s="165"/>
      <c r="I75" s="27"/>
      <c r="J75" s="283"/>
      <c r="K75" s="44"/>
      <c r="L75" s="250"/>
      <c r="M75" s="27"/>
      <c r="N75" s="148"/>
    </row>
    <row r="76" spans="1:14" s="3" customFormat="1" x14ac:dyDescent="0.2">
      <c r="A76" s="21" t="s">
        <v>343</v>
      </c>
      <c r="B76" s="230"/>
      <c r="C76" s="145"/>
      <c r="D76" s="165"/>
      <c r="E76" s="27"/>
      <c r="F76" s="230"/>
      <c r="G76" s="145"/>
      <c r="H76" s="165"/>
      <c r="I76" s="27"/>
      <c r="J76" s="283"/>
      <c r="K76" s="44"/>
      <c r="L76" s="250"/>
      <c r="M76" s="27"/>
      <c r="N76" s="148"/>
    </row>
    <row r="77" spans="1:14" ht="15.75" x14ac:dyDescent="0.2">
      <c r="A77" s="21" t="s">
        <v>376</v>
      </c>
      <c r="B77" s="230"/>
      <c r="C77" s="230"/>
      <c r="D77" s="165"/>
      <c r="E77" s="27"/>
      <c r="F77" s="230"/>
      <c r="G77" s="145"/>
      <c r="H77" s="165"/>
      <c r="I77" s="27"/>
      <c r="J77" s="283"/>
      <c r="K77" s="44"/>
      <c r="L77" s="250"/>
      <c r="M77" s="27"/>
    </row>
    <row r="78" spans="1:14" x14ac:dyDescent="0.2">
      <c r="A78" s="21" t="s">
        <v>9</v>
      </c>
      <c r="B78" s="230"/>
      <c r="C78" s="145"/>
      <c r="D78" s="165"/>
      <c r="E78" s="27"/>
      <c r="F78" s="230"/>
      <c r="G78" s="145"/>
      <c r="H78" s="165"/>
      <c r="I78" s="27"/>
      <c r="J78" s="283"/>
      <c r="K78" s="44"/>
      <c r="L78" s="250"/>
      <c r="M78" s="27"/>
    </row>
    <row r="79" spans="1:14" x14ac:dyDescent="0.2">
      <c r="A79" s="38" t="s">
        <v>413</v>
      </c>
      <c r="B79" s="287"/>
      <c r="C79" s="288"/>
      <c r="D79" s="165"/>
      <c r="E79" s="27"/>
      <c r="F79" s="287"/>
      <c r="G79" s="288"/>
      <c r="H79" s="165"/>
      <c r="I79" s="27"/>
      <c r="J79" s="283"/>
      <c r="K79" s="44"/>
      <c r="L79" s="250"/>
      <c r="M79" s="27"/>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c r="C86" s="145"/>
      <c r="D86" s="165"/>
      <c r="E86" s="27"/>
      <c r="F86" s="230"/>
      <c r="G86" s="145"/>
      <c r="H86" s="165"/>
      <c r="I86" s="27"/>
      <c r="J86" s="283"/>
      <c r="K86" s="44"/>
      <c r="L86" s="250"/>
      <c r="M86" s="27"/>
    </row>
    <row r="87" spans="1:13" ht="15.75" x14ac:dyDescent="0.2">
      <c r="A87" s="13" t="s">
        <v>359</v>
      </c>
      <c r="B87" s="343"/>
      <c r="C87" s="343"/>
      <c r="D87" s="170"/>
      <c r="E87" s="11"/>
      <c r="F87" s="342"/>
      <c r="G87" s="342"/>
      <c r="H87" s="170"/>
      <c r="I87" s="11"/>
      <c r="J87" s="302"/>
      <c r="K87" s="232"/>
      <c r="L87" s="414"/>
      <c r="M87" s="11"/>
    </row>
    <row r="88" spans="1:13" x14ac:dyDescent="0.2">
      <c r="A88" s="21" t="s">
        <v>9</v>
      </c>
      <c r="B88" s="230"/>
      <c r="C88" s="145"/>
      <c r="D88" s="165"/>
      <c r="E88" s="27"/>
      <c r="F88" s="230"/>
      <c r="G88" s="145"/>
      <c r="H88" s="165"/>
      <c r="I88" s="27"/>
      <c r="J88" s="283"/>
      <c r="K88" s="44"/>
      <c r="L88" s="250"/>
      <c r="M88" s="27"/>
    </row>
    <row r="89" spans="1:13" x14ac:dyDescent="0.2">
      <c r="A89" s="21" t="s">
        <v>10</v>
      </c>
      <c r="B89" s="230"/>
      <c r="C89" s="145"/>
      <c r="D89" s="165"/>
      <c r="E89" s="27"/>
      <c r="F89" s="230"/>
      <c r="G89" s="145"/>
      <c r="H89" s="165"/>
      <c r="I89" s="27"/>
      <c r="J89" s="283"/>
      <c r="K89" s="44"/>
      <c r="L89" s="250"/>
      <c r="M89" s="27"/>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c r="C97" s="145"/>
      <c r="D97" s="165"/>
      <c r="E97" s="27"/>
      <c r="F97" s="230"/>
      <c r="G97" s="145"/>
      <c r="H97" s="165"/>
      <c r="I97" s="27"/>
      <c r="J97" s="283"/>
      <c r="K97" s="44"/>
      <c r="L97" s="250"/>
      <c r="M97" s="27"/>
    </row>
    <row r="98" spans="1:13" ht="15.75" x14ac:dyDescent="0.2">
      <c r="A98" s="21" t="s">
        <v>376</v>
      </c>
      <c r="B98" s="230"/>
      <c r="C98" s="230"/>
      <c r="D98" s="165"/>
      <c r="E98" s="27"/>
      <c r="F98" s="287"/>
      <c r="G98" s="287"/>
      <c r="H98" s="165"/>
      <c r="I98" s="27"/>
      <c r="J98" s="283"/>
      <c r="K98" s="44"/>
      <c r="L98" s="250"/>
      <c r="M98" s="27"/>
    </row>
    <row r="99" spans="1:13" x14ac:dyDescent="0.2">
      <c r="A99" s="21" t="s">
        <v>9</v>
      </c>
      <c r="B99" s="287"/>
      <c r="C99" s="288"/>
      <c r="D99" s="165"/>
      <c r="E99" s="27"/>
      <c r="F99" s="230"/>
      <c r="G99" s="145"/>
      <c r="H99" s="165"/>
      <c r="I99" s="27"/>
      <c r="J99" s="283"/>
      <c r="K99" s="44"/>
      <c r="L99" s="250"/>
      <c r="M99" s="27"/>
    </row>
    <row r="100" spans="1:13" x14ac:dyDescent="0.2">
      <c r="A100" s="38" t="s">
        <v>413</v>
      </c>
      <c r="B100" s="287"/>
      <c r="C100" s="288"/>
      <c r="D100" s="165"/>
      <c r="E100" s="27"/>
      <c r="F100" s="230"/>
      <c r="G100" s="230"/>
      <c r="H100" s="165"/>
      <c r="I100" s="27"/>
      <c r="J100" s="283"/>
      <c r="K100" s="44"/>
      <c r="L100" s="250"/>
      <c r="M100" s="27"/>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c r="C107" s="145"/>
      <c r="D107" s="165"/>
      <c r="E107" s="27"/>
      <c r="F107" s="230"/>
      <c r="G107" s="145"/>
      <c r="H107" s="165"/>
      <c r="I107" s="27"/>
      <c r="J107" s="283"/>
      <c r="K107" s="44"/>
      <c r="L107" s="250"/>
      <c r="M107" s="27"/>
    </row>
    <row r="108" spans="1:13" ht="15.75" x14ac:dyDescent="0.2">
      <c r="A108" s="21" t="s">
        <v>378</v>
      </c>
      <c r="B108" s="230"/>
      <c r="C108" s="230"/>
      <c r="D108" s="165"/>
      <c r="E108" s="27"/>
      <c r="F108" s="230"/>
      <c r="G108" s="230"/>
      <c r="H108" s="165"/>
      <c r="I108" s="27"/>
      <c r="J108" s="283"/>
      <c r="K108" s="44"/>
      <c r="L108" s="250"/>
      <c r="M108" s="27"/>
    </row>
    <row r="109" spans="1:13" ht="15.6" customHeight="1" x14ac:dyDescent="0.2">
      <c r="A109" s="21" t="s">
        <v>430</v>
      </c>
      <c r="B109" s="230"/>
      <c r="C109" s="230"/>
      <c r="D109" s="165"/>
      <c r="E109" s="27"/>
      <c r="F109" s="230"/>
      <c r="G109" s="230"/>
      <c r="H109" s="165"/>
      <c r="I109" s="27"/>
      <c r="J109" s="283"/>
      <c r="K109" s="44"/>
      <c r="L109" s="250"/>
      <c r="M109" s="27"/>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c r="C111" s="158"/>
      <c r="D111" s="170"/>
      <c r="E111" s="11"/>
      <c r="F111" s="301"/>
      <c r="G111" s="158"/>
      <c r="H111" s="170"/>
      <c r="I111" s="11"/>
      <c r="J111" s="302"/>
      <c r="K111" s="232"/>
      <c r="L111" s="414"/>
      <c r="M111" s="11"/>
    </row>
    <row r="112" spans="1:13" x14ac:dyDescent="0.2">
      <c r="A112" s="21" t="s">
        <v>9</v>
      </c>
      <c r="B112" s="230"/>
      <c r="C112" s="145"/>
      <c r="D112" s="165"/>
      <c r="E112" s="27"/>
      <c r="F112" s="230"/>
      <c r="G112" s="145"/>
      <c r="H112" s="165"/>
      <c r="I112" s="27"/>
      <c r="J112" s="283"/>
      <c r="K112" s="44"/>
      <c r="L112" s="250"/>
      <c r="M112" s="27"/>
    </row>
    <row r="113" spans="1:14" x14ac:dyDescent="0.2">
      <c r="A113" s="21" t="s">
        <v>10</v>
      </c>
      <c r="B113" s="230"/>
      <c r="C113" s="145"/>
      <c r="D113" s="165"/>
      <c r="E113" s="27"/>
      <c r="F113" s="230"/>
      <c r="G113" s="145"/>
      <c r="H113" s="165"/>
      <c r="I113" s="27"/>
      <c r="J113" s="283"/>
      <c r="K113" s="44"/>
      <c r="L113" s="250"/>
      <c r="M113" s="27"/>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c r="C116" s="230"/>
      <c r="D116" s="165"/>
      <c r="E116" s="27"/>
      <c r="F116" s="230"/>
      <c r="G116" s="230"/>
      <c r="H116" s="165"/>
      <c r="I116" s="27"/>
      <c r="J116" s="283"/>
      <c r="K116" s="44"/>
      <c r="L116" s="250"/>
      <c r="M116" s="27"/>
    </row>
    <row r="117" spans="1:14" ht="15.6" customHeight="1" x14ac:dyDescent="0.2">
      <c r="A117" s="21" t="s">
        <v>430</v>
      </c>
      <c r="B117" s="230"/>
      <c r="C117" s="230"/>
      <c r="D117" s="165"/>
      <c r="E117" s="27"/>
      <c r="F117" s="230"/>
      <c r="G117" s="230"/>
      <c r="H117" s="165"/>
      <c r="I117" s="27"/>
      <c r="J117" s="283"/>
      <c r="K117" s="44"/>
      <c r="L117" s="250"/>
      <c r="M117" s="27"/>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c r="C119" s="158"/>
      <c r="D119" s="170"/>
      <c r="E119" s="11"/>
      <c r="F119" s="301"/>
      <c r="G119" s="158"/>
      <c r="H119" s="170"/>
      <c r="I119" s="11"/>
      <c r="J119" s="302"/>
      <c r="K119" s="232"/>
      <c r="L119" s="414"/>
      <c r="M119" s="11"/>
    </row>
    <row r="120" spans="1:14" x14ac:dyDescent="0.2">
      <c r="A120" s="21" t="s">
        <v>9</v>
      </c>
      <c r="B120" s="230"/>
      <c r="C120" s="145"/>
      <c r="D120" s="165"/>
      <c r="E120" s="27"/>
      <c r="F120" s="230"/>
      <c r="G120" s="145"/>
      <c r="H120" s="165"/>
      <c r="I120" s="27"/>
      <c r="J120" s="283"/>
      <c r="K120" s="44"/>
      <c r="L120" s="250"/>
      <c r="M120" s="27"/>
    </row>
    <row r="121" spans="1:14" x14ac:dyDescent="0.2">
      <c r="A121" s="21" t="s">
        <v>10</v>
      </c>
      <c r="B121" s="230"/>
      <c r="C121" s="145"/>
      <c r="D121" s="165"/>
      <c r="E121" s="27"/>
      <c r="F121" s="230"/>
      <c r="G121" s="145"/>
      <c r="H121" s="165"/>
      <c r="I121" s="27"/>
      <c r="J121" s="283"/>
      <c r="K121" s="44"/>
      <c r="L121" s="250"/>
      <c r="M121" s="27"/>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c r="C125" s="230"/>
      <c r="D125" s="165"/>
      <c r="E125" s="27"/>
      <c r="F125" s="230"/>
      <c r="G125" s="230"/>
      <c r="H125" s="165"/>
      <c r="I125" s="27"/>
      <c r="J125" s="283"/>
      <c r="K125" s="44"/>
      <c r="L125" s="250"/>
      <c r="M125" s="27"/>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292"/>
      <c r="F130" s="724"/>
      <c r="G130" s="724"/>
      <c r="H130" s="724"/>
      <c r="I130" s="292"/>
      <c r="J130" s="724"/>
      <c r="K130" s="724"/>
      <c r="L130" s="724"/>
      <c r="M130" s="292"/>
    </row>
    <row r="131" spans="1:14" s="3" customFormat="1" x14ac:dyDescent="0.2">
      <c r="A131" s="144"/>
      <c r="B131" s="725" t="s">
        <v>0</v>
      </c>
      <c r="C131" s="726"/>
      <c r="D131" s="726"/>
      <c r="E131" s="294"/>
      <c r="F131" s="725" t="s">
        <v>1</v>
      </c>
      <c r="G131" s="726"/>
      <c r="H131" s="726"/>
      <c r="I131" s="297"/>
      <c r="J131" s="725" t="s">
        <v>2</v>
      </c>
      <c r="K131" s="726"/>
      <c r="L131" s="726"/>
      <c r="M131" s="297"/>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v>815660</v>
      </c>
      <c r="C134" s="302">
        <v>1176597</v>
      </c>
      <c r="D134" s="340">
        <f t="shared" ref="D134:D135" si="1">IF(B134=0, "    ---- ", IF(ABS(ROUND(100/B134*C134-100,1))&lt;999,ROUND(100/B134*C134-100,1),IF(ROUND(100/B134*C134-100,1)&gt;999,999,-999)))</f>
        <v>44.3</v>
      </c>
      <c r="E134" s="11">
        <f>IFERROR(100/'Skjema total MA'!C134*C134,0)</f>
        <v>13.846730458249056</v>
      </c>
      <c r="F134" s="309"/>
      <c r="G134" s="310"/>
      <c r="H134" s="417"/>
      <c r="I134" s="24"/>
      <c r="J134" s="311">
        <f t="shared" ref="J134:K135" si="2">SUM(B134,F134)</f>
        <v>815660</v>
      </c>
      <c r="K134" s="311">
        <f t="shared" si="2"/>
        <v>1176597</v>
      </c>
      <c r="L134" s="413">
        <f t="shared" ref="L134:L135" si="3">IF(J134=0, "    ---- ", IF(ABS(ROUND(100/J134*K134-100,1))&lt;999,ROUND(100/J134*K134-100,1),IF(ROUND(100/J134*K134-100,1)&gt;999,999,-999)))</f>
        <v>44.3</v>
      </c>
      <c r="M134" s="11">
        <f>IFERROR(100/'Skjema total MA'!I134*K134,0)</f>
        <v>13.834066106668288</v>
      </c>
      <c r="N134" s="148"/>
    </row>
    <row r="135" spans="1:14" s="3" customFormat="1" ht="15.75" x14ac:dyDescent="0.2">
      <c r="A135" s="13" t="s">
        <v>386</v>
      </c>
      <c r="B135" s="232">
        <v>84956302</v>
      </c>
      <c r="C135" s="302">
        <v>82039593</v>
      </c>
      <c r="D135" s="170">
        <f t="shared" si="1"/>
        <v>-3.4</v>
      </c>
      <c r="E135" s="11">
        <f>IFERROR(100/'Skjema total MA'!C135*C135,0)</f>
        <v>11.09315112670191</v>
      </c>
      <c r="F135" s="232"/>
      <c r="G135" s="302"/>
      <c r="H135" s="418"/>
      <c r="I135" s="24"/>
      <c r="J135" s="301">
        <f t="shared" si="2"/>
        <v>84956302</v>
      </c>
      <c r="K135" s="301">
        <f t="shared" si="2"/>
        <v>82039593</v>
      </c>
      <c r="L135" s="414">
        <f t="shared" si="3"/>
        <v>-3.4</v>
      </c>
      <c r="M135" s="11">
        <f>IFERROR(100/'Skjema total MA'!I135*K135,0)</f>
        <v>11.050605475119777</v>
      </c>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00" priority="12">
      <formula>kvartal &lt; 4</formula>
    </cfRule>
  </conditionalFormatting>
  <conditionalFormatting sqref="A69:A74">
    <cfRule type="expression" dxfId="299" priority="10">
      <formula>kvartal &lt; 4</formula>
    </cfRule>
  </conditionalFormatting>
  <conditionalFormatting sqref="A80:A85">
    <cfRule type="expression" dxfId="298" priority="9">
      <formula>kvartal &lt; 4</formula>
    </cfRule>
  </conditionalFormatting>
  <conditionalFormatting sqref="A90:A95">
    <cfRule type="expression" dxfId="297" priority="6">
      <formula>kvartal &lt; 4</formula>
    </cfRule>
  </conditionalFormatting>
  <conditionalFormatting sqref="A101:A106">
    <cfRule type="expression" dxfId="296" priority="5">
      <formula>kvartal &lt; 4</formula>
    </cfRule>
  </conditionalFormatting>
  <conditionalFormatting sqref="A115">
    <cfRule type="expression" dxfId="295" priority="4">
      <formula>kvartal &lt; 4</formula>
    </cfRule>
  </conditionalFormatting>
  <conditionalFormatting sqref="A123">
    <cfRule type="expression" dxfId="294" priority="3">
      <formula>kvartal &lt; 4</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554" t="s">
        <v>358</v>
      </c>
      <c r="D1" s="26"/>
      <c r="E1" s="26"/>
      <c r="F1" s="26"/>
      <c r="G1" s="26"/>
      <c r="H1" s="26"/>
      <c r="I1" s="26"/>
      <c r="J1" s="26"/>
      <c r="K1" s="26"/>
      <c r="L1" s="26"/>
      <c r="M1" s="26"/>
    </row>
    <row r="2" spans="1:14" ht="15.75" x14ac:dyDescent="0.25">
      <c r="A2" s="164" t="s">
        <v>28</v>
      </c>
      <c r="B2" s="729"/>
      <c r="C2" s="729"/>
      <c r="D2" s="729"/>
      <c r="E2" s="551"/>
      <c r="F2" s="729"/>
      <c r="G2" s="729"/>
      <c r="H2" s="729"/>
      <c r="I2" s="551"/>
      <c r="J2" s="729"/>
      <c r="K2" s="729"/>
      <c r="L2" s="729"/>
      <c r="M2" s="551"/>
    </row>
    <row r="3" spans="1:14" ht="15.75" x14ac:dyDescent="0.25">
      <c r="A3" s="162"/>
      <c r="B3" s="551"/>
      <c r="C3" s="551"/>
      <c r="D3" s="551"/>
      <c r="E3" s="551"/>
      <c r="F3" s="551"/>
      <c r="G3" s="551"/>
      <c r="H3" s="551"/>
      <c r="I3" s="551"/>
      <c r="J3" s="551"/>
      <c r="K3" s="551"/>
      <c r="L3" s="551"/>
      <c r="M3" s="551"/>
    </row>
    <row r="4" spans="1:14" x14ac:dyDescent="0.2">
      <c r="A4" s="144"/>
      <c r="B4" s="725" t="s">
        <v>0</v>
      </c>
      <c r="C4" s="726"/>
      <c r="D4" s="726"/>
      <c r="E4" s="549"/>
      <c r="F4" s="725" t="s">
        <v>1</v>
      </c>
      <c r="G4" s="726"/>
      <c r="H4" s="726"/>
      <c r="I4" s="550"/>
      <c r="J4" s="725" t="s">
        <v>2</v>
      </c>
      <c r="K4" s="726"/>
      <c r="L4" s="726"/>
      <c r="M4" s="550"/>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v>683.569592634179</v>
      </c>
      <c r="C7" s="300">
        <v>519.02951628115898</v>
      </c>
      <c r="D7" s="340">
        <f>IF(B7=0, "    ---- ", IF(ABS(ROUND(100/B7*C7-100,1))&lt;999,ROUND(100/B7*C7-100,1),IF(ROUND(100/B7*C7-100,1)&gt;999,999,-999)))</f>
        <v>-24.1</v>
      </c>
      <c r="E7" s="11">
        <f>IFERROR(100/'Skjema total MA'!C7*C7,0)</f>
        <v>2.9939353044698951E-2</v>
      </c>
      <c r="F7" s="299"/>
      <c r="G7" s="300"/>
      <c r="H7" s="340"/>
      <c r="I7" s="159"/>
      <c r="J7" s="301">
        <f t="shared" ref="J7:K9" si="0">SUM(B7,F7)</f>
        <v>683.569592634179</v>
      </c>
      <c r="K7" s="302">
        <f t="shared" si="0"/>
        <v>519.02951628115898</v>
      </c>
      <c r="L7" s="413">
        <f>IF(J7=0, "    ---- ", IF(ABS(ROUND(100/J7*K7-100,1))&lt;999,ROUND(100/J7*K7-100,1),IF(ROUND(100/J7*K7-100,1)&gt;999,999,-999)))</f>
        <v>-24.1</v>
      </c>
      <c r="M7" s="11">
        <f>IFERROR(100/'Skjema total MA'!I7*K7,0)</f>
        <v>1.0041927777942704E-2</v>
      </c>
    </row>
    <row r="8" spans="1:14" ht="15.75" x14ac:dyDescent="0.2">
      <c r="A8" s="21" t="s">
        <v>25</v>
      </c>
      <c r="B8" s="277"/>
      <c r="C8" s="278"/>
      <c r="D8" s="165"/>
      <c r="E8" s="27"/>
      <c r="F8" s="281"/>
      <c r="G8" s="282"/>
      <c r="H8" s="165"/>
      <c r="I8" s="174"/>
      <c r="J8" s="230"/>
      <c r="K8" s="283"/>
      <c r="L8" s="165"/>
      <c r="M8" s="27"/>
    </row>
    <row r="9" spans="1:14" ht="15.75" x14ac:dyDescent="0.2">
      <c r="A9" s="21" t="s">
        <v>24</v>
      </c>
      <c r="B9" s="277">
        <v>683.569592634179</v>
      </c>
      <c r="C9" s="278">
        <v>519.02951628115898</v>
      </c>
      <c r="D9" s="165">
        <f t="shared" ref="D9" si="1">IF(B9=0, "    ---- ", IF(ABS(ROUND(100/B9*C9-100,1))&lt;999,ROUND(100/B9*C9-100,1),IF(ROUND(100/B9*C9-100,1)&gt;999,999,-999)))</f>
        <v>-24.1</v>
      </c>
      <c r="E9" s="27">
        <f>IFERROR(100/'Skjema total MA'!C9*C9,0)</f>
        <v>0.14351189414438284</v>
      </c>
      <c r="F9" s="281"/>
      <c r="G9" s="282"/>
      <c r="H9" s="165"/>
      <c r="I9" s="174"/>
      <c r="J9" s="230">
        <f t="shared" si="0"/>
        <v>683.569592634179</v>
      </c>
      <c r="K9" s="283">
        <f t="shared" si="0"/>
        <v>519.02951628115898</v>
      </c>
      <c r="L9" s="165">
        <f t="shared" ref="L9" si="2">IF(J9=0, "    ---- ", IF(ABS(ROUND(100/J9*K9-100,1))&lt;999,ROUND(100/J9*K9-100,1),IF(ROUND(100/J9*K9-100,1)&gt;999,999,-999)))</f>
        <v>-24.1</v>
      </c>
      <c r="M9" s="27">
        <f>IFERROR(100/'Skjema total MA'!I9*K9,0)</f>
        <v>0.14351189414438284</v>
      </c>
    </row>
    <row r="10" spans="1:14" ht="15.75" x14ac:dyDescent="0.2">
      <c r="A10" s="13" t="s">
        <v>359</v>
      </c>
      <c r="B10" s="303"/>
      <c r="C10" s="304"/>
      <c r="D10" s="170"/>
      <c r="E10" s="11"/>
      <c r="F10" s="303"/>
      <c r="G10" s="304"/>
      <c r="H10" s="170"/>
      <c r="I10" s="159"/>
      <c r="J10" s="301"/>
      <c r="K10" s="302"/>
      <c r="L10" s="414"/>
      <c r="M10" s="11"/>
    </row>
    <row r="11" spans="1:14" s="43" customFormat="1" ht="15.75" x14ac:dyDescent="0.2">
      <c r="A11" s="13" t="s">
        <v>360</v>
      </c>
      <c r="B11" s="303"/>
      <c r="C11" s="304"/>
      <c r="D11" s="170"/>
      <c r="E11" s="11"/>
      <c r="F11" s="303"/>
      <c r="G11" s="304"/>
      <c r="H11" s="170"/>
      <c r="I11" s="159"/>
      <c r="J11" s="301"/>
      <c r="K11" s="302"/>
      <c r="L11" s="414"/>
      <c r="M11" s="11"/>
      <c r="N11" s="143"/>
    </row>
    <row r="12" spans="1:14" s="43" customFormat="1" ht="15.75" x14ac:dyDescent="0.2">
      <c r="A12" s="41" t="s">
        <v>361</v>
      </c>
      <c r="B12" s="305"/>
      <c r="C12" s="306"/>
      <c r="D12" s="168"/>
      <c r="E12" s="36"/>
      <c r="F12" s="305"/>
      <c r="G12" s="306"/>
      <c r="H12" s="168"/>
      <c r="I12" s="168"/>
      <c r="J12" s="307"/>
      <c r="K12" s="308"/>
      <c r="L12" s="415"/>
      <c r="M12" s="36"/>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551"/>
      <c r="F18" s="724"/>
      <c r="G18" s="724"/>
      <c r="H18" s="724"/>
      <c r="I18" s="551"/>
      <c r="J18" s="724"/>
      <c r="K18" s="724"/>
      <c r="L18" s="724"/>
      <c r="M18" s="551"/>
    </row>
    <row r="19" spans="1:14" x14ac:dyDescent="0.2">
      <c r="A19" s="144"/>
      <c r="B19" s="725" t="s">
        <v>0</v>
      </c>
      <c r="C19" s="726"/>
      <c r="D19" s="726"/>
      <c r="E19" s="549"/>
      <c r="F19" s="725" t="s">
        <v>1</v>
      </c>
      <c r="G19" s="726"/>
      <c r="H19" s="726"/>
      <c r="I19" s="550"/>
      <c r="J19" s="725" t="s">
        <v>2</v>
      </c>
      <c r="K19" s="726"/>
      <c r="L19" s="726"/>
      <c r="M19" s="550"/>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303"/>
      <c r="C22" s="303"/>
      <c r="D22" s="340"/>
      <c r="E22" s="11"/>
      <c r="F22" s="311"/>
      <c r="G22" s="311"/>
      <c r="H22" s="340"/>
      <c r="I22" s="11"/>
      <c r="J22" s="309"/>
      <c r="K22" s="309"/>
      <c r="L22" s="413"/>
      <c r="M22" s="24"/>
    </row>
    <row r="23" spans="1:14" ht="15.75" x14ac:dyDescent="0.2">
      <c r="A23" s="555" t="s">
        <v>362</v>
      </c>
      <c r="B23" s="277"/>
      <c r="C23" s="277"/>
      <c r="D23" s="165"/>
      <c r="E23" s="11"/>
      <c r="F23" s="286"/>
      <c r="G23" s="286"/>
      <c r="H23" s="165"/>
      <c r="I23" s="403"/>
      <c r="J23" s="286"/>
      <c r="K23" s="286"/>
      <c r="L23" s="165"/>
      <c r="M23" s="23"/>
    </row>
    <row r="24" spans="1:14" ht="15.75" x14ac:dyDescent="0.2">
      <c r="A24" s="555" t="s">
        <v>363</v>
      </c>
      <c r="B24" s="277"/>
      <c r="C24" s="277"/>
      <c r="D24" s="165"/>
      <c r="E24" s="11"/>
      <c r="F24" s="286"/>
      <c r="G24" s="286"/>
      <c r="H24" s="165"/>
      <c r="I24" s="403"/>
      <c r="J24" s="286"/>
      <c r="K24" s="286"/>
      <c r="L24" s="165"/>
      <c r="M24" s="23"/>
    </row>
    <row r="25" spans="1:14" ht="15.75" x14ac:dyDescent="0.2">
      <c r="A25" s="555" t="s">
        <v>364</v>
      </c>
      <c r="B25" s="277"/>
      <c r="C25" s="277"/>
      <c r="D25" s="165"/>
      <c r="E25" s="11"/>
      <c r="F25" s="286"/>
      <c r="G25" s="286"/>
      <c r="H25" s="165"/>
      <c r="I25" s="403"/>
      <c r="J25" s="286"/>
      <c r="K25" s="286"/>
      <c r="L25" s="165"/>
      <c r="M25" s="23"/>
    </row>
    <row r="26" spans="1:14" ht="15.75" x14ac:dyDescent="0.2">
      <c r="A26" s="555" t="s">
        <v>365</v>
      </c>
      <c r="B26" s="277"/>
      <c r="C26" s="277"/>
      <c r="D26" s="165"/>
      <c r="E26" s="11"/>
      <c r="F26" s="286"/>
      <c r="G26" s="286"/>
      <c r="H26" s="165"/>
      <c r="I26" s="403"/>
      <c r="J26" s="286"/>
      <c r="K26" s="286"/>
      <c r="L26" s="165"/>
      <c r="M26" s="23"/>
    </row>
    <row r="27" spans="1:14" x14ac:dyDescent="0.2">
      <c r="A27" s="555" t="s">
        <v>11</v>
      </c>
      <c r="B27" s="277"/>
      <c r="C27" s="277"/>
      <c r="D27" s="165"/>
      <c r="E27" s="11"/>
      <c r="F27" s="286"/>
      <c r="G27" s="286"/>
      <c r="H27" s="165"/>
      <c r="I27" s="403"/>
      <c r="J27" s="286"/>
      <c r="K27" s="286"/>
      <c r="L27" s="165"/>
      <c r="M27" s="23"/>
    </row>
    <row r="28" spans="1:14" ht="15.75" x14ac:dyDescent="0.2">
      <c r="A28" s="49" t="s">
        <v>270</v>
      </c>
      <c r="B28" s="44"/>
      <c r="C28" s="283"/>
      <c r="D28" s="165"/>
      <c r="E28" s="11"/>
      <c r="F28" s="230"/>
      <c r="G28" s="283"/>
      <c r="H28" s="165"/>
      <c r="I28" s="27"/>
      <c r="J28" s="44"/>
      <c r="K28" s="44"/>
      <c r="L28" s="250"/>
      <c r="M28" s="23"/>
    </row>
    <row r="29" spans="1:14" s="3" customFormat="1" ht="15.75" x14ac:dyDescent="0.2">
      <c r="A29" s="13" t="s">
        <v>359</v>
      </c>
      <c r="B29" s="232"/>
      <c r="C29" s="232"/>
      <c r="D29" s="170"/>
      <c r="E29" s="11"/>
      <c r="F29" s="301"/>
      <c r="G29" s="301"/>
      <c r="H29" s="170"/>
      <c r="I29" s="11"/>
      <c r="J29" s="232"/>
      <c r="K29" s="232"/>
      <c r="L29" s="414"/>
      <c r="M29" s="24"/>
      <c r="N29" s="148"/>
    </row>
    <row r="30" spans="1:14" s="3" customFormat="1" ht="15.75" x14ac:dyDescent="0.2">
      <c r="A30" s="555" t="s">
        <v>362</v>
      </c>
      <c r="B30" s="277"/>
      <c r="C30" s="277"/>
      <c r="D30" s="165"/>
      <c r="E30" s="11"/>
      <c r="F30" s="286"/>
      <c r="G30" s="286"/>
      <c r="H30" s="165"/>
      <c r="I30" s="403"/>
      <c r="J30" s="286"/>
      <c r="K30" s="286"/>
      <c r="L30" s="165"/>
      <c r="M30" s="23"/>
      <c r="N30" s="148"/>
    </row>
    <row r="31" spans="1:14" s="3" customFormat="1" ht="15.75" x14ac:dyDescent="0.2">
      <c r="A31" s="555" t="s">
        <v>363</v>
      </c>
      <c r="B31" s="277"/>
      <c r="C31" s="277"/>
      <c r="D31" s="165"/>
      <c r="E31" s="11"/>
      <c r="F31" s="286"/>
      <c r="G31" s="286"/>
      <c r="H31" s="165"/>
      <c r="I31" s="403"/>
      <c r="J31" s="286"/>
      <c r="K31" s="286"/>
      <c r="L31" s="165"/>
      <c r="M31" s="23"/>
      <c r="N31" s="148"/>
    </row>
    <row r="32" spans="1:14" ht="15.75" x14ac:dyDescent="0.2">
      <c r="A32" s="555" t="s">
        <v>364</v>
      </c>
      <c r="B32" s="277"/>
      <c r="C32" s="277"/>
      <c r="D32" s="165"/>
      <c r="E32" s="11"/>
      <c r="F32" s="286"/>
      <c r="G32" s="286"/>
      <c r="H32" s="165"/>
      <c r="I32" s="403"/>
      <c r="J32" s="286"/>
      <c r="K32" s="286"/>
      <c r="L32" s="165"/>
      <c r="M32" s="23"/>
    </row>
    <row r="33" spans="1:14" ht="15.75" x14ac:dyDescent="0.2">
      <c r="A33" s="555" t="s">
        <v>365</v>
      </c>
      <c r="B33" s="277"/>
      <c r="C33" s="277"/>
      <c r="D33" s="165"/>
      <c r="E33" s="11"/>
      <c r="F33" s="286"/>
      <c r="G33" s="286"/>
      <c r="H33" s="165"/>
      <c r="I33" s="403"/>
      <c r="J33" s="286"/>
      <c r="K33" s="286"/>
      <c r="L33" s="165"/>
      <c r="M33" s="23"/>
    </row>
    <row r="34" spans="1:14" ht="15.75" x14ac:dyDescent="0.2">
      <c r="A34" s="13" t="s">
        <v>360</v>
      </c>
      <c r="B34" s="232"/>
      <c r="C34" s="302"/>
      <c r="D34" s="170"/>
      <c r="E34" s="11"/>
      <c r="F34" s="301"/>
      <c r="G34" s="302"/>
      <c r="H34" s="170"/>
      <c r="I34" s="11"/>
      <c r="J34" s="232"/>
      <c r="K34" s="232"/>
      <c r="L34" s="414"/>
      <c r="M34" s="24"/>
    </row>
    <row r="35" spans="1:14" ht="15.75" x14ac:dyDescent="0.2">
      <c r="A35" s="13" t="s">
        <v>361</v>
      </c>
      <c r="B35" s="232"/>
      <c r="C35" s="302"/>
      <c r="D35" s="170"/>
      <c r="E35" s="11"/>
      <c r="F35" s="301"/>
      <c r="G35" s="302"/>
      <c r="H35" s="170"/>
      <c r="I35" s="11"/>
      <c r="J35" s="232"/>
      <c r="K35" s="232"/>
      <c r="L35" s="414"/>
      <c r="M35" s="24"/>
    </row>
    <row r="36" spans="1:14" ht="15.75" x14ac:dyDescent="0.2">
      <c r="A36" s="12" t="s">
        <v>278</v>
      </c>
      <c r="B36" s="232"/>
      <c r="C36" s="302"/>
      <c r="D36" s="170"/>
      <c r="E36" s="11"/>
      <c r="F36" s="312"/>
      <c r="G36" s="313"/>
      <c r="H36" s="170"/>
      <c r="I36" s="420"/>
      <c r="J36" s="232"/>
      <c r="K36" s="232"/>
      <c r="L36" s="414"/>
      <c r="M36" s="24"/>
    </row>
    <row r="37" spans="1:14" ht="15.75" x14ac:dyDescent="0.2">
      <c r="A37" s="12" t="s">
        <v>367</v>
      </c>
      <c r="B37" s="232"/>
      <c r="C37" s="302"/>
      <c r="D37" s="170"/>
      <c r="E37" s="11"/>
      <c r="F37" s="312"/>
      <c r="G37" s="314"/>
      <c r="H37" s="170"/>
      <c r="I37" s="420"/>
      <c r="J37" s="232"/>
      <c r="K37" s="232"/>
      <c r="L37" s="414"/>
      <c r="M37" s="24"/>
    </row>
    <row r="38" spans="1:14" ht="15.75" x14ac:dyDescent="0.2">
      <c r="A38" s="12" t="s">
        <v>368</v>
      </c>
      <c r="B38" s="232"/>
      <c r="C38" s="302"/>
      <c r="D38" s="170"/>
      <c r="E38" s="24"/>
      <c r="F38" s="312"/>
      <c r="G38" s="313"/>
      <c r="H38" s="170"/>
      <c r="I38" s="420"/>
      <c r="J38" s="232"/>
      <c r="K38" s="232"/>
      <c r="L38" s="414"/>
      <c r="M38" s="24"/>
    </row>
    <row r="39" spans="1:14" ht="15.75" x14ac:dyDescent="0.2">
      <c r="A39" s="18" t="s">
        <v>369</v>
      </c>
      <c r="B39" s="272"/>
      <c r="C39" s="308"/>
      <c r="D39" s="168"/>
      <c r="E39" s="36"/>
      <c r="F39" s="315"/>
      <c r="G39" s="316"/>
      <c r="H39" s="168"/>
      <c r="I39" s="36"/>
      <c r="J39" s="232"/>
      <c r="K39" s="232"/>
      <c r="L39" s="415"/>
      <c r="M39" s="36"/>
    </row>
    <row r="40" spans="1:14" ht="15.75" x14ac:dyDescent="0.25">
      <c r="A40" s="47"/>
      <c r="B40" s="249"/>
      <c r="C40" s="249"/>
      <c r="D40" s="728"/>
      <c r="E40" s="728"/>
      <c r="F40" s="728"/>
      <c r="G40" s="728"/>
      <c r="H40" s="728"/>
      <c r="I40" s="728"/>
      <c r="J40" s="728"/>
      <c r="K40" s="728"/>
      <c r="L40" s="728"/>
      <c r="M40" s="553"/>
    </row>
    <row r="41" spans="1:14" x14ac:dyDescent="0.2">
      <c r="A41" s="154"/>
    </row>
    <row r="42" spans="1:14" ht="15.75" x14ac:dyDescent="0.25">
      <c r="A42" s="147" t="s">
        <v>267</v>
      </c>
      <c r="B42" s="729"/>
      <c r="C42" s="729"/>
      <c r="D42" s="729"/>
      <c r="E42" s="551"/>
      <c r="F42" s="730"/>
      <c r="G42" s="730"/>
      <c r="H42" s="730"/>
      <c r="I42" s="553"/>
      <c r="J42" s="730"/>
      <c r="K42" s="730"/>
      <c r="L42" s="730"/>
      <c r="M42" s="553"/>
    </row>
    <row r="43" spans="1:14" ht="15.75" x14ac:dyDescent="0.25">
      <c r="A43" s="162"/>
      <c r="B43" s="552"/>
      <c r="C43" s="552"/>
      <c r="D43" s="552"/>
      <c r="E43" s="552"/>
      <c r="F43" s="553"/>
      <c r="G43" s="553"/>
      <c r="H43" s="553"/>
      <c r="I43" s="553"/>
      <c r="J43" s="553"/>
      <c r="K43" s="553"/>
      <c r="L43" s="553"/>
      <c r="M43" s="553"/>
    </row>
    <row r="44" spans="1:14" ht="15.75" x14ac:dyDescent="0.25">
      <c r="A44" s="243"/>
      <c r="B44" s="725" t="s">
        <v>0</v>
      </c>
      <c r="C44" s="726"/>
      <c r="D44" s="726"/>
      <c r="E44" s="239"/>
      <c r="F44" s="553"/>
      <c r="G44" s="553"/>
      <c r="H44" s="553"/>
      <c r="I44" s="553"/>
      <c r="J44" s="553"/>
      <c r="K44" s="553"/>
      <c r="L44" s="553"/>
      <c r="M44" s="553"/>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v>212069.093692831</v>
      </c>
      <c r="C47" s="304">
        <v>216150.39197330599</v>
      </c>
      <c r="D47" s="413">
        <f t="shared" ref="D47:D48" si="3">IF(B47=0, "    ---- ", IF(ABS(ROUND(100/B47*C47-100,1))&lt;999,ROUND(100/B47*C47-100,1),IF(ROUND(100/B47*C47-100,1)&gt;999,999,-999)))</f>
        <v>1.9</v>
      </c>
      <c r="E47" s="11">
        <f>IFERROR(100/'Skjema total MA'!C47*C47,0)</f>
        <v>6.2552727962769179</v>
      </c>
      <c r="F47" s="145"/>
      <c r="G47" s="33"/>
      <c r="H47" s="158"/>
      <c r="I47" s="158"/>
      <c r="J47" s="37"/>
      <c r="K47" s="37"/>
      <c r="L47" s="158"/>
      <c r="M47" s="158"/>
      <c r="N47" s="148"/>
    </row>
    <row r="48" spans="1:14" s="3" customFormat="1" ht="15.75" x14ac:dyDescent="0.2">
      <c r="A48" s="38" t="s">
        <v>370</v>
      </c>
      <c r="B48" s="277">
        <v>212069.093692831</v>
      </c>
      <c r="C48" s="278">
        <v>216150.39197330599</v>
      </c>
      <c r="D48" s="250">
        <f t="shared" si="3"/>
        <v>1.9</v>
      </c>
      <c r="E48" s="27">
        <f>IFERROR(100/'Skjema total MA'!C48*C48,0)</f>
        <v>11.438291502575501</v>
      </c>
      <c r="F48" s="145"/>
      <c r="G48" s="33"/>
      <c r="H48" s="145"/>
      <c r="I48" s="145"/>
      <c r="J48" s="33"/>
      <c r="K48" s="33"/>
      <c r="L48" s="158"/>
      <c r="M48" s="158"/>
      <c r="N48" s="148"/>
    </row>
    <row r="49" spans="1:14" s="3" customFormat="1" ht="15.75" x14ac:dyDescent="0.2">
      <c r="A49" s="38" t="s">
        <v>371</v>
      </c>
      <c r="B49" s="44"/>
      <c r="C49" s="283"/>
      <c r="D49" s="250"/>
      <c r="E49" s="27"/>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c r="C53" s="304"/>
      <c r="D53" s="414"/>
      <c r="E53" s="11"/>
      <c r="F53" s="145"/>
      <c r="G53" s="33"/>
      <c r="H53" s="145"/>
      <c r="I53" s="145"/>
      <c r="J53" s="33"/>
      <c r="K53" s="33"/>
      <c r="L53" s="158"/>
      <c r="M53" s="158"/>
      <c r="N53" s="148"/>
    </row>
    <row r="54" spans="1:14" s="3" customFormat="1" ht="15.75" x14ac:dyDescent="0.2">
      <c r="A54" s="38" t="s">
        <v>370</v>
      </c>
      <c r="B54" s="277"/>
      <c r="C54" s="278"/>
      <c r="D54" s="250"/>
      <c r="E54" s="27"/>
      <c r="F54" s="145"/>
      <c r="G54" s="33"/>
      <c r="H54" s="145"/>
      <c r="I54" s="145"/>
      <c r="J54" s="33"/>
      <c r="K54" s="33"/>
      <c r="L54" s="158"/>
      <c r="M54" s="158"/>
      <c r="N54" s="148"/>
    </row>
    <row r="55" spans="1:14" s="3" customFormat="1" ht="15.75" x14ac:dyDescent="0.2">
      <c r="A55" s="38" t="s">
        <v>371</v>
      </c>
      <c r="B55" s="277"/>
      <c r="C55" s="278"/>
      <c r="D55" s="250"/>
      <c r="E55" s="27"/>
      <c r="F55" s="145"/>
      <c r="G55" s="33"/>
      <c r="H55" s="145"/>
      <c r="I55" s="145"/>
      <c r="J55" s="33"/>
      <c r="K55" s="33"/>
      <c r="L55" s="158"/>
      <c r="M55" s="158"/>
      <c r="N55" s="148"/>
    </row>
    <row r="56" spans="1:14" s="3" customFormat="1" ht="15.75" x14ac:dyDescent="0.2">
      <c r="A56" s="39" t="s">
        <v>373</v>
      </c>
      <c r="B56" s="303"/>
      <c r="C56" s="304"/>
      <c r="D56" s="414"/>
      <c r="E56" s="11"/>
      <c r="F56" s="145"/>
      <c r="G56" s="33"/>
      <c r="H56" s="145"/>
      <c r="I56" s="145"/>
      <c r="J56" s="33"/>
      <c r="K56" s="33"/>
      <c r="L56" s="158"/>
      <c r="M56" s="158"/>
      <c r="N56" s="148"/>
    </row>
    <row r="57" spans="1:14" s="3" customFormat="1" ht="15.75" x14ac:dyDescent="0.2">
      <c r="A57" s="38" t="s">
        <v>370</v>
      </c>
      <c r="B57" s="277"/>
      <c r="C57" s="278"/>
      <c r="D57" s="250"/>
      <c r="E57" s="27"/>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551"/>
      <c r="F62" s="724"/>
      <c r="G62" s="724"/>
      <c r="H62" s="724"/>
      <c r="I62" s="551"/>
      <c r="J62" s="724"/>
      <c r="K62" s="724"/>
      <c r="L62" s="724"/>
      <c r="M62" s="551"/>
    </row>
    <row r="63" spans="1:14" x14ac:dyDescent="0.2">
      <c r="A63" s="144"/>
      <c r="B63" s="725" t="s">
        <v>0</v>
      </c>
      <c r="C63" s="726"/>
      <c r="D63" s="727"/>
      <c r="E63" s="548"/>
      <c r="F63" s="726" t="s">
        <v>1</v>
      </c>
      <c r="G63" s="726"/>
      <c r="H63" s="726"/>
      <c r="I63" s="550"/>
      <c r="J63" s="725" t="s">
        <v>2</v>
      </c>
      <c r="K63" s="726"/>
      <c r="L63" s="726"/>
      <c r="M63" s="550"/>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c r="C66" s="343"/>
      <c r="D66" s="340"/>
      <c r="E66" s="11"/>
      <c r="F66" s="342"/>
      <c r="G66" s="342"/>
      <c r="H66" s="340"/>
      <c r="I66" s="11"/>
      <c r="J66" s="302"/>
      <c r="K66" s="309"/>
      <c r="L66" s="414"/>
      <c r="M66" s="11"/>
    </row>
    <row r="67" spans="1:14" x14ac:dyDescent="0.2">
      <c r="A67" s="405" t="s">
        <v>9</v>
      </c>
      <c r="B67" s="44"/>
      <c r="C67" s="145"/>
      <c r="D67" s="165"/>
      <c r="E67" s="27"/>
      <c r="F67" s="230"/>
      <c r="G67" s="145"/>
      <c r="H67" s="165"/>
      <c r="I67" s="27"/>
      <c r="J67" s="283"/>
      <c r="K67" s="44"/>
      <c r="L67" s="250"/>
      <c r="M67" s="27"/>
    </row>
    <row r="68" spans="1:14" x14ac:dyDescent="0.2">
      <c r="A68" s="21" t="s">
        <v>10</v>
      </c>
      <c r="B68" s="287"/>
      <c r="C68" s="288"/>
      <c r="D68" s="165"/>
      <c r="E68" s="27"/>
      <c r="F68" s="287"/>
      <c r="G68" s="288"/>
      <c r="H68" s="165"/>
      <c r="I68" s="27"/>
      <c r="J68" s="283"/>
      <c r="K68" s="44"/>
      <c r="L68" s="250"/>
      <c r="M68" s="27"/>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c r="C75" s="145"/>
      <c r="D75" s="165"/>
      <c r="E75" s="27"/>
      <c r="F75" s="230"/>
      <c r="G75" s="145"/>
      <c r="H75" s="165"/>
      <c r="I75" s="27"/>
      <c r="J75" s="283"/>
      <c r="K75" s="44"/>
      <c r="L75" s="250"/>
      <c r="M75" s="27"/>
      <c r="N75" s="148"/>
    </row>
    <row r="76" spans="1:14" s="3" customFormat="1" x14ac:dyDescent="0.2">
      <c r="A76" s="21" t="s">
        <v>343</v>
      </c>
      <c r="B76" s="230"/>
      <c r="C76" s="145"/>
      <c r="D76" s="165"/>
      <c r="E76" s="27"/>
      <c r="F76" s="230"/>
      <c r="G76" s="145"/>
      <c r="H76" s="165"/>
      <c r="I76" s="27"/>
      <c r="J76" s="283"/>
      <c r="K76" s="44"/>
      <c r="L76" s="250"/>
      <c r="M76" s="27"/>
      <c r="N76" s="148"/>
    </row>
    <row r="77" spans="1:14" ht="15.75" x14ac:dyDescent="0.2">
      <c r="A77" s="21" t="s">
        <v>376</v>
      </c>
      <c r="B77" s="230"/>
      <c r="C77" s="230"/>
      <c r="D77" s="165"/>
      <c r="E77" s="27"/>
      <c r="F77" s="230"/>
      <c r="G77" s="145"/>
      <c r="H77" s="165"/>
      <c r="I77" s="27"/>
      <c r="J77" s="283"/>
      <c r="K77" s="44"/>
      <c r="L77" s="250"/>
      <c r="M77" s="27"/>
    </row>
    <row r="78" spans="1:14" x14ac:dyDescent="0.2">
      <c r="A78" s="21" t="s">
        <v>9</v>
      </c>
      <c r="B78" s="230"/>
      <c r="C78" s="145"/>
      <c r="D78" s="165"/>
      <c r="E78" s="27"/>
      <c r="F78" s="230"/>
      <c r="G78" s="145"/>
      <c r="H78" s="165"/>
      <c r="I78" s="27"/>
      <c r="J78" s="283"/>
      <c r="K78" s="44"/>
      <c r="L78" s="250"/>
      <c r="M78" s="27"/>
    </row>
    <row r="79" spans="1:14" x14ac:dyDescent="0.2">
      <c r="A79" s="38" t="s">
        <v>413</v>
      </c>
      <c r="B79" s="287"/>
      <c r="C79" s="288"/>
      <c r="D79" s="165"/>
      <c r="E79" s="27"/>
      <c r="F79" s="287"/>
      <c r="G79" s="288"/>
      <c r="H79" s="165"/>
      <c r="I79" s="27"/>
      <c r="J79" s="283"/>
      <c r="K79" s="44"/>
      <c r="L79" s="250"/>
      <c r="M79" s="27"/>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c r="C86" s="145"/>
      <c r="D86" s="165"/>
      <c r="E86" s="27"/>
      <c r="F86" s="230"/>
      <c r="G86" s="145"/>
      <c r="H86" s="165"/>
      <c r="I86" s="27"/>
      <c r="J86" s="283"/>
      <c r="K86" s="44"/>
      <c r="L86" s="250"/>
      <c r="M86" s="27"/>
    </row>
    <row r="87" spans="1:13" ht="15.75" x14ac:dyDescent="0.2">
      <c r="A87" s="13" t="s">
        <v>359</v>
      </c>
      <c r="B87" s="343"/>
      <c r="C87" s="343"/>
      <c r="D87" s="170"/>
      <c r="E87" s="11"/>
      <c r="F87" s="342"/>
      <c r="G87" s="342"/>
      <c r="H87" s="170"/>
      <c r="I87" s="11"/>
      <c r="J87" s="302"/>
      <c r="K87" s="232"/>
      <c r="L87" s="414"/>
      <c r="M87" s="11"/>
    </row>
    <row r="88" spans="1:13" x14ac:dyDescent="0.2">
      <c r="A88" s="21" t="s">
        <v>9</v>
      </c>
      <c r="B88" s="230"/>
      <c r="C88" s="145"/>
      <c r="D88" s="165"/>
      <c r="E88" s="27"/>
      <c r="F88" s="230"/>
      <c r="G88" s="145"/>
      <c r="H88" s="165"/>
      <c r="I88" s="27"/>
      <c r="J88" s="283"/>
      <c r="K88" s="44"/>
      <c r="L88" s="250"/>
      <c r="M88" s="27"/>
    </row>
    <row r="89" spans="1:13" x14ac:dyDescent="0.2">
      <c r="A89" s="21" t="s">
        <v>10</v>
      </c>
      <c r="B89" s="230"/>
      <c r="C89" s="145"/>
      <c r="D89" s="165"/>
      <c r="E89" s="27"/>
      <c r="F89" s="230"/>
      <c r="G89" s="145"/>
      <c r="H89" s="165"/>
      <c r="I89" s="27"/>
      <c r="J89" s="283"/>
      <c r="K89" s="44"/>
      <c r="L89" s="250"/>
      <c r="M89" s="27"/>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c r="C97" s="145"/>
      <c r="D97" s="165"/>
      <c r="E97" s="27"/>
      <c r="F97" s="230"/>
      <c r="G97" s="145"/>
      <c r="H97" s="165"/>
      <c r="I97" s="27"/>
      <c r="J97" s="283"/>
      <c r="K97" s="44"/>
      <c r="L97" s="250"/>
      <c r="M97" s="27"/>
    </row>
    <row r="98" spans="1:13" ht="15.75" x14ac:dyDescent="0.2">
      <c r="A98" s="21" t="s">
        <v>376</v>
      </c>
      <c r="B98" s="230"/>
      <c r="C98" s="230"/>
      <c r="D98" s="165"/>
      <c r="E98" s="27"/>
      <c r="F98" s="287"/>
      <c r="G98" s="287"/>
      <c r="H98" s="165"/>
      <c r="I98" s="27"/>
      <c r="J98" s="283"/>
      <c r="K98" s="44"/>
      <c r="L98" s="250"/>
      <c r="M98" s="27"/>
    </row>
    <row r="99" spans="1:13" x14ac:dyDescent="0.2">
      <c r="A99" s="21" t="s">
        <v>9</v>
      </c>
      <c r="B99" s="287"/>
      <c r="C99" s="288"/>
      <c r="D99" s="165"/>
      <c r="E99" s="27"/>
      <c r="F99" s="230"/>
      <c r="G99" s="145"/>
      <c r="H99" s="165"/>
      <c r="I99" s="27"/>
      <c r="J99" s="283"/>
      <c r="K99" s="44"/>
      <c r="L99" s="250"/>
      <c r="M99" s="27"/>
    </row>
    <row r="100" spans="1:13" x14ac:dyDescent="0.2">
      <c r="A100" s="38" t="s">
        <v>413</v>
      </c>
      <c r="B100" s="287"/>
      <c r="C100" s="288"/>
      <c r="D100" s="165"/>
      <c r="E100" s="27"/>
      <c r="F100" s="230"/>
      <c r="G100" s="230"/>
      <c r="H100" s="165"/>
      <c r="I100" s="27"/>
      <c r="J100" s="283"/>
      <c r="K100" s="44"/>
      <c r="L100" s="250"/>
      <c r="M100" s="27"/>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c r="C107" s="145"/>
      <c r="D107" s="165"/>
      <c r="E107" s="27"/>
      <c r="F107" s="230"/>
      <c r="G107" s="145"/>
      <c r="H107" s="165"/>
      <c r="I107" s="27"/>
      <c r="J107" s="283"/>
      <c r="K107" s="44"/>
      <c r="L107" s="250"/>
      <c r="M107" s="27"/>
    </row>
    <row r="108" spans="1:13" ht="15.75" x14ac:dyDescent="0.2">
      <c r="A108" s="21" t="s">
        <v>378</v>
      </c>
      <c r="B108" s="230"/>
      <c r="C108" s="230"/>
      <c r="D108" s="165"/>
      <c r="E108" s="27"/>
      <c r="F108" s="230"/>
      <c r="G108" s="230"/>
      <c r="H108" s="165"/>
      <c r="I108" s="27"/>
      <c r="J108" s="283"/>
      <c r="K108" s="44"/>
      <c r="L108" s="250"/>
      <c r="M108" s="27"/>
    </row>
    <row r="109" spans="1:13" ht="15.6" customHeight="1" x14ac:dyDescent="0.2">
      <c r="A109" s="21" t="s">
        <v>430</v>
      </c>
      <c r="B109" s="230"/>
      <c r="C109" s="230"/>
      <c r="D109" s="165"/>
      <c r="E109" s="27"/>
      <c r="F109" s="230"/>
      <c r="G109" s="230"/>
      <c r="H109" s="165"/>
      <c r="I109" s="27"/>
      <c r="J109" s="283"/>
      <c r="K109" s="44"/>
      <c r="L109" s="250"/>
      <c r="M109" s="27"/>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c r="C111" s="158"/>
      <c r="D111" s="170"/>
      <c r="E111" s="11"/>
      <c r="F111" s="301"/>
      <c r="G111" s="158"/>
      <c r="H111" s="170"/>
      <c r="I111" s="11"/>
      <c r="J111" s="302"/>
      <c r="K111" s="232"/>
      <c r="L111" s="414"/>
      <c r="M111" s="11"/>
    </row>
    <row r="112" spans="1:13" x14ac:dyDescent="0.2">
      <c r="A112" s="21" t="s">
        <v>9</v>
      </c>
      <c r="B112" s="230"/>
      <c r="C112" s="145"/>
      <c r="D112" s="165"/>
      <c r="E112" s="27"/>
      <c r="F112" s="230"/>
      <c r="G112" s="145"/>
      <c r="H112" s="165"/>
      <c r="I112" s="27"/>
      <c r="J112" s="283"/>
      <c r="K112" s="44"/>
      <c r="L112" s="250"/>
      <c r="M112" s="27"/>
    </row>
    <row r="113" spans="1:14" x14ac:dyDescent="0.2">
      <c r="A113" s="21" t="s">
        <v>10</v>
      </c>
      <c r="B113" s="230"/>
      <c r="C113" s="145"/>
      <c r="D113" s="165"/>
      <c r="E113" s="27"/>
      <c r="F113" s="230"/>
      <c r="G113" s="145"/>
      <c r="H113" s="165"/>
      <c r="I113" s="27"/>
      <c r="J113" s="283"/>
      <c r="K113" s="44"/>
      <c r="L113" s="250"/>
      <c r="M113" s="27"/>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c r="C116" s="230"/>
      <c r="D116" s="165"/>
      <c r="E116" s="27"/>
      <c r="F116" s="230"/>
      <c r="G116" s="230"/>
      <c r="H116" s="165"/>
      <c r="I116" s="27"/>
      <c r="J116" s="283"/>
      <c r="K116" s="44"/>
      <c r="L116" s="250"/>
      <c r="M116" s="27"/>
    </row>
    <row r="117" spans="1:14" ht="15.6" customHeight="1" x14ac:dyDescent="0.2">
      <c r="A117" s="21" t="s">
        <v>430</v>
      </c>
      <c r="B117" s="230"/>
      <c r="C117" s="230"/>
      <c r="D117" s="165"/>
      <c r="E117" s="27"/>
      <c r="F117" s="230"/>
      <c r="G117" s="230"/>
      <c r="H117" s="165"/>
      <c r="I117" s="27"/>
      <c r="J117" s="283"/>
      <c r="K117" s="44"/>
      <c r="L117" s="250"/>
      <c r="M117" s="27"/>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c r="C119" s="158"/>
      <c r="D119" s="170"/>
      <c r="E119" s="11"/>
      <c r="F119" s="301"/>
      <c r="G119" s="158"/>
      <c r="H119" s="170"/>
      <c r="I119" s="11"/>
      <c r="J119" s="302"/>
      <c r="K119" s="232"/>
      <c r="L119" s="414"/>
      <c r="M119" s="11"/>
    </row>
    <row r="120" spans="1:14" x14ac:dyDescent="0.2">
      <c r="A120" s="21" t="s">
        <v>9</v>
      </c>
      <c r="B120" s="230"/>
      <c r="C120" s="145"/>
      <c r="D120" s="165"/>
      <c r="E120" s="27"/>
      <c r="F120" s="230"/>
      <c r="G120" s="145"/>
      <c r="H120" s="165"/>
      <c r="I120" s="27"/>
      <c r="J120" s="283"/>
      <c r="K120" s="44"/>
      <c r="L120" s="250"/>
      <c r="M120" s="27"/>
    </row>
    <row r="121" spans="1:14" x14ac:dyDescent="0.2">
      <c r="A121" s="21" t="s">
        <v>10</v>
      </c>
      <c r="B121" s="230"/>
      <c r="C121" s="145"/>
      <c r="D121" s="165"/>
      <c r="E121" s="27"/>
      <c r="F121" s="230"/>
      <c r="G121" s="145"/>
      <c r="H121" s="165"/>
      <c r="I121" s="27"/>
      <c r="J121" s="283"/>
      <c r="K121" s="44"/>
      <c r="L121" s="250"/>
      <c r="M121" s="27"/>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c r="C125" s="230"/>
      <c r="D125" s="165"/>
      <c r="E125" s="27"/>
      <c r="F125" s="230"/>
      <c r="G125" s="230"/>
      <c r="H125" s="165"/>
      <c r="I125" s="27"/>
      <c r="J125" s="283"/>
      <c r="K125" s="44"/>
      <c r="L125" s="250"/>
      <c r="M125" s="27"/>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551"/>
      <c r="F130" s="724"/>
      <c r="G130" s="724"/>
      <c r="H130" s="724"/>
      <c r="I130" s="551"/>
      <c r="J130" s="724"/>
      <c r="K130" s="724"/>
      <c r="L130" s="724"/>
      <c r="M130" s="551"/>
    </row>
    <row r="131" spans="1:14" s="3" customFormat="1" x14ac:dyDescent="0.2">
      <c r="A131" s="144"/>
      <c r="B131" s="725" t="s">
        <v>0</v>
      </c>
      <c r="C131" s="726"/>
      <c r="D131" s="726"/>
      <c r="E131" s="549"/>
      <c r="F131" s="725" t="s">
        <v>1</v>
      </c>
      <c r="G131" s="726"/>
      <c r="H131" s="726"/>
      <c r="I131" s="550"/>
      <c r="J131" s="725" t="s">
        <v>2</v>
      </c>
      <c r="K131" s="726"/>
      <c r="L131" s="726"/>
      <c r="M131" s="550"/>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c r="C134" s="302"/>
      <c r="D134" s="340"/>
      <c r="E134" s="11"/>
      <c r="F134" s="309"/>
      <c r="G134" s="310"/>
      <c r="H134" s="417"/>
      <c r="I134" s="24"/>
      <c r="J134" s="311"/>
      <c r="K134" s="311"/>
      <c r="L134" s="413"/>
      <c r="M134" s="11"/>
      <c r="N134" s="148"/>
    </row>
    <row r="135" spans="1:14" s="3" customFormat="1" ht="15.75" x14ac:dyDescent="0.2">
      <c r="A135" s="13" t="s">
        <v>386</v>
      </c>
      <c r="B135" s="232"/>
      <c r="C135" s="302"/>
      <c r="D135" s="170"/>
      <c r="E135" s="11"/>
      <c r="F135" s="232"/>
      <c r="G135" s="302"/>
      <c r="H135" s="418"/>
      <c r="I135" s="24"/>
      <c r="J135" s="301"/>
      <c r="K135" s="301"/>
      <c r="L135" s="414"/>
      <c r="M135" s="11"/>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A50:A52">
    <cfRule type="expression" dxfId="293" priority="8">
      <formula>kvartal &lt; 4</formula>
    </cfRule>
  </conditionalFormatting>
  <conditionalFormatting sqref="A69:A74">
    <cfRule type="expression" dxfId="292" priority="7">
      <formula>kvartal &lt; 4</formula>
    </cfRule>
  </conditionalFormatting>
  <conditionalFormatting sqref="A80:A85">
    <cfRule type="expression" dxfId="291" priority="6">
      <formula>kvartal &lt; 4</formula>
    </cfRule>
  </conditionalFormatting>
  <conditionalFormatting sqref="A90:A95">
    <cfRule type="expression" dxfId="290" priority="5">
      <formula>kvartal &lt; 4</formula>
    </cfRule>
  </conditionalFormatting>
  <conditionalFormatting sqref="A101:A106">
    <cfRule type="expression" dxfId="289" priority="4">
      <formula>kvartal &lt; 4</formula>
    </cfRule>
  </conditionalFormatting>
  <conditionalFormatting sqref="A115">
    <cfRule type="expression" dxfId="288" priority="3">
      <formula>kvartal &lt; 4</formula>
    </cfRule>
  </conditionalFormatting>
  <conditionalFormatting sqref="A123">
    <cfRule type="expression" dxfId="287" priority="2">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N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244" t="s">
        <v>71</v>
      </c>
      <c r="D1" s="26"/>
      <c r="E1" s="26"/>
      <c r="F1" s="26"/>
      <c r="G1" s="26"/>
      <c r="H1" s="26"/>
      <c r="I1" s="26"/>
      <c r="J1" s="26"/>
      <c r="K1" s="26"/>
      <c r="L1" s="26"/>
      <c r="M1" s="26"/>
    </row>
    <row r="2" spans="1:14" ht="15.75" x14ac:dyDescent="0.25">
      <c r="A2" s="164" t="s">
        <v>28</v>
      </c>
      <c r="B2" s="729"/>
      <c r="C2" s="729"/>
      <c r="D2" s="729"/>
      <c r="E2" s="292"/>
      <c r="F2" s="729"/>
      <c r="G2" s="729"/>
      <c r="H2" s="729"/>
      <c r="I2" s="292"/>
      <c r="J2" s="729"/>
      <c r="K2" s="729"/>
      <c r="L2" s="729"/>
      <c r="M2" s="292"/>
    </row>
    <row r="3" spans="1:14" ht="15.75" x14ac:dyDescent="0.25">
      <c r="A3" s="162"/>
      <c r="B3" s="292"/>
      <c r="C3" s="292"/>
      <c r="D3" s="292"/>
      <c r="E3" s="292"/>
      <c r="F3" s="292"/>
      <c r="G3" s="292"/>
      <c r="H3" s="292"/>
      <c r="I3" s="292"/>
      <c r="J3" s="292"/>
      <c r="K3" s="292"/>
      <c r="L3" s="292"/>
      <c r="M3" s="292"/>
    </row>
    <row r="4" spans="1:14" x14ac:dyDescent="0.2">
      <c r="A4" s="144"/>
      <c r="B4" s="725" t="s">
        <v>0</v>
      </c>
      <c r="C4" s="726"/>
      <c r="D4" s="726"/>
      <c r="E4" s="294"/>
      <c r="F4" s="725" t="s">
        <v>1</v>
      </c>
      <c r="G4" s="726"/>
      <c r="H4" s="726"/>
      <c r="I4" s="297"/>
      <c r="J4" s="725" t="s">
        <v>2</v>
      </c>
      <c r="K4" s="726"/>
      <c r="L4" s="726"/>
      <c r="M4" s="297"/>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c r="C7" s="300"/>
      <c r="D7" s="340"/>
      <c r="E7" s="11"/>
      <c r="F7" s="299">
        <v>27354.006140000001</v>
      </c>
      <c r="G7" s="300">
        <v>24610.40266</v>
      </c>
      <c r="H7" s="340">
        <f>IF(F7=0, "    ---- ", IF(ABS(ROUND(100/F7*G7-100,1))&lt;999,ROUND(100/F7*G7-100,1),IF(ROUND(100/F7*G7-100,1)&gt;999,999,-999)))</f>
        <v>-10</v>
      </c>
      <c r="I7" s="159">
        <f>IFERROR(100/'Skjema total MA'!F7*G7,0)</f>
        <v>0.71645560760905425</v>
      </c>
      <c r="J7" s="301">
        <f t="shared" ref="J7:K12" si="0">SUM(B7,F7)</f>
        <v>27354.006140000001</v>
      </c>
      <c r="K7" s="302">
        <f t="shared" si="0"/>
        <v>24610.40266</v>
      </c>
      <c r="L7" s="413">
        <f>IF(J7=0, "    ---- ", IF(ABS(ROUND(100/J7*K7-100,1))&lt;999,ROUND(100/J7*K7-100,1),IF(ROUND(100/J7*K7-100,1)&gt;999,999,-999)))</f>
        <v>-10</v>
      </c>
      <c r="M7" s="11">
        <f>IFERROR(100/'Skjema total MA'!I7*K7,0)</f>
        <v>0.47614996516678865</v>
      </c>
    </row>
    <row r="8" spans="1:14" ht="15.75" x14ac:dyDescent="0.2">
      <c r="A8" s="21" t="s">
        <v>25</v>
      </c>
      <c r="B8" s="277"/>
      <c r="C8" s="278"/>
      <c r="D8" s="165"/>
      <c r="E8" s="27"/>
      <c r="F8" s="281"/>
      <c r="G8" s="282"/>
      <c r="H8" s="165"/>
      <c r="I8" s="174"/>
      <c r="J8" s="230"/>
      <c r="K8" s="283"/>
      <c r="L8" s="165"/>
      <c r="M8" s="27"/>
    </row>
    <row r="9" spans="1:14" ht="15.75" x14ac:dyDescent="0.2">
      <c r="A9" s="21" t="s">
        <v>24</v>
      </c>
      <c r="B9" s="277"/>
      <c r="C9" s="278"/>
      <c r="D9" s="165"/>
      <c r="E9" s="27"/>
      <c r="F9" s="281"/>
      <c r="G9" s="282"/>
      <c r="H9" s="165"/>
      <c r="I9" s="174"/>
      <c r="J9" s="230"/>
      <c r="K9" s="283"/>
      <c r="L9" s="165"/>
      <c r="M9" s="27"/>
    </row>
    <row r="10" spans="1:14" ht="15.75" x14ac:dyDescent="0.2">
      <c r="A10" s="13" t="s">
        <v>359</v>
      </c>
      <c r="B10" s="303"/>
      <c r="C10" s="304"/>
      <c r="D10" s="170"/>
      <c r="E10" s="11"/>
      <c r="F10" s="303">
        <v>1131539.50517</v>
      </c>
      <c r="G10" s="304">
        <v>1214430.7515199999</v>
      </c>
      <c r="H10" s="170">
        <f t="shared" ref="H10:H12" si="1">IF(F10=0, "    ---- ", IF(ABS(ROUND(100/F10*G10-100,1))&lt;999,ROUND(100/F10*G10-100,1),IF(ROUND(100/F10*G10-100,1)&gt;999,999,-999)))</f>
        <v>7.3</v>
      </c>
      <c r="I10" s="159">
        <f>IFERROR(100/'Skjema total MA'!F10*G10,0)</f>
        <v>1.6207700953844901</v>
      </c>
      <c r="J10" s="301">
        <f t="shared" si="0"/>
        <v>1131539.50517</v>
      </c>
      <c r="K10" s="302">
        <f t="shared" si="0"/>
        <v>1214430.7515199999</v>
      </c>
      <c r="L10" s="414">
        <f t="shared" ref="L10:L12" si="2">IF(J10=0, "    ---- ", IF(ABS(ROUND(100/J10*K10-100,1))&lt;999,ROUND(100/J10*K10-100,1),IF(ROUND(100/J10*K10-100,1)&gt;999,999,-999)))</f>
        <v>7.3</v>
      </c>
      <c r="M10" s="11">
        <f>IFERROR(100/'Skjema total MA'!I10*K10,0)</f>
        <v>1.329639441574868</v>
      </c>
    </row>
    <row r="11" spans="1:14" s="43" customFormat="1" ht="15.75" x14ac:dyDescent="0.2">
      <c r="A11" s="13" t="s">
        <v>360</v>
      </c>
      <c r="B11" s="303"/>
      <c r="C11" s="304"/>
      <c r="D11" s="170"/>
      <c r="E11" s="11"/>
      <c r="F11" s="303">
        <v>3314.665</v>
      </c>
      <c r="G11" s="304">
        <v>5129.3289999999997</v>
      </c>
      <c r="H11" s="170">
        <f t="shared" si="1"/>
        <v>54.7</v>
      </c>
      <c r="I11" s="159">
        <f>IFERROR(100/'Skjema total MA'!F11*G11,0)</f>
        <v>1.7119292189979882</v>
      </c>
      <c r="J11" s="301">
        <f t="shared" si="0"/>
        <v>3314.665</v>
      </c>
      <c r="K11" s="302">
        <f t="shared" si="0"/>
        <v>5129.3289999999997</v>
      </c>
      <c r="L11" s="414">
        <f t="shared" si="2"/>
        <v>54.7</v>
      </c>
      <c r="M11" s="11">
        <f>IFERROR(100/'Skjema total MA'!I11*K11,0)</f>
        <v>1.6203648012830405</v>
      </c>
      <c r="N11" s="143"/>
    </row>
    <row r="12" spans="1:14" s="43" customFormat="1" ht="15.75" x14ac:dyDescent="0.2">
      <c r="A12" s="41" t="s">
        <v>361</v>
      </c>
      <c r="B12" s="305"/>
      <c r="C12" s="306"/>
      <c r="D12" s="168"/>
      <c r="E12" s="36"/>
      <c r="F12" s="305">
        <v>680.12275</v>
      </c>
      <c r="G12" s="306">
        <v>2024.0945400000001</v>
      </c>
      <c r="H12" s="168">
        <f t="shared" si="1"/>
        <v>197.6</v>
      </c>
      <c r="I12" s="168">
        <f>IFERROR(100/'Skjema total MA'!F12*G12,0)</f>
        <v>3.7502113584969745</v>
      </c>
      <c r="J12" s="307">
        <f t="shared" si="0"/>
        <v>680.12275</v>
      </c>
      <c r="K12" s="308">
        <f t="shared" si="0"/>
        <v>2024.0945400000001</v>
      </c>
      <c r="L12" s="415">
        <f t="shared" si="2"/>
        <v>197.6</v>
      </c>
      <c r="M12" s="36">
        <f>IFERROR(100/'Skjema total MA'!I12*K12,0)</f>
        <v>3.6450651733792454</v>
      </c>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292"/>
      <c r="F18" s="724"/>
      <c r="G18" s="724"/>
      <c r="H18" s="724"/>
      <c r="I18" s="292"/>
      <c r="J18" s="724"/>
      <c r="K18" s="724"/>
      <c r="L18" s="724"/>
      <c r="M18" s="292"/>
    </row>
    <row r="19" spans="1:14" x14ac:dyDescent="0.2">
      <c r="A19" s="144"/>
      <c r="B19" s="725" t="s">
        <v>0</v>
      </c>
      <c r="C19" s="726"/>
      <c r="D19" s="726"/>
      <c r="E19" s="294"/>
      <c r="F19" s="725" t="s">
        <v>1</v>
      </c>
      <c r="G19" s="726"/>
      <c r="H19" s="726"/>
      <c r="I19" s="297"/>
      <c r="J19" s="725" t="s">
        <v>2</v>
      </c>
      <c r="K19" s="726"/>
      <c r="L19" s="726"/>
      <c r="M19" s="297"/>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303"/>
      <c r="C22" s="303"/>
      <c r="D22" s="340"/>
      <c r="E22" s="11"/>
      <c r="F22" s="311">
        <v>16062.94795</v>
      </c>
      <c r="G22" s="311">
        <v>7297.3219600000002</v>
      </c>
      <c r="H22" s="340">
        <f t="shared" ref="H22:H35" si="3">IF(F22=0, "    ---- ", IF(ABS(ROUND(100/F22*G22-100,1))&lt;999,ROUND(100/F22*G22-100,1),IF(ROUND(100/F22*G22-100,1)&gt;999,999,-999)))</f>
        <v>-54.6</v>
      </c>
      <c r="I22" s="11">
        <f>IFERROR(100/'Skjema total MA'!F22*G22,0)</f>
        <v>2.6692375266304671</v>
      </c>
      <c r="J22" s="309">
        <f t="shared" ref="J22:K35" si="4">SUM(B22,F22)</f>
        <v>16062.94795</v>
      </c>
      <c r="K22" s="309">
        <f t="shared" si="4"/>
        <v>7297.3219600000002</v>
      </c>
      <c r="L22" s="413">
        <f t="shared" ref="L22:L35" si="5">IF(J22=0, "    ---- ", IF(ABS(ROUND(100/J22*K22-100,1))&lt;999,ROUND(100/J22*K22-100,1),IF(ROUND(100/J22*K22-100,1)&gt;999,999,-999)))</f>
        <v>-54.6</v>
      </c>
      <c r="M22" s="24">
        <f>IFERROR(100/'Skjema total MA'!I22*K22,0)</f>
        <v>0.70537792212239592</v>
      </c>
    </row>
    <row r="23" spans="1:14" ht="15.75" x14ac:dyDescent="0.2">
      <c r="A23" s="555" t="s">
        <v>362</v>
      </c>
      <c r="B23" s="277"/>
      <c r="C23" s="277"/>
      <c r="D23" s="165"/>
      <c r="E23" s="11"/>
      <c r="F23" s="286">
        <v>139.10195999999999</v>
      </c>
      <c r="G23" s="286">
        <v>69.400000000000006</v>
      </c>
      <c r="H23" s="165">
        <f t="shared" si="3"/>
        <v>-50.1</v>
      </c>
      <c r="I23" s="403">
        <f>IFERROR(100/'Skjema total MA'!F23*G23,0)</f>
        <v>0.36272492115034449</v>
      </c>
      <c r="J23" s="286">
        <f t="shared" ref="J23:J26" si="6">SUM(B23,F23)</f>
        <v>139.10195999999999</v>
      </c>
      <c r="K23" s="286">
        <f t="shared" ref="K23:K26" si="7">SUM(C23,G23)</f>
        <v>69.400000000000006</v>
      </c>
      <c r="L23" s="165">
        <f t="shared" si="5"/>
        <v>-50.1</v>
      </c>
      <c r="M23" s="23">
        <f>IFERROR(100/'Skjema total MA'!I23*K23,0)</f>
        <v>1.8261546884702023E-2</v>
      </c>
    </row>
    <row r="24" spans="1:14" ht="15.75" x14ac:dyDescent="0.2">
      <c r="A24" s="555" t="s">
        <v>363</v>
      </c>
      <c r="B24" s="277"/>
      <c r="C24" s="277"/>
      <c r="D24" s="165"/>
      <c r="E24" s="11"/>
      <c r="F24" s="286"/>
      <c r="G24" s="286"/>
      <c r="H24" s="165"/>
      <c r="I24" s="403"/>
      <c r="J24" s="286"/>
      <c r="K24" s="286"/>
      <c r="L24" s="165"/>
      <c r="M24" s="23"/>
    </row>
    <row r="25" spans="1:14" ht="15.75" x14ac:dyDescent="0.2">
      <c r="A25" s="555" t="s">
        <v>364</v>
      </c>
      <c r="B25" s="277"/>
      <c r="C25" s="277"/>
      <c r="D25" s="165"/>
      <c r="E25" s="11"/>
      <c r="F25" s="286"/>
      <c r="G25" s="286"/>
      <c r="H25" s="165"/>
      <c r="I25" s="403"/>
      <c r="J25" s="286"/>
      <c r="K25" s="286"/>
      <c r="L25" s="165"/>
      <c r="M25" s="23"/>
    </row>
    <row r="26" spans="1:14" ht="15.75" x14ac:dyDescent="0.2">
      <c r="A26" s="555" t="s">
        <v>365</v>
      </c>
      <c r="B26" s="277"/>
      <c r="C26" s="277"/>
      <c r="D26" s="165"/>
      <c r="E26" s="11"/>
      <c r="F26" s="286">
        <v>15923.84599</v>
      </c>
      <c r="G26" s="286">
        <v>7227.9219599999997</v>
      </c>
      <c r="H26" s="165">
        <f t="shared" si="3"/>
        <v>-54.6</v>
      </c>
      <c r="I26" s="403">
        <f>IFERROR(100/'Skjema total MA'!F26*G26,0)</f>
        <v>2.8965464092940283</v>
      </c>
      <c r="J26" s="286">
        <f t="shared" si="6"/>
        <v>15923.84599</v>
      </c>
      <c r="K26" s="286">
        <f t="shared" si="7"/>
        <v>7227.9219599999997</v>
      </c>
      <c r="L26" s="165">
        <f t="shared" si="5"/>
        <v>-54.6</v>
      </c>
      <c r="M26" s="23">
        <f>IFERROR(100/'Skjema total MA'!I26*K26,0)</f>
        <v>2.8965464092940283</v>
      </c>
    </row>
    <row r="27" spans="1:14" x14ac:dyDescent="0.2">
      <c r="A27" s="555" t="s">
        <v>11</v>
      </c>
      <c r="B27" s="277"/>
      <c r="C27" s="277"/>
      <c r="D27" s="165"/>
      <c r="E27" s="11"/>
      <c r="F27" s="286"/>
      <c r="G27" s="286"/>
      <c r="H27" s="165"/>
      <c r="I27" s="403"/>
      <c r="J27" s="286"/>
      <c r="K27" s="286"/>
      <c r="L27" s="165"/>
      <c r="M27" s="23"/>
    </row>
    <row r="28" spans="1:14" ht="15.75" x14ac:dyDescent="0.2">
      <c r="A28" s="49" t="s">
        <v>270</v>
      </c>
      <c r="B28" s="44"/>
      <c r="C28" s="283"/>
      <c r="D28" s="165"/>
      <c r="E28" s="11"/>
      <c r="F28" s="230"/>
      <c r="G28" s="283"/>
      <c r="H28" s="165"/>
      <c r="I28" s="27"/>
      <c r="J28" s="44"/>
      <c r="K28" s="44"/>
      <c r="L28" s="250"/>
      <c r="M28" s="23"/>
    </row>
    <row r="29" spans="1:14" s="3" customFormat="1" ht="15.75" x14ac:dyDescent="0.2">
      <c r="A29" s="13" t="s">
        <v>359</v>
      </c>
      <c r="B29" s="232"/>
      <c r="C29" s="232"/>
      <c r="D29" s="170"/>
      <c r="E29" s="11"/>
      <c r="F29" s="301">
        <v>1042641.2654499999</v>
      </c>
      <c r="G29" s="301">
        <v>1034377.58444</v>
      </c>
      <c r="H29" s="170">
        <f t="shared" si="3"/>
        <v>-0.8</v>
      </c>
      <c r="I29" s="11">
        <f>IFERROR(100/'Skjema total MA'!F29*G29,0)</f>
        <v>4.093802358989282</v>
      </c>
      <c r="J29" s="232">
        <f t="shared" si="4"/>
        <v>1042641.2654499999</v>
      </c>
      <c r="K29" s="232">
        <f t="shared" si="4"/>
        <v>1034377.58444</v>
      </c>
      <c r="L29" s="414">
        <f t="shared" si="5"/>
        <v>-0.8</v>
      </c>
      <c r="M29" s="24">
        <f>IFERROR(100/'Skjema total MA'!I29*K29,0)</f>
        <v>1.4629130649734772</v>
      </c>
      <c r="N29" s="148"/>
    </row>
    <row r="30" spans="1:14" s="3" customFormat="1" ht="15.75" x14ac:dyDescent="0.2">
      <c r="A30" s="555" t="s">
        <v>362</v>
      </c>
      <c r="B30" s="277"/>
      <c r="C30" s="277"/>
      <c r="D30" s="165"/>
      <c r="E30" s="11"/>
      <c r="F30" s="286">
        <v>121283.28958</v>
      </c>
      <c r="G30" s="286">
        <v>113072.66829</v>
      </c>
      <c r="H30" s="165">
        <f t="shared" si="3"/>
        <v>-6.8</v>
      </c>
      <c r="I30" s="403">
        <f>IFERROR(100/'Skjema total MA'!F30*G30,0)</f>
        <v>2.9668706081479637</v>
      </c>
      <c r="J30" s="286">
        <f t="shared" ref="J30:J33" si="8">SUM(B30,F30)</f>
        <v>121283.28958</v>
      </c>
      <c r="K30" s="286">
        <f t="shared" ref="K30:K33" si="9">SUM(C30,G30)</f>
        <v>113072.66829</v>
      </c>
      <c r="L30" s="165">
        <f t="shared" si="5"/>
        <v>-6.8</v>
      </c>
      <c r="M30" s="23">
        <f>IFERROR(100/'Skjema total MA'!I30*K30,0)</f>
        <v>0.80909703772935371</v>
      </c>
      <c r="N30" s="148"/>
    </row>
    <row r="31" spans="1:14" s="3" customFormat="1" ht="15.75" x14ac:dyDescent="0.2">
      <c r="A31" s="555" t="s">
        <v>363</v>
      </c>
      <c r="B31" s="277"/>
      <c r="C31" s="277"/>
      <c r="D31" s="165"/>
      <c r="E31" s="11"/>
      <c r="F31" s="286">
        <v>653781.90281</v>
      </c>
      <c r="G31" s="286">
        <v>610844.91192999994</v>
      </c>
      <c r="H31" s="165">
        <f t="shared" si="3"/>
        <v>-6.6</v>
      </c>
      <c r="I31" s="403">
        <f>IFERROR(100/'Skjema total MA'!F31*G31,0)</f>
        <v>7.07641344169555</v>
      </c>
      <c r="J31" s="286">
        <f t="shared" si="8"/>
        <v>653781.90281</v>
      </c>
      <c r="K31" s="286">
        <f t="shared" si="9"/>
        <v>610844.91192999994</v>
      </c>
      <c r="L31" s="165">
        <f t="shared" si="5"/>
        <v>-6.6</v>
      </c>
      <c r="M31" s="23">
        <f>IFERROR(100/'Skjema total MA'!I31*K31,0)</f>
        <v>1.7623422388115881</v>
      </c>
      <c r="N31" s="148"/>
    </row>
    <row r="32" spans="1:14" ht="15.75" x14ac:dyDescent="0.2">
      <c r="A32" s="555" t="s">
        <v>364</v>
      </c>
      <c r="B32" s="277"/>
      <c r="C32" s="277"/>
      <c r="D32" s="165"/>
      <c r="E32" s="11"/>
      <c r="F32" s="286"/>
      <c r="G32" s="286"/>
      <c r="H32" s="165"/>
      <c r="I32" s="403"/>
      <c r="J32" s="286"/>
      <c r="K32" s="286"/>
      <c r="L32" s="165"/>
      <c r="M32" s="23"/>
    </row>
    <row r="33" spans="1:14" ht="15.75" x14ac:dyDescent="0.2">
      <c r="A33" s="555" t="s">
        <v>365</v>
      </c>
      <c r="B33" s="277"/>
      <c r="C33" s="277"/>
      <c r="D33" s="165"/>
      <c r="E33" s="11"/>
      <c r="F33" s="286">
        <v>267576.07306000002</v>
      </c>
      <c r="G33" s="286">
        <v>334697.26150000002</v>
      </c>
      <c r="H33" s="165">
        <f t="shared" si="3"/>
        <v>25.1</v>
      </c>
      <c r="I33" s="403">
        <f>IFERROR(100/'Skjema total MA'!F34*G33,0)</f>
        <v>1424.8195379984975</v>
      </c>
      <c r="J33" s="286">
        <f t="shared" si="8"/>
        <v>267576.07306000002</v>
      </c>
      <c r="K33" s="286">
        <f t="shared" si="9"/>
        <v>334697.26150000002</v>
      </c>
      <c r="L33" s="165">
        <f t="shared" si="5"/>
        <v>25.1</v>
      </c>
      <c r="M33" s="23">
        <f>IFERROR(100/'Skjema total MA'!I34*K33,0)</f>
        <v>1129.4597289826281</v>
      </c>
    </row>
    <row r="34" spans="1:14" ht="15.75" x14ac:dyDescent="0.2">
      <c r="A34" s="13" t="s">
        <v>360</v>
      </c>
      <c r="B34" s="232"/>
      <c r="C34" s="302"/>
      <c r="D34" s="170"/>
      <c r="E34" s="11"/>
      <c r="F34" s="301">
        <v>1766.9949999999999</v>
      </c>
      <c r="G34" s="302">
        <v>591.35799999999995</v>
      </c>
      <c r="H34" s="170">
        <f t="shared" si="3"/>
        <v>-66.5</v>
      </c>
      <c r="I34" s="11">
        <f>IFERROR(100/'Skjema total MA'!F34*G34,0)</f>
        <v>2.5174344975981087</v>
      </c>
      <c r="J34" s="232">
        <f t="shared" si="4"/>
        <v>1766.9949999999999</v>
      </c>
      <c r="K34" s="232">
        <f t="shared" si="4"/>
        <v>591.35799999999995</v>
      </c>
      <c r="L34" s="414">
        <f t="shared" si="5"/>
        <v>-66.5</v>
      </c>
      <c r="M34" s="24">
        <f>IFERROR(100/'Skjema total MA'!I34*K34,0)</f>
        <v>1.9955796573247699</v>
      </c>
    </row>
    <row r="35" spans="1:14" ht="15.75" x14ac:dyDescent="0.2">
      <c r="A35" s="13" t="s">
        <v>361</v>
      </c>
      <c r="B35" s="232"/>
      <c r="C35" s="302"/>
      <c r="D35" s="170"/>
      <c r="E35" s="11"/>
      <c r="F35" s="301">
        <v>2283.15497</v>
      </c>
      <c r="G35" s="302">
        <v>3185.17641</v>
      </c>
      <c r="H35" s="170">
        <f t="shared" si="3"/>
        <v>39.5</v>
      </c>
      <c r="I35" s="11">
        <f>IFERROR(100/'Skjema total MA'!F35*G35,0)</f>
        <v>12.703059868019924</v>
      </c>
      <c r="J35" s="232">
        <f t="shared" si="4"/>
        <v>2283.15497</v>
      </c>
      <c r="K35" s="232">
        <f t="shared" si="4"/>
        <v>3185.17641</v>
      </c>
      <c r="L35" s="414">
        <f t="shared" si="5"/>
        <v>39.5</v>
      </c>
      <c r="M35" s="24">
        <f>IFERROR(100/'Skjema total MA'!I35*K35,0)</f>
        <v>12.932140430334467</v>
      </c>
    </row>
    <row r="36" spans="1:14" ht="15.75" x14ac:dyDescent="0.2">
      <c r="A36" s="12" t="s">
        <v>278</v>
      </c>
      <c r="B36" s="232"/>
      <c r="C36" s="302"/>
      <c r="D36" s="170"/>
      <c r="E36" s="11"/>
      <c r="F36" s="312"/>
      <c r="G36" s="313"/>
      <c r="H36" s="170"/>
      <c r="I36" s="420"/>
      <c r="J36" s="232"/>
      <c r="K36" s="232"/>
      <c r="L36" s="414"/>
      <c r="M36" s="24"/>
    </row>
    <row r="37" spans="1:14" ht="15.75" x14ac:dyDescent="0.2">
      <c r="A37" s="12" t="s">
        <v>367</v>
      </c>
      <c r="B37" s="232"/>
      <c r="C37" s="302"/>
      <c r="D37" s="170"/>
      <c r="E37" s="11"/>
      <c r="F37" s="312"/>
      <c r="G37" s="314"/>
      <c r="H37" s="170"/>
      <c r="I37" s="420"/>
      <c r="J37" s="232"/>
      <c r="K37" s="232"/>
      <c r="L37" s="414"/>
      <c r="M37" s="24"/>
    </row>
    <row r="38" spans="1:14" ht="15.75" x14ac:dyDescent="0.2">
      <c r="A38" s="12" t="s">
        <v>368</v>
      </c>
      <c r="B38" s="232"/>
      <c r="C38" s="302"/>
      <c r="D38" s="170"/>
      <c r="E38" s="24"/>
      <c r="F38" s="312"/>
      <c r="G38" s="313"/>
      <c r="H38" s="170"/>
      <c r="I38" s="420"/>
      <c r="J38" s="232"/>
      <c r="K38" s="232"/>
      <c r="L38" s="414"/>
      <c r="M38" s="24"/>
    </row>
    <row r="39" spans="1:14" ht="15.75" x14ac:dyDescent="0.2">
      <c r="A39" s="18" t="s">
        <v>369</v>
      </c>
      <c r="B39" s="272"/>
      <c r="C39" s="308"/>
      <c r="D39" s="168"/>
      <c r="E39" s="36"/>
      <c r="F39" s="315"/>
      <c r="G39" s="316"/>
      <c r="H39" s="168"/>
      <c r="I39" s="36"/>
      <c r="J39" s="232"/>
      <c r="K39" s="232"/>
      <c r="L39" s="415"/>
      <c r="M39" s="36"/>
    </row>
    <row r="40" spans="1:14" ht="15.75" x14ac:dyDescent="0.25">
      <c r="A40" s="47"/>
      <c r="B40" s="249"/>
      <c r="C40" s="249"/>
      <c r="D40" s="728"/>
      <c r="E40" s="728"/>
      <c r="F40" s="728"/>
      <c r="G40" s="728"/>
      <c r="H40" s="728"/>
      <c r="I40" s="728"/>
      <c r="J40" s="728"/>
      <c r="K40" s="728"/>
      <c r="L40" s="728"/>
      <c r="M40" s="295"/>
    </row>
    <row r="41" spans="1:14" x14ac:dyDescent="0.2">
      <c r="A41" s="154"/>
    </row>
    <row r="42" spans="1:14" ht="15.75" x14ac:dyDescent="0.25">
      <c r="A42" s="147" t="s">
        <v>267</v>
      </c>
      <c r="B42" s="729"/>
      <c r="C42" s="729"/>
      <c r="D42" s="729"/>
      <c r="E42" s="292"/>
      <c r="F42" s="730"/>
      <c r="G42" s="730"/>
      <c r="H42" s="730"/>
      <c r="I42" s="295"/>
      <c r="J42" s="730"/>
      <c r="K42" s="730"/>
      <c r="L42" s="730"/>
      <c r="M42" s="295"/>
    </row>
    <row r="43" spans="1:14" ht="15.75" x14ac:dyDescent="0.25">
      <c r="A43" s="162"/>
      <c r="B43" s="296"/>
      <c r="C43" s="296"/>
      <c r="D43" s="296"/>
      <c r="E43" s="296"/>
      <c r="F43" s="295"/>
      <c r="G43" s="295"/>
      <c r="H43" s="295"/>
      <c r="I43" s="295"/>
      <c r="J43" s="295"/>
      <c r="K43" s="295"/>
      <c r="L43" s="295"/>
      <c r="M43" s="295"/>
    </row>
    <row r="44" spans="1:14" ht="15.75" x14ac:dyDescent="0.25">
      <c r="A44" s="243"/>
      <c r="B44" s="725" t="s">
        <v>0</v>
      </c>
      <c r="C44" s="726"/>
      <c r="D44" s="726"/>
      <c r="E44" s="239"/>
      <c r="F44" s="295"/>
      <c r="G44" s="295"/>
      <c r="H44" s="295"/>
      <c r="I44" s="295"/>
      <c r="J44" s="295"/>
      <c r="K44" s="295"/>
      <c r="L44" s="295"/>
      <c r="M44" s="295"/>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c r="C47" s="304"/>
      <c r="D47" s="413"/>
      <c r="E47" s="11"/>
      <c r="F47" s="145"/>
      <c r="G47" s="33"/>
      <c r="H47" s="158"/>
      <c r="I47" s="158"/>
      <c r="J47" s="37"/>
      <c r="K47" s="37"/>
      <c r="L47" s="158"/>
      <c r="M47" s="158"/>
      <c r="N47" s="148"/>
    </row>
    <row r="48" spans="1:14" s="3" customFormat="1" ht="15.75" x14ac:dyDescent="0.2">
      <c r="A48" s="38" t="s">
        <v>370</v>
      </c>
      <c r="B48" s="277"/>
      <c r="C48" s="278"/>
      <c r="D48" s="250"/>
      <c r="E48" s="27"/>
      <c r="F48" s="145"/>
      <c r="G48" s="33"/>
      <c r="H48" s="145"/>
      <c r="I48" s="145"/>
      <c r="J48" s="33"/>
      <c r="K48" s="33"/>
      <c r="L48" s="158"/>
      <c r="M48" s="158"/>
      <c r="N48" s="148"/>
    </row>
    <row r="49" spans="1:14" s="3" customFormat="1" ht="15.75" x14ac:dyDescent="0.2">
      <c r="A49" s="38" t="s">
        <v>371</v>
      </c>
      <c r="B49" s="44"/>
      <c r="C49" s="283"/>
      <c r="D49" s="250"/>
      <c r="E49" s="27"/>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c r="C53" s="304"/>
      <c r="D53" s="414"/>
      <c r="E53" s="11"/>
      <c r="F53" s="145"/>
      <c r="G53" s="33"/>
      <c r="H53" s="145"/>
      <c r="I53" s="145"/>
      <c r="J53" s="33"/>
      <c r="K53" s="33"/>
      <c r="L53" s="158"/>
      <c r="M53" s="158"/>
      <c r="N53" s="148"/>
    </row>
    <row r="54" spans="1:14" s="3" customFormat="1" ht="15.75" x14ac:dyDescent="0.2">
      <c r="A54" s="38" t="s">
        <v>370</v>
      </c>
      <c r="B54" s="277"/>
      <c r="C54" s="278"/>
      <c r="D54" s="250"/>
      <c r="E54" s="27"/>
      <c r="F54" s="145"/>
      <c r="G54" s="33"/>
      <c r="H54" s="145"/>
      <c r="I54" s="145"/>
      <c r="J54" s="33"/>
      <c r="K54" s="33"/>
      <c r="L54" s="158"/>
      <c r="M54" s="158"/>
      <c r="N54" s="148"/>
    </row>
    <row r="55" spans="1:14" s="3" customFormat="1" ht="15.75" x14ac:dyDescent="0.2">
      <c r="A55" s="38" t="s">
        <v>371</v>
      </c>
      <c r="B55" s="277"/>
      <c r="C55" s="278"/>
      <c r="D55" s="250"/>
      <c r="E55" s="27"/>
      <c r="F55" s="145"/>
      <c r="G55" s="33"/>
      <c r="H55" s="145"/>
      <c r="I55" s="145"/>
      <c r="J55" s="33"/>
      <c r="K55" s="33"/>
      <c r="L55" s="158"/>
      <c r="M55" s="158"/>
      <c r="N55" s="148"/>
    </row>
    <row r="56" spans="1:14" s="3" customFormat="1" ht="15.75" x14ac:dyDescent="0.2">
      <c r="A56" s="39" t="s">
        <v>373</v>
      </c>
      <c r="B56" s="303"/>
      <c r="C56" s="304"/>
      <c r="D56" s="414"/>
      <c r="E56" s="11"/>
      <c r="F56" s="145"/>
      <c r="G56" s="33"/>
      <c r="H56" s="145"/>
      <c r="I56" s="145"/>
      <c r="J56" s="33"/>
      <c r="K56" s="33"/>
      <c r="L56" s="158"/>
      <c r="M56" s="158"/>
      <c r="N56" s="148"/>
    </row>
    <row r="57" spans="1:14" s="3" customFormat="1" ht="15.75" x14ac:dyDescent="0.2">
      <c r="A57" s="38" t="s">
        <v>370</v>
      </c>
      <c r="B57" s="277"/>
      <c r="C57" s="278"/>
      <c r="D57" s="250"/>
      <c r="E57" s="27"/>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292"/>
      <c r="F62" s="724"/>
      <c r="G62" s="724"/>
      <c r="H62" s="724"/>
      <c r="I62" s="292"/>
      <c r="J62" s="724"/>
      <c r="K62" s="724"/>
      <c r="L62" s="724"/>
      <c r="M62" s="292"/>
    </row>
    <row r="63" spans="1:14" x14ac:dyDescent="0.2">
      <c r="A63" s="144"/>
      <c r="B63" s="725" t="s">
        <v>0</v>
      </c>
      <c r="C63" s="726"/>
      <c r="D63" s="727"/>
      <c r="E63" s="293"/>
      <c r="F63" s="726" t="s">
        <v>1</v>
      </c>
      <c r="G63" s="726"/>
      <c r="H63" s="726"/>
      <c r="I63" s="297"/>
      <c r="J63" s="725" t="s">
        <v>2</v>
      </c>
      <c r="K63" s="726"/>
      <c r="L63" s="726"/>
      <c r="M63" s="297"/>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c r="C66" s="343"/>
      <c r="D66" s="340"/>
      <c r="E66" s="11"/>
      <c r="F66" s="342">
        <v>51.296810000000001</v>
      </c>
      <c r="G66" s="342">
        <v>2.85</v>
      </c>
      <c r="H66" s="340">
        <f t="shared" ref="H66:H111" si="10">IF(F66=0, "    ---- ", IF(ABS(ROUND(100/F66*G66-100,1))&lt;999,ROUND(100/F66*G66-100,1),IF(ROUND(100/F66*G66-100,1)&gt;999,999,-999)))</f>
        <v>-94.4</v>
      </c>
      <c r="I66" s="11">
        <f>IFERROR(100/'Skjema total MA'!F66*G66,0)</f>
        <v>2.8804847822365733E-5</v>
      </c>
      <c r="J66" s="302">
        <f t="shared" ref="J66:K86" si="11">SUM(B66,F66)</f>
        <v>51.296810000000001</v>
      </c>
      <c r="K66" s="309">
        <f t="shared" si="11"/>
        <v>2.85</v>
      </c>
      <c r="L66" s="414">
        <f t="shared" ref="L66:L111" si="12">IF(J66=0, "    ---- ", IF(ABS(ROUND(100/J66*K66-100,1))&lt;999,ROUND(100/J66*K66-100,1),IF(ROUND(100/J66*K66-100,1)&gt;999,999,-999)))</f>
        <v>-94.4</v>
      </c>
      <c r="M66" s="11">
        <f>IFERROR(100/'Skjema total MA'!I66*K66,0)</f>
        <v>2.2714423113397678E-5</v>
      </c>
    </row>
    <row r="67" spans="1:14" x14ac:dyDescent="0.2">
      <c r="A67" s="405" t="s">
        <v>9</v>
      </c>
      <c r="B67" s="44"/>
      <c r="C67" s="145"/>
      <c r="D67" s="165"/>
      <c r="E67" s="27"/>
      <c r="F67" s="230"/>
      <c r="G67" s="145"/>
      <c r="H67" s="165"/>
      <c r="I67" s="27"/>
      <c r="J67" s="283"/>
      <c r="K67" s="44"/>
      <c r="L67" s="250"/>
      <c r="M67" s="27"/>
    </row>
    <row r="68" spans="1:14" x14ac:dyDescent="0.2">
      <c r="A68" s="21" t="s">
        <v>10</v>
      </c>
      <c r="B68" s="287"/>
      <c r="C68" s="288"/>
      <c r="D68" s="165"/>
      <c r="E68" s="27"/>
      <c r="F68" s="287">
        <v>51.296810000000001</v>
      </c>
      <c r="G68" s="288">
        <v>2.85</v>
      </c>
      <c r="H68" s="165">
        <f t="shared" si="10"/>
        <v>-94.4</v>
      </c>
      <c r="I68" s="27">
        <f>IFERROR(100/'Skjema total MA'!F68*G68,0)</f>
        <v>3.0004442235747723E-5</v>
      </c>
      <c r="J68" s="283">
        <f t="shared" si="11"/>
        <v>51.296810000000001</v>
      </c>
      <c r="K68" s="44">
        <f t="shared" si="11"/>
        <v>2.85</v>
      </c>
      <c r="L68" s="250">
        <f t="shared" si="12"/>
        <v>-94.4</v>
      </c>
      <c r="M68" s="27">
        <f>IFERROR(100/'Skjema total MA'!I68*K68,0)</f>
        <v>2.9971623681453336E-5</v>
      </c>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c r="C75" s="145"/>
      <c r="D75" s="165"/>
      <c r="E75" s="27"/>
      <c r="F75" s="230"/>
      <c r="G75" s="145"/>
      <c r="H75" s="165"/>
      <c r="I75" s="27"/>
      <c r="J75" s="283"/>
      <c r="K75" s="44"/>
      <c r="L75" s="250"/>
      <c r="M75" s="27"/>
      <c r="N75" s="148"/>
    </row>
    <row r="76" spans="1:14" s="3" customFormat="1" x14ac:dyDescent="0.2">
      <c r="A76" s="21" t="s">
        <v>343</v>
      </c>
      <c r="B76" s="230"/>
      <c r="C76" s="145"/>
      <c r="D76" s="165"/>
      <c r="E76" s="27"/>
      <c r="F76" s="230"/>
      <c r="G76" s="145"/>
      <c r="H76" s="165"/>
      <c r="I76" s="27"/>
      <c r="J76" s="283"/>
      <c r="K76" s="44"/>
      <c r="L76" s="250"/>
      <c r="M76" s="27"/>
      <c r="N76" s="148"/>
    </row>
    <row r="77" spans="1:14" ht="15.75" x14ac:dyDescent="0.2">
      <c r="A77" s="21" t="s">
        <v>376</v>
      </c>
      <c r="B77" s="230"/>
      <c r="C77" s="230"/>
      <c r="D77" s="165"/>
      <c r="E77" s="27"/>
      <c r="F77" s="230"/>
      <c r="G77" s="145"/>
      <c r="H77" s="165"/>
      <c r="I77" s="27"/>
      <c r="J77" s="283"/>
      <c r="K77" s="44"/>
      <c r="L77" s="250"/>
      <c r="M77" s="27"/>
    </row>
    <row r="78" spans="1:14" x14ac:dyDescent="0.2">
      <c r="A78" s="21" t="s">
        <v>9</v>
      </c>
      <c r="B78" s="230"/>
      <c r="C78" s="145"/>
      <c r="D78" s="165"/>
      <c r="E78" s="27"/>
      <c r="F78" s="230"/>
      <c r="G78" s="145"/>
      <c r="H78" s="165"/>
      <c r="I78" s="27"/>
      <c r="J78" s="283"/>
      <c r="K78" s="44"/>
      <c r="L78" s="250"/>
      <c r="M78" s="27"/>
    </row>
    <row r="79" spans="1:14" x14ac:dyDescent="0.2">
      <c r="A79" s="38" t="s">
        <v>413</v>
      </c>
      <c r="B79" s="287"/>
      <c r="C79" s="288"/>
      <c r="D79" s="165"/>
      <c r="E79" s="27"/>
      <c r="F79" s="287"/>
      <c r="G79" s="288"/>
      <c r="H79" s="165"/>
      <c r="I79" s="27"/>
      <c r="J79" s="283"/>
      <c r="K79" s="44"/>
      <c r="L79" s="250"/>
      <c r="M79" s="27"/>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c r="C86" s="145"/>
      <c r="D86" s="165"/>
      <c r="E86" s="27"/>
      <c r="F86" s="230">
        <v>51.296810000000001</v>
      </c>
      <c r="G86" s="145">
        <v>2.85</v>
      </c>
      <c r="H86" s="165">
        <f t="shared" si="10"/>
        <v>-94.4</v>
      </c>
      <c r="I86" s="27">
        <f>IFERROR(100/'Skjema total MA'!F86*G86,0)</f>
        <v>7.8273330536146615E-2</v>
      </c>
      <c r="J86" s="283">
        <f t="shared" si="11"/>
        <v>51.296810000000001</v>
      </c>
      <c r="K86" s="44">
        <f t="shared" si="11"/>
        <v>2.85</v>
      </c>
      <c r="L86" s="250">
        <f t="shared" si="12"/>
        <v>-94.4</v>
      </c>
      <c r="M86" s="27">
        <f>IFERROR(100/'Skjema total MA'!I86*K86,0)</f>
        <v>2.8779264508658141E-3</v>
      </c>
    </row>
    <row r="87" spans="1:13" ht="15.75" x14ac:dyDescent="0.2">
      <c r="A87" s="13" t="s">
        <v>359</v>
      </c>
      <c r="B87" s="343"/>
      <c r="C87" s="343"/>
      <c r="D87" s="170"/>
      <c r="E87" s="11"/>
      <c r="F87" s="342">
        <v>877072.94293999998</v>
      </c>
      <c r="G87" s="342">
        <v>681118.53899000003</v>
      </c>
      <c r="H87" s="170">
        <f t="shared" si="10"/>
        <v>-22.3</v>
      </c>
      <c r="I87" s="11">
        <f>IFERROR(100/'Skjema total MA'!F87*G87,0)</f>
        <v>0.15370960583087376</v>
      </c>
      <c r="J87" s="302">
        <f t="shared" ref="J87:K111" si="13">SUM(B87,F87)</f>
        <v>877072.94293999998</v>
      </c>
      <c r="K87" s="232">
        <f t="shared" si="13"/>
        <v>681118.53899000003</v>
      </c>
      <c r="L87" s="414">
        <f t="shared" si="12"/>
        <v>-22.3</v>
      </c>
      <c r="M87" s="11">
        <f>IFERROR(100/'Skjema total MA'!I87*K87,0)</f>
        <v>8.0351694019274694E-2</v>
      </c>
    </row>
    <row r="88" spans="1:13" x14ac:dyDescent="0.2">
      <c r="A88" s="21" t="s">
        <v>9</v>
      </c>
      <c r="B88" s="230"/>
      <c r="C88" s="145"/>
      <c r="D88" s="165"/>
      <c r="E88" s="27"/>
      <c r="F88" s="230"/>
      <c r="G88" s="145"/>
      <c r="H88" s="165"/>
      <c r="I88" s="27"/>
      <c r="J88" s="283"/>
      <c r="K88" s="44"/>
      <c r="L88" s="250"/>
      <c r="M88" s="27"/>
    </row>
    <row r="89" spans="1:13" x14ac:dyDescent="0.2">
      <c r="A89" s="21" t="s">
        <v>10</v>
      </c>
      <c r="B89" s="230"/>
      <c r="C89" s="145"/>
      <c r="D89" s="165"/>
      <c r="E89" s="27"/>
      <c r="F89" s="230">
        <v>877072.94293999998</v>
      </c>
      <c r="G89" s="145">
        <v>681118.53899000003</v>
      </c>
      <c r="H89" s="165">
        <f t="shared" si="10"/>
        <v>-22.3</v>
      </c>
      <c r="I89" s="27">
        <f>IFERROR(100/'Skjema total MA'!F89*G89,0)</f>
        <v>0.15545467881283528</v>
      </c>
      <c r="J89" s="283">
        <f t="shared" si="13"/>
        <v>877072.94293999998</v>
      </c>
      <c r="K89" s="44">
        <f t="shared" si="13"/>
        <v>681118.53899000003</v>
      </c>
      <c r="L89" s="250">
        <f t="shared" si="12"/>
        <v>-22.3</v>
      </c>
      <c r="M89" s="27">
        <f>IFERROR(100/'Skjema total MA'!I89*K89,0)</f>
        <v>0.15434151722821846</v>
      </c>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c r="C97" s="145"/>
      <c r="D97" s="165"/>
      <c r="E97" s="27"/>
      <c r="F97" s="230"/>
      <c r="G97" s="145"/>
      <c r="H97" s="165"/>
      <c r="I97" s="27"/>
      <c r="J97" s="283"/>
      <c r="K97" s="44"/>
      <c r="L97" s="250"/>
      <c r="M97" s="27"/>
    </row>
    <row r="98" spans="1:13" ht="15.75" x14ac:dyDescent="0.2">
      <c r="A98" s="21" t="s">
        <v>376</v>
      </c>
      <c r="B98" s="230"/>
      <c r="C98" s="230"/>
      <c r="D98" s="165"/>
      <c r="E98" s="27"/>
      <c r="F98" s="287"/>
      <c r="G98" s="287"/>
      <c r="H98" s="165"/>
      <c r="I98" s="27"/>
      <c r="J98" s="283"/>
      <c r="K98" s="44"/>
      <c r="L98" s="250"/>
      <c r="M98" s="27"/>
    </row>
    <row r="99" spans="1:13" x14ac:dyDescent="0.2">
      <c r="A99" s="21" t="s">
        <v>9</v>
      </c>
      <c r="B99" s="287"/>
      <c r="C99" s="288"/>
      <c r="D99" s="165"/>
      <c r="E99" s="27"/>
      <c r="F99" s="230"/>
      <c r="G99" s="145"/>
      <c r="H99" s="165"/>
      <c r="I99" s="27"/>
      <c r="J99" s="283"/>
      <c r="K99" s="44"/>
      <c r="L99" s="250"/>
      <c r="M99" s="27"/>
    </row>
    <row r="100" spans="1:13" x14ac:dyDescent="0.2">
      <c r="A100" s="38" t="s">
        <v>413</v>
      </c>
      <c r="B100" s="287"/>
      <c r="C100" s="288"/>
      <c r="D100" s="165"/>
      <c r="E100" s="27"/>
      <c r="F100" s="230"/>
      <c r="G100" s="230"/>
      <c r="H100" s="165"/>
      <c r="I100" s="27"/>
      <c r="J100" s="283"/>
      <c r="K100" s="44"/>
      <c r="L100" s="250"/>
      <c r="M100" s="27"/>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c r="C107" s="145"/>
      <c r="D107" s="165"/>
      <c r="E107" s="27"/>
      <c r="F107" s="230">
        <v>877072.94293999998</v>
      </c>
      <c r="G107" s="145">
        <v>681118.53899000003</v>
      </c>
      <c r="H107" s="165">
        <f t="shared" si="10"/>
        <v>-22.3</v>
      </c>
      <c r="I107" s="27">
        <f>IFERROR(100/'Skjema total MA'!F107*G107,0)</f>
        <v>77.973750255639743</v>
      </c>
      <c r="J107" s="283">
        <f t="shared" si="13"/>
        <v>877072.94293999998</v>
      </c>
      <c r="K107" s="44">
        <f t="shared" si="13"/>
        <v>681118.53899000003</v>
      </c>
      <c r="L107" s="250">
        <f t="shared" si="12"/>
        <v>-22.3</v>
      </c>
      <c r="M107" s="27">
        <f>IFERROR(100/'Skjema total MA'!I107*K107,0)</f>
        <v>12.695334275793346</v>
      </c>
    </row>
    <row r="108" spans="1:13" ht="15.75" x14ac:dyDescent="0.2">
      <c r="A108" s="21" t="s">
        <v>378</v>
      </c>
      <c r="B108" s="230"/>
      <c r="C108" s="230"/>
      <c r="D108" s="165"/>
      <c r="E108" s="27"/>
      <c r="F108" s="230"/>
      <c r="G108" s="230"/>
      <c r="H108" s="165"/>
      <c r="I108" s="27"/>
      <c r="J108" s="283"/>
      <c r="K108" s="44"/>
      <c r="L108" s="250"/>
      <c r="M108" s="27"/>
    </row>
    <row r="109" spans="1:13" ht="15.6" customHeight="1" x14ac:dyDescent="0.2">
      <c r="A109" s="21" t="s">
        <v>430</v>
      </c>
      <c r="B109" s="230"/>
      <c r="C109" s="230"/>
      <c r="D109" s="165"/>
      <c r="E109" s="27"/>
      <c r="F109" s="230">
        <v>689216.48519000004</v>
      </c>
      <c r="G109" s="230">
        <v>501962.35320000001</v>
      </c>
      <c r="H109" s="165">
        <f t="shared" si="10"/>
        <v>-27.2</v>
      </c>
      <c r="I109" s="27">
        <f>IFERROR(100/'Skjema total MA'!F109*G109,0)</f>
        <v>0.32412136289976751</v>
      </c>
      <c r="J109" s="283">
        <f t="shared" si="13"/>
        <v>689216.48519000004</v>
      </c>
      <c r="K109" s="44">
        <f t="shared" si="13"/>
        <v>501962.35320000001</v>
      </c>
      <c r="L109" s="250">
        <f t="shared" si="12"/>
        <v>-27.2</v>
      </c>
      <c r="M109" s="27">
        <f>IFERROR(100/'Skjema total MA'!I109*K109,0)</f>
        <v>0.32031388744224659</v>
      </c>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c r="C111" s="158"/>
      <c r="D111" s="170"/>
      <c r="E111" s="11"/>
      <c r="F111" s="301">
        <v>25408.076000000001</v>
      </c>
      <c r="G111" s="158">
        <v>6719.3419999999996</v>
      </c>
      <c r="H111" s="170">
        <f t="shared" si="10"/>
        <v>-73.599999999999994</v>
      </c>
      <c r="I111" s="11">
        <f>IFERROR(100/'Skjema total MA'!F111*G111,0)</f>
        <v>5.9421338961239564E-2</v>
      </c>
      <c r="J111" s="302">
        <f t="shared" si="13"/>
        <v>25408.076000000001</v>
      </c>
      <c r="K111" s="232">
        <f t="shared" si="13"/>
        <v>6719.3419999999996</v>
      </c>
      <c r="L111" s="414">
        <f t="shared" si="12"/>
        <v>-73.599999999999994</v>
      </c>
      <c r="M111" s="11">
        <f>IFERROR(100/'Skjema total MA'!I111*K111,0)</f>
        <v>5.7665106781240184E-2</v>
      </c>
    </row>
    <row r="112" spans="1:13" x14ac:dyDescent="0.2">
      <c r="A112" s="21" t="s">
        <v>9</v>
      </c>
      <c r="B112" s="230"/>
      <c r="C112" s="145"/>
      <c r="D112" s="165"/>
      <c r="E112" s="27"/>
      <c r="F112" s="230"/>
      <c r="G112" s="145"/>
      <c r="H112" s="165"/>
      <c r="I112" s="27"/>
      <c r="J112" s="283"/>
      <c r="K112" s="44"/>
      <c r="L112" s="250"/>
      <c r="M112" s="27"/>
    </row>
    <row r="113" spans="1:14" x14ac:dyDescent="0.2">
      <c r="A113" s="21" t="s">
        <v>10</v>
      </c>
      <c r="B113" s="230"/>
      <c r="C113" s="145"/>
      <c r="D113" s="165"/>
      <c r="E113" s="27"/>
      <c r="F113" s="230">
        <v>25408.076000000001</v>
      </c>
      <c r="G113" s="145">
        <v>6719.3419999999996</v>
      </c>
      <c r="H113" s="165">
        <f t="shared" ref="H113:H125" si="14">IF(F113=0, "    ---- ", IF(ABS(ROUND(100/F113*G113-100,1))&lt;999,ROUND(100/F113*G113-100,1),IF(ROUND(100/F113*G113-100,1)&gt;999,999,-999)))</f>
        <v>-73.599999999999994</v>
      </c>
      <c r="I113" s="27">
        <f>IFERROR(100/'Skjema total MA'!F113*G113,0)</f>
        <v>5.9422279316249507E-2</v>
      </c>
      <c r="J113" s="283">
        <f t="shared" ref="J113:K125" si="15">SUM(B113,F113)</f>
        <v>25408.076000000001</v>
      </c>
      <c r="K113" s="44">
        <f t="shared" si="15"/>
        <v>6719.3419999999996</v>
      </c>
      <c r="L113" s="250">
        <f t="shared" ref="L113:L125" si="16">IF(J113=0, "    ---- ", IF(ABS(ROUND(100/J113*K113-100,1))&lt;999,ROUND(100/J113*K113-100,1),IF(ROUND(100/J113*K113-100,1)&gt;999,999,-999)))</f>
        <v>-73.599999999999994</v>
      </c>
      <c r="M113" s="27">
        <f>IFERROR(100/'Skjema total MA'!I113*K113,0)</f>
        <v>5.9422279316249507E-2</v>
      </c>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c r="C116" s="230"/>
      <c r="D116" s="165"/>
      <c r="E116" s="27"/>
      <c r="F116" s="230"/>
      <c r="G116" s="230"/>
      <c r="H116" s="165"/>
      <c r="I116" s="27"/>
      <c r="J116" s="283"/>
      <c r="K116" s="44"/>
      <c r="L116" s="250"/>
      <c r="M116" s="27"/>
    </row>
    <row r="117" spans="1:14" ht="15.6" customHeight="1" x14ac:dyDescent="0.2">
      <c r="A117" s="21" t="s">
        <v>430</v>
      </c>
      <c r="B117" s="230"/>
      <c r="C117" s="230"/>
      <c r="D117" s="165"/>
      <c r="E117" s="27"/>
      <c r="F117" s="230">
        <v>25408.076000000001</v>
      </c>
      <c r="G117" s="230">
        <v>6719.3419999999996</v>
      </c>
      <c r="H117" s="165">
        <f t="shared" si="14"/>
        <v>-73.599999999999994</v>
      </c>
      <c r="I117" s="27">
        <f>IFERROR(100/'Skjema total MA'!F117*G117,0)</f>
        <v>0.1167652080285566</v>
      </c>
      <c r="J117" s="283">
        <f t="shared" si="15"/>
        <v>25408.076000000001</v>
      </c>
      <c r="K117" s="44">
        <f t="shared" si="15"/>
        <v>6719.3419999999996</v>
      </c>
      <c r="L117" s="250">
        <f t="shared" si="16"/>
        <v>-73.599999999999994</v>
      </c>
      <c r="M117" s="27">
        <f>IFERROR(100/'Skjema total MA'!I117*K117,0)</f>
        <v>0.1167652080285566</v>
      </c>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c r="C119" s="158"/>
      <c r="D119" s="170"/>
      <c r="E119" s="11"/>
      <c r="F119" s="301">
        <v>6968.9656800000002</v>
      </c>
      <c r="G119" s="158">
        <v>21157.43852</v>
      </c>
      <c r="H119" s="170">
        <f t="shared" si="14"/>
        <v>203.6</v>
      </c>
      <c r="I119" s="11">
        <f>IFERROR(100/'Skjema total MA'!F119*G119,0)</f>
        <v>0.17453690437858693</v>
      </c>
      <c r="J119" s="302">
        <f t="shared" si="15"/>
        <v>6968.9656800000002</v>
      </c>
      <c r="K119" s="232">
        <f t="shared" si="15"/>
        <v>21157.43852</v>
      </c>
      <c r="L119" s="414">
        <f t="shared" si="16"/>
        <v>203.6</v>
      </c>
      <c r="M119" s="11">
        <f>IFERROR(100/'Skjema total MA'!I119*K119,0)</f>
        <v>0.16956388773930964</v>
      </c>
    </row>
    <row r="120" spans="1:14" x14ac:dyDescent="0.2">
      <c r="A120" s="21" t="s">
        <v>9</v>
      </c>
      <c r="B120" s="230"/>
      <c r="C120" s="145"/>
      <c r="D120" s="165"/>
      <c r="E120" s="27"/>
      <c r="F120" s="230"/>
      <c r="G120" s="145"/>
      <c r="H120" s="165"/>
      <c r="I120" s="27"/>
      <c r="J120" s="283"/>
      <c r="K120" s="44"/>
      <c r="L120" s="250"/>
      <c r="M120" s="27"/>
    </row>
    <row r="121" spans="1:14" x14ac:dyDescent="0.2">
      <c r="A121" s="21" t="s">
        <v>10</v>
      </c>
      <c r="B121" s="230"/>
      <c r="C121" s="145"/>
      <c r="D121" s="165"/>
      <c r="E121" s="27"/>
      <c r="F121" s="230">
        <v>6968.9656800000002</v>
      </c>
      <c r="G121" s="145">
        <v>21157.43852</v>
      </c>
      <c r="H121" s="165">
        <f t="shared" si="14"/>
        <v>203.6</v>
      </c>
      <c r="I121" s="27">
        <f>IFERROR(100/'Skjema total MA'!F121*G121,0)</f>
        <v>0.17453690437858693</v>
      </c>
      <c r="J121" s="283">
        <f t="shared" si="15"/>
        <v>6968.9656800000002</v>
      </c>
      <c r="K121" s="44">
        <f t="shared" si="15"/>
        <v>21157.43852</v>
      </c>
      <c r="L121" s="250">
        <f t="shared" si="16"/>
        <v>203.6</v>
      </c>
      <c r="M121" s="27">
        <f>IFERROR(100/'Skjema total MA'!I121*K121,0)</f>
        <v>0.17446326625810221</v>
      </c>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c r="C125" s="230"/>
      <c r="D125" s="165"/>
      <c r="E125" s="27"/>
      <c r="F125" s="230">
        <v>6968.9656800000002</v>
      </c>
      <c r="G125" s="230">
        <v>21157.43852</v>
      </c>
      <c r="H125" s="165">
        <f t="shared" si="14"/>
        <v>203.6</v>
      </c>
      <c r="I125" s="27">
        <f>IFERROR(100/'Skjema total MA'!F125*G125,0)</f>
        <v>0.37223126195474238</v>
      </c>
      <c r="J125" s="283">
        <f t="shared" si="15"/>
        <v>6968.9656800000002</v>
      </c>
      <c r="K125" s="44">
        <f t="shared" si="15"/>
        <v>21157.43852</v>
      </c>
      <c r="L125" s="250">
        <f t="shared" si="16"/>
        <v>203.6</v>
      </c>
      <c r="M125" s="27">
        <f>IFERROR(100/'Skjema total MA'!I125*K125,0)</f>
        <v>0.37223018958377851</v>
      </c>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292"/>
      <c r="F130" s="724"/>
      <c r="G130" s="724"/>
      <c r="H130" s="724"/>
      <c r="I130" s="292"/>
      <c r="J130" s="724"/>
      <c r="K130" s="724"/>
      <c r="L130" s="724"/>
      <c r="M130" s="292"/>
    </row>
    <row r="131" spans="1:14" s="3" customFormat="1" x14ac:dyDescent="0.2">
      <c r="A131" s="144"/>
      <c r="B131" s="725" t="s">
        <v>0</v>
      </c>
      <c r="C131" s="726"/>
      <c r="D131" s="726"/>
      <c r="E131" s="294"/>
      <c r="F131" s="725" t="s">
        <v>1</v>
      </c>
      <c r="G131" s="726"/>
      <c r="H131" s="726"/>
      <c r="I131" s="297"/>
      <c r="J131" s="725" t="s">
        <v>2</v>
      </c>
      <c r="K131" s="726"/>
      <c r="L131" s="726"/>
      <c r="M131" s="297"/>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c r="C134" s="302"/>
      <c r="D134" s="340"/>
      <c r="E134" s="11"/>
      <c r="F134" s="309"/>
      <c r="G134" s="310"/>
      <c r="H134" s="417"/>
      <c r="I134" s="24"/>
      <c r="J134" s="311"/>
      <c r="K134" s="311"/>
      <c r="L134" s="413"/>
      <c r="M134" s="11"/>
      <c r="N134" s="148"/>
    </row>
    <row r="135" spans="1:14" s="3" customFormat="1" ht="15.75" x14ac:dyDescent="0.2">
      <c r="A135" s="13" t="s">
        <v>386</v>
      </c>
      <c r="B135" s="232"/>
      <c r="C135" s="302"/>
      <c r="D135" s="170"/>
      <c r="E135" s="11"/>
      <c r="F135" s="232"/>
      <c r="G135" s="302"/>
      <c r="H135" s="418"/>
      <c r="I135" s="24"/>
      <c r="J135" s="301"/>
      <c r="K135" s="301"/>
      <c r="L135" s="414"/>
      <c r="M135" s="11"/>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286" priority="12">
      <formula>kvartal &lt; 4</formula>
    </cfRule>
  </conditionalFormatting>
  <conditionalFormatting sqref="A69:A74">
    <cfRule type="expression" dxfId="285" priority="10">
      <formula>kvartal &lt; 4</formula>
    </cfRule>
  </conditionalFormatting>
  <conditionalFormatting sqref="A80:A85">
    <cfRule type="expression" dxfId="284" priority="9">
      <formula>kvartal &lt; 4</formula>
    </cfRule>
  </conditionalFormatting>
  <conditionalFormatting sqref="A90:A95">
    <cfRule type="expression" dxfId="283" priority="6">
      <formula>kvartal &lt; 4</formula>
    </cfRule>
  </conditionalFormatting>
  <conditionalFormatting sqref="A101:A106">
    <cfRule type="expression" dxfId="282" priority="5">
      <formula>kvartal &lt; 4</formula>
    </cfRule>
  </conditionalFormatting>
  <conditionalFormatting sqref="A115">
    <cfRule type="expression" dxfId="281" priority="4">
      <formula>kvartal &lt; 4</formula>
    </cfRule>
  </conditionalFormatting>
  <conditionalFormatting sqref="A123">
    <cfRule type="expression" dxfId="280" priority="3">
      <formula>kvartal &lt; 4</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N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244" t="s">
        <v>129</v>
      </c>
      <c r="D1" s="26"/>
      <c r="E1" s="26"/>
      <c r="F1" s="26"/>
      <c r="G1" s="26"/>
      <c r="H1" s="26"/>
      <c r="I1" s="26"/>
      <c r="J1" s="26"/>
      <c r="K1" s="26"/>
      <c r="L1" s="26"/>
      <c r="M1" s="26"/>
    </row>
    <row r="2" spans="1:14" ht="15.75" x14ac:dyDescent="0.25">
      <c r="A2" s="164" t="s">
        <v>28</v>
      </c>
      <c r="B2" s="729"/>
      <c r="C2" s="729"/>
      <c r="D2" s="729"/>
      <c r="E2" s="292"/>
      <c r="F2" s="729"/>
      <c r="G2" s="729"/>
      <c r="H2" s="729"/>
      <c r="I2" s="292"/>
      <c r="J2" s="729"/>
      <c r="K2" s="729"/>
      <c r="L2" s="729"/>
      <c r="M2" s="292"/>
    </row>
    <row r="3" spans="1:14" ht="15.75" x14ac:dyDescent="0.25">
      <c r="A3" s="162"/>
      <c r="B3" s="292"/>
      <c r="C3" s="292"/>
      <c r="D3" s="292"/>
      <c r="E3" s="292"/>
      <c r="F3" s="292"/>
      <c r="G3" s="292"/>
      <c r="H3" s="292"/>
      <c r="I3" s="292"/>
      <c r="J3" s="292"/>
      <c r="K3" s="292"/>
      <c r="L3" s="292"/>
      <c r="M3" s="292"/>
    </row>
    <row r="4" spans="1:14" x14ac:dyDescent="0.2">
      <c r="A4" s="144"/>
      <c r="B4" s="725" t="s">
        <v>0</v>
      </c>
      <c r="C4" s="726"/>
      <c r="D4" s="726"/>
      <c r="E4" s="294"/>
      <c r="F4" s="725" t="s">
        <v>1</v>
      </c>
      <c r="G4" s="726"/>
      <c r="H4" s="726"/>
      <c r="I4" s="297"/>
      <c r="J4" s="725" t="s">
        <v>2</v>
      </c>
      <c r="K4" s="726"/>
      <c r="L4" s="726"/>
      <c r="M4" s="297"/>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v>1518.87221</v>
      </c>
      <c r="C7" s="300">
        <v>1370.8782000000001</v>
      </c>
      <c r="D7" s="340">
        <f>IF(B7=0, "    ---- ", IF(ABS(ROUND(100/B7*C7-100,1))&lt;999,ROUND(100/B7*C7-100,1),IF(ROUND(100/B7*C7-100,1)&gt;999,999,-999)))</f>
        <v>-9.6999999999999993</v>
      </c>
      <c r="E7" s="11">
        <f>IFERROR(100/'Skjema total MA'!C7*C7,0)</f>
        <v>7.9076825351196908E-2</v>
      </c>
      <c r="F7" s="299">
        <v>151571.08749000001</v>
      </c>
      <c r="G7" s="300">
        <v>174199.93539</v>
      </c>
      <c r="H7" s="340">
        <f>IF(F7=0, "    ---- ", IF(ABS(ROUND(100/F7*G7-100,1))&lt;999,ROUND(100/F7*G7-100,1),IF(ROUND(100/F7*G7-100,1)&gt;999,999,-999)))</f>
        <v>14.9</v>
      </c>
      <c r="I7" s="159">
        <f>IFERROR(100/'Skjema total MA'!F7*G7,0)</f>
        <v>5.0712912860280861</v>
      </c>
      <c r="J7" s="301">
        <f t="shared" ref="J7:K12" si="0">SUM(B7,F7)</f>
        <v>153089.95970000001</v>
      </c>
      <c r="K7" s="302">
        <f t="shared" si="0"/>
        <v>175570.81359000001</v>
      </c>
      <c r="L7" s="413">
        <f>IF(J7=0, "    ---- ", IF(ABS(ROUND(100/J7*K7-100,1))&lt;999,ROUND(100/J7*K7-100,1),IF(ROUND(100/J7*K7-100,1)&gt;999,999,-999)))</f>
        <v>14.7</v>
      </c>
      <c r="M7" s="11">
        <f>IFERROR(100/'Skjema total MA'!I7*K7,0)</f>
        <v>3.3968577406113534</v>
      </c>
    </row>
    <row r="8" spans="1:14" ht="15.75" x14ac:dyDescent="0.2">
      <c r="A8" s="21" t="s">
        <v>25</v>
      </c>
      <c r="B8" s="277">
        <v>1367.57519999999</v>
      </c>
      <c r="C8" s="278">
        <v>1350.1421800000001</v>
      </c>
      <c r="D8" s="165">
        <f t="shared" ref="D8:D10" si="1">IF(B8=0, "    ---- ", IF(ABS(ROUND(100/B8*C8-100,1))&lt;999,ROUND(100/B8*C8-100,1),IF(ROUND(100/B8*C8-100,1)&gt;999,999,-999)))</f>
        <v>-1.3</v>
      </c>
      <c r="E8" s="27">
        <f>IFERROR(100/'Skjema total MA'!C8*C8,0)</f>
        <v>0.1160916592226352</v>
      </c>
      <c r="F8" s="281"/>
      <c r="G8" s="282"/>
      <c r="H8" s="165"/>
      <c r="I8" s="174"/>
      <c r="J8" s="230">
        <f t="shared" si="0"/>
        <v>1367.57519999999</v>
      </c>
      <c r="K8" s="283">
        <f t="shared" si="0"/>
        <v>1350.1421800000001</v>
      </c>
      <c r="L8" s="165">
        <f t="shared" ref="L8:L9" si="2">IF(J8=0, "    ---- ", IF(ABS(ROUND(100/J8*K8-100,1))&lt;999,ROUND(100/J8*K8-100,1),IF(ROUND(100/J8*K8-100,1)&gt;999,999,-999)))</f>
        <v>-1.3</v>
      </c>
      <c r="M8" s="27">
        <f>IFERROR(100/'Skjema total MA'!I8*K8,0)</f>
        <v>0.1160916592226352</v>
      </c>
    </row>
    <row r="9" spans="1:14" ht="15.75" x14ac:dyDescent="0.2">
      <c r="A9" s="21" t="s">
        <v>24</v>
      </c>
      <c r="B9" s="277">
        <v>566.74191000000303</v>
      </c>
      <c r="C9" s="278">
        <v>520.48964999999998</v>
      </c>
      <c r="D9" s="165">
        <f t="shared" si="1"/>
        <v>-8.1999999999999993</v>
      </c>
      <c r="E9" s="27">
        <f>IFERROR(100/'Skjema total MA'!C9*C9,0)</f>
        <v>0.14391562177281589</v>
      </c>
      <c r="F9" s="281"/>
      <c r="G9" s="282"/>
      <c r="H9" s="165"/>
      <c r="I9" s="174"/>
      <c r="J9" s="230">
        <f t="shared" si="0"/>
        <v>566.74191000000303</v>
      </c>
      <c r="K9" s="283">
        <f t="shared" si="0"/>
        <v>520.48964999999998</v>
      </c>
      <c r="L9" s="165">
        <f t="shared" si="2"/>
        <v>-8.1999999999999993</v>
      </c>
      <c r="M9" s="27">
        <f>IFERROR(100/'Skjema total MA'!I9*K9,0)</f>
        <v>0.14391562177281589</v>
      </c>
    </row>
    <row r="10" spans="1:14" ht="15.75" x14ac:dyDescent="0.2">
      <c r="A10" s="13" t="s">
        <v>359</v>
      </c>
      <c r="B10" s="303">
        <v>407394.26301</v>
      </c>
      <c r="C10" s="304">
        <v>376972.25904999999</v>
      </c>
      <c r="D10" s="170">
        <f t="shared" si="1"/>
        <v>-7.5</v>
      </c>
      <c r="E10" s="11">
        <f>IFERROR(100/'Skjema total MA'!C10*C10,0)</f>
        <v>2.2977565083580513</v>
      </c>
      <c r="F10" s="303">
        <v>3565114.3928</v>
      </c>
      <c r="G10" s="304">
        <v>4121989.07755</v>
      </c>
      <c r="H10" s="170">
        <f t="shared" ref="H10:H12" si="3">IF(F10=0, "    ---- ", IF(ABS(ROUND(100/F10*G10-100,1))&lt;999,ROUND(100/F10*G10-100,1),IF(ROUND(100/F10*G10-100,1)&gt;999,999,-999)))</f>
        <v>15.6</v>
      </c>
      <c r="I10" s="159">
        <f>IFERROR(100/'Skjema total MA'!F10*G10,0)</f>
        <v>5.5011754453950985</v>
      </c>
      <c r="J10" s="301">
        <f t="shared" si="0"/>
        <v>3972508.6558099999</v>
      </c>
      <c r="K10" s="302">
        <f t="shared" si="0"/>
        <v>4498961.3366</v>
      </c>
      <c r="L10" s="414">
        <f t="shared" ref="L10:L12" si="4">IF(J10=0, "    ---- ", IF(ABS(ROUND(100/J10*K10-100,1))&lt;999,ROUND(100/J10*K10-100,1),IF(ROUND(100/J10*K10-100,1)&gt;999,999,-999)))</f>
        <v>13.3</v>
      </c>
      <c r="M10" s="11">
        <f>IFERROR(100/'Skjema total MA'!I10*K10,0)</f>
        <v>4.9257616638713975</v>
      </c>
    </row>
    <row r="11" spans="1:14" s="43" customFormat="1" ht="15.75" x14ac:dyDescent="0.2">
      <c r="A11" s="13" t="s">
        <v>360</v>
      </c>
      <c r="B11" s="303"/>
      <c r="C11" s="304"/>
      <c r="D11" s="170"/>
      <c r="E11" s="11"/>
      <c r="F11" s="303">
        <v>6808.1942799999997</v>
      </c>
      <c r="G11" s="304">
        <v>11356.69656</v>
      </c>
      <c r="H11" s="170">
        <f t="shared" si="3"/>
        <v>66.8</v>
      </c>
      <c r="I11" s="159">
        <f>IFERROR(100/'Skjema total MA'!F11*G11,0)</f>
        <v>3.7903321608650842</v>
      </c>
      <c r="J11" s="301">
        <f t="shared" si="0"/>
        <v>6808.1942799999997</v>
      </c>
      <c r="K11" s="302">
        <f t="shared" si="0"/>
        <v>11356.69656</v>
      </c>
      <c r="L11" s="414">
        <f t="shared" si="4"/>
        <v>66.8</v>
      </c>
      <c r="M11" s="11">
        <f>IFERROR(100/'Skjema total MA'!I11*K11,0)</f>
        <v>3.5876020751790714</v>
      </c>
      <c r="N11" s="143"/>
    </row>
    <row r="12" spans="1:14" s="43" customFormat="1" ht="15.75" x14ac:dyDescent="0.2">
      <c r="A12" s="41" t="s">
        <v>361</v>
      </c>
      <c r="B12" s="305"/>
      <c r="C12" s="306"/>
      <c r="D12" s="168"/>
      <c r="E12" s="36"/>
      <c r="F12" s="305">
        <v>668.08749</v>
      </c>
      <c r="G12" s="306">
        <v>445.22593999999998</v>
      </c>
      <c r="H12" s="168">
        <f t="shared" si="3"/>
        <v>-33.4</v>
      </c>
      <c r="I12" s="168">
        <f>IFERROR(100/'Skjema total MA'!F12*G12,0)</f>
        <v>0.82490780163138633</v>
      </c>
      <c r="J12" s="307">
        <f t="shared" si="0"/>
        <v>668.08749</v>
      </c>
      <c r="K12" s="308">
        <f t="shared" si="0"/>
        <v>445.22593999999998</v>
      </c>
      <c r="L12" s="415">
        <f t="shared" si="4"/>
        <v>-33.4</v>
      </c>
      <c r="M12" s="36">
        <f>IFERROR(100/'Skjema total MA'!I12*K12,0)</f>
        <v>0.8017795296157646</v>
      </c>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292"/>
      <c r="F18" s="724"/>
      <c r="G18" s="724"/>
      <c r="H18" s="724"/>
      <c r="I18" s="292"/>
      <c r="J18" s="724"/>
      <c r="K18" s="724"/>
      <c r="L18" s="724"/>
      <c r="M18" s="292"/>
    </row>
    <row r="19" spans="1:14" x14ac:dyDescent="0.2">
      <c r="A19" s="144"/>
      <c r="B19" s="725" t="s">
        <v>0</v>
      </c>
      <c r="C19" s="726"/>
      <c r="D19" s="726"/>
      <c r="E19" s="294"/>
      <c r="F19" s="725" t="s">
        <v>1</v>
      </c>
      <c r="G19" s="726"/>
      <c r="H19" s="726"/>
      <c r="I19" s="297"/>
      <c r="J19" s="725" t="s">
        <v>2</v>
      </c>
      <c r="K19" s="726"/>
      <c r="L19" s="726"/>
      <c r="M19" s="297"/>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303">
        <v>1667.41057</v>
      </c>
      <c r="C22" s="303">
        <v>3849.01127</v>
      </c>
      <c r="D22" s="340">
        <f t="shared" ref="D22:D35" si="5">IF(B22=0, "    ---- ", IF(ABS(ROUND(100/B22*C22-100,1))&lt;999,ROUND(100/B22*C22-100,1),IF(ROUND(100/B22*C22-100,1)&gt;999,999,-999)))</f>
        <v>130.80000000000001</v>
      </c>
      <c r="E22" s="11">
        <f>IFERROR(100/'Skjema total MA'!C22*C22,0)</f>
        <v>0.50568994946009305</v>
      </c>
      <c r="F22" s="311">
        <v>93240.803709999993</v>
      </c>
      <c r="G22" s="311">
        <v>85824.951660000006</v>
      </c>
      <c r="H22" s="340">
        <f t="shared" ref="H22:H35" si="6">IF(F22=0, "    ---- ", IF(ABS(ROUND(100/F22*G22-100,1))&lt;999,ROUND(100/F22*G22-100,1),IF(ROUND(100/F22*G22-100,1)&gt;999,999,-999)))</f>
        <v>-8</v>
      </c>
      <c r="I22" s="11">
        <f>IFERROR(100/'Skjema total MA'!F22*G22,0)</f>
        <v>31.39332250212485</v>
      </c>
      <c r="J22" s="309">
        <f t="shared" ref="J22:K35" si="7">SUM(B22,F22)</f>
        <v>94908.214279999986</v>
      </c>
      <c r="K22" s="309">
        <f t="shared" si="7"/>
        <v>89673.962930000009</v>
      </c>
      <c r="L22" s="413">
        <f t="shared" ref="L22:L35" si="8">IF(J22=0, "    ---- ", IF(ABS(ROUND(100/J22*K22-100,1))&lt;999,ROUND(100/J22*K22-100,1),IF(ROUND(100/J22*K22-100,1)&gt;999,999,-999)))</f>
        <v>-5.5</v>
      </c>
      <c r="M22" s="24">
        <f>IFERROR(100/'Skjema total MA'!I22*K22,0)</f>
        <v>8.6681160550087828</v>
      </c>
    </row>
    <row r="23" spans="1:14" ht="15.75" x14ac:dyDescent="0.2">
      <c r="A23" s="555" t="s">
        <v>362</v>
      </c>
      <c r="B23" s="277">
        <v>1662.32663</v>
      </c>
      <c r="C23" s="277">
        <v>3844.01127</v>
      </c>
      <c r="D23" s="165">
        <f t="shared" si="5"/>
        <v>131.19999999999999</v>
      </c>
      <c r="E23" s="11">
        <f>IFERROR(100/'Skjema total MA'!C23*C23,0)</f>
        <v>1.0651164397103963</v>
      </c>
      <c r="F23" s="286">
        <v>1884.24199</v>
      </c>
      <c r="G23" s="286">
        <v>1807.7971199999999</v>
      </c>
      <c r="H23" s="165">
        <f t="shared" si="6"/>
        <v>-4.0999999999999996</v>
      </c>
      <c r="I23" s="403">
        <f>IFERROR(100/'Skjema total MA'!F23*G23,0)</f>
        <v>9.4486032825334263</v>
      </c>
      <c r="J23" s="286">
        <f t="shared" ref="J23:J26" si="9">SUM(B23,F23)</f>
        <v>3546.56862</v>
      </c>
      <c r="K23" s="286">
        <f t="shared" ref="K23:K26" si="10">SUM(C23,G23)</f>
        <v>5651.8083900000001</v>
      </c>
      <c r="L23" s="165">
        <f t="shared" si="8"/>
        <v>59.4</v>
      </c>
      <c r="M23" s="23">
        <f>IFERROR(100/'Skjema total MA'!I23*K23,0)</f>
        <v>1.4871867996734474</v>
      </c>
    </row>
    <row r="24" spans="1:14" ht="15.75" x14ac:dyDescent="0.2">
      <c r="A24" s="555" t="s">
        <v>363</v>
      </c>
      <c r="B24" s="277">
        <v>5.0839400000000001</v>
      </c>
      <c r="C24" s="277">
        <v>5</v>
      </c>
      <c r="D24" s="165">
        <f t="shared" si="5"/>
        <v>-1.7</v>
      </c>
      <c r="E24" s="11">
        <f>IFERROR(100/'Skjema total MA'!C24*C24,0)</f>
        <v>0.10216711221229591</v>
      </c>
      <c r="F24" s="286">
        <v>41.213290000000001</v>
      </c>
      <c r="G24" s="286">
        <v>164.16744</v>
      </c>
      <c r="H24" s="165">
        <f t="shared" si="6"/>
        <v>298.3</v>
      </c>
      <c r="I24" s="403">
        <f>IFERROR(100/'Skjema total MA'!F24*G24,0)</f>
        <v>96.048370238453728</v>
      </c>
      <c r="J24" s="286">
        <f t="shared" si="9"/>
        <v>46.297229999999999</v>
      </c>
      <c r="K24" s="286">
        <f t="shared" si="10"/>
        <v>169.16744</v>
      </c>
      <c r="L24" s="165">
        <f t="shared" si="8"/>
        <v>265.39999999999998</v>
      </c>
      <c r="M24" s="23">
        <f>IFERROR(100/'Skjema total MA'!I24*K24,0)</f>
        <v>3.3400191335190796</v>
      </c>
    </row>
    <row r="25" spans="1:14" ht="15.75" x14ac:dyDescent="0.2">
      <c r="A25" s="555" t="s">
        <v>364</v>
      </c>
      <c r="B25" s="277"/>
      <c r="C25" s="277"/>
      <c r="D25" s="165"/>
      <c r="E25" s="11"/>
      <c r="F25" s="286">
        <v>457.02012999999999</v>
      </c>
      <c r="G25" s="286">
        <v>1729.89174</v>
      </c>
      <c r="H25" s="165">
        <f t="shared" si="6"/>
        <v>278.5</v>
      </c>
      <c r="I25" s="403">
        <f>IFERROR(100/'Skjema total MA'!F25*G25,0)</f>
        <v>38.050767277402485</v>
      </c>
      <c r="J25" s="286">
        <f t="shared" si="9"/>
        <v>457.02012999999999</v>
      </c>
      <c r="K25" s="286">
        <f t="shared" si="10"/>
        <v>1729.89174</v>
      </c>
      <c r="L25" s="165">
        <f t="shared" si="8"/>
        <v>278.5</v>
      </c>
      <c r="M25" s="23">
        <f>IFERROR(100/'Skjema total MA'!I25*K25,0)</f>
        <v>14.364907504035905</v>
      </c>
    </row>
    <row r="26" spans="1:14" ht="15.75" x14ac:dyDescent="0.2">
      <c r="A26" s="555" t="s">
        <v>365</v>
      </c>
      <c r="B26" s="277"/>
      <c r="C26" s="277"/>
      <c r="D26" s="165"/>
      <c r="E26" s="11"/>
      <c r="F26" s="286">
        <v>90858.328299999994</v>
      </c>
      <c r="G26" s="286">
        <v>82123.095360000007</v>
      </c>
      <c r="H26" s="165">
        <f t="shared" si="6"/>
        <v>-9.6</v>
      </c>
      <c r="I26" s="403">
        <f>IFERROR(100/'Skjema total MA'!F26*G26,0)</f>
        <v>32.910338310448374</v>
      </c>
      <c r="J26" s="286">
        <f t="shared" si="9"/>
        <v>90858.328299999994</v>
      </c>
      <c r="K26" s="286">
        <f t="shared" si="10"/>
        <v>82123.095360000007</v>
      </c>
      <c r="L26" s="165">
        <f t="shared" si="8"/>
        <v>-9.6</v>
      </c>
      <c r="M26" s="23">
        <f>IFERROR(100/'Skjema total MA'!I26*K26,0)</f>
        <v>32.910338310448374</v>
      </c>
    </row>
    <row r="27" spans="1:14" x14ac:dyDescent="0.2">
      <c r="A27" s="555" t="s">
        <v>11</v>
      </c>
      <c r="B27" s="277"/>
      <c r="C27" s="277"/>
      <c r="D27" s="165"/>
      <c r="E27" s="11"/>
      <c r="F27" s="286"/>
      <c r="G27" s="286"/>
      <c r="H27" s="165"/>
      <c r="I27" s="403"/>
      <c r="J27" s="286"/>
      <c r="K27" s="286"/>
      <c r="L27" s="165"/>
      <c r="M27" s="23"/>
    </row>
    <row r="28" spans="1:14" ht="15.75" x14ac:dyDescent="0.2">
      <c r="A28" s="49" t="s">
        <v>270</v>
      </c>
      <c r="B28" s="44"/>
      <c r="C28" s="283"/>
      <c r="D28" s="165"/>
      <c r="E28" s="11"/>
      <c r="F28" s="230"/>
      <c r="G28" s="283"/>
      <c r="H28" s="165"/>
      <c r="I28" s="27"/>
      <c r="J28" s="44"/>
      <c r="K28" s="44"/>
      <c r="L28" s="250"/>
      <c r="M28" s="23"/>
    </row>
    <row r="29" spans="1:14" s="3" customFormat="1" ht="15.75" x14ac:dyDescent="0.2">
      <c r="A29" s="13" t="s">
        <v>359</v>
      </c>
      <c r="B29" s="232">
        <v>2695696.4639400002</v>
      </c>
      <c r="C29" s="232">
        <v>2630092.4582099998</v>
      </c>
      <c r="D29" s="170">
        <f t="shared" si="5"/>
        <v>-2.4</v>
      </c>
      <c r="E29" s="11">
        <f>IFERROR(100/'Skjema total MA'!C29*C29,0)</f>
        <v>5.7880827596007247</v>
      </c>
      <c r="F29" s="301">
        <v>3354649.1181999999</v>
      </c>
      <c r="G29" s="301">
        <v>3763658.2120400001</v>
      </c>
      <c r="H29" s="170">
        <f t="shared" si="6"/>
        <v>12.2</v>
      </c>
      <c r="I29" s="11">
        <f>IFERROR(100/'Skjema total MA'!F29*G29,0)</f>
        <v>14.895598182573021</v>
      </c>
      <c r="J29" s="232">
        <f t="shared" si="7"/>
        <v>6050345.5821400005</v>
      </c>
      <c r="K29" s="232">
        <f t="shared" si="7"/>
        <v>6393750.6702500004</v>
      </c>
      <c r="L29" s="414">
        <f t="shared" si="8"/>
        <v>5.7</v>
      </c>
      <c r="M29" s="24">
        <f>IFERROR(100/'Skjema total MA'!I29*K29,0)</f>
        <v>9.0426373602783841</v>
      </c>
      <c r="N29" s="148"/>
    </row>
    <row r="30" spans="1:14" s="3" customFormat="1" ht="15.75" x14ac:dyDescent="0.2">
      <c r="A30" s="555" t="s">
        <v>362</v>
      </c>
      <c r="B30" s="277">
        <v>1546499.57222262</v>
      </c>
      <c r="C30" s="277">
        <v>1508863.07710727</v>
      </c>
      <c r="D30" s="165">
        <f t="shared" si="5"/>
        <v>-2.4</v>
      </c>
      <c r="E30" s="11">
        <f>IFERROR(100/'Skjema total MA'!C30*C30,0)</f>
        <v>14.845182411844254</v>
      </c>
      <c r="F30" s="286">
        <v>660361.78467999899</v>
      </c>
      <c r="G30" s="286">
        <v>641993.71139999898</v>
      </c>
      <c r="H30" s="165">
        <f t="shared" si="6"/>
        <v>-2.8</v>
      </c>
      <c r="I30" s="403">
        <f>IFERROR(100/'Skjema total MA'!F30*G30,0)</f>
        <v>16.845028084801406</v>
      </c>
      <c r="J30" s="286">
        <f t="shared" ref="J30:J33" si="11">SUM(B30,F30)</f>
        <v>2206861.3569026189</v>
      </c>
      <c r="K30" s="286">
        <f t="shared" ref="K30:K33" si="12">SUM(C30,G30)</f>
        <v>2150856.7885072688</v>
      </c>
      <c r="L30" s="165">
        <f t="shared" si="8"/>
        <v>-2.5</v>
      </c>
      <c r="M30" s="23">
        <f>IFERROR(100/'Skjema total MA'!I30*K30,0)</f>
        <v>15.390561507738008</v>
      </c>
      <c r="N30" s="148"/>
    </row>
    <row r="31" spans="1:14" s="3" customFormat="1" ht="15.75" x14ac:dyDescent="0.2">
      <c r="A31" s="555" t="s">
        <v>363</v>
      </c>
      <c r="B31" s="277">
        <v>1149196.8917173899</v>
      </c>
      <c r="C31" s="277">
        <v>1121229.3811027301</v>
      </c>
      <c r="D31" s="165">
        <f t="shared" si="5"/>
        <v>-2.4</v>
      </c>
      <c r="E31" s="11">
        <f>IFERROR(100/'Skjema total MA'!C31*C31,0)</f>
        <v>4.3076418613140524</v>
      </c>
      <c r="F31" s="286">
        <v>941874.43309999898</v>
      </c>
      <c r="G31" s="286">
        <v>884038.79244999902</v>
      </c>
      <c r="H31" s="165">
        <f t="shared" si="6"/>
        <v>-6.1</v>
      </c>
      <c r="I31" s="403">
        <f>IFERROR(100/'Skjema total MA'!F31*G31,0)</f>
        <v>10.241263979932054</v>
      </c>
      <c r="J31" s="286">
        <f t="shared" si="11"/>
        <v>2091071.3248173888</v>
      </c>
      <c r="K31" s="286">
        <f t="shared" si="12"/>
        <v>2005268.1735527292</v>
      </c>
      <c r="L31" s="165">
        <f t="shared" si="8"/>
        <v>-4.0999999999999996</v>
      </c>
      <c r="M31" s="23">
        <f>IFERROR(100/'Skjema total MA'!I31*K31,0)</f>
        <v>5.7853781432520437</v>
      </c>
      <c r="N31" s="148"/>
    </row>
    <row r="32" spans="1:14" ht="15.75" x14ac:dyDescent="0.2">
      <c r="A32" s="555" t="s">
        <v>364</v>
      </c>
      <c r="B32" s="277"/>
      <c r="C32" s="277"/>
      <c r="D32" s="165"/>
      <c r="E32" s="11"/>
      <c r="F32" s="286">
        <v>518118.69365999999</v>
      </c>
      <c r="G32" s="286">
        <v>546067.85502999998</v>
      </c>
      <c r="H32" s="165">
        <f t="shared" si="6"/>
        <v>5.4</v>
      </c>
      <c r="I32" s="403">
        <f>IFERROR(100/'Skjema total MA'!F32*G32,0)</f>
        <v>9.6783391051823582</v>
      </c>
      <c r="J32" s="286">
        <f t="shared" si="11"/>
        <v>518118.69365999999</v>
      </c>
      <c r="K32" s="286">
        <f t="shared" si="12"/>
        <v>546067.85502999998</v>
      </c>
      <c r="L32" s="165">
        <f t="shared" si="8"/>
        <v>5.4</v>
      </c>
      <c r="M32" s="23">
        <f>IFERROR(100/'Skjema total MA'!I32*K32,0)</f>
        <v>6.7704816775737173</v>
      </c>
    </row>
    <row r="33" spans="1:14" ht="15.75" x14ac:dyDescent="0.2">
      <c r="A33" s="555" t="s">
        <v>365</v>
      </c>
      <c r="B33" s="277"/>
      <c r="C33" s="277"/>
      <c r="D33" s="165"/>
      <c r="E33" s="11"/>
      <c r="F33" s="286">
        <v>1234294.20676</v>
      </c>
      <c r="G33" s="286">
        <v>1691557.8531599999</v>
      </c>
      <c r="H33" s="165">
        <f t="shared" si="6"/>
        <v>37</v>
      </c>
      <c r="I33" s="403">
        <f>IFERROR(100/'Skjema total MA'!F33*G33,0)</f>
        <v>23.475320794330816</v>
      </c>
      <c r="J33" s="286">
        <f t="shared" si="11"/>
        <v>1234294.20676</v>
      </c>
      <c r="K33" s="286">
        <f t="shared" si="12"/>
        <v>1691557.8531599999</v>
      </c>
      <c r="L33" s="165">
        <f t="shared" si="8"/>
        <v>37</v>
      </c>
      <c r="M33" s="23">
        <f>IFERROR(100/'Skjema total MA'!I33*K33,0)</f>
        <v>23.475320794330816</v>
      </c>
    </row>
    <row r="34" spans="1:14" ht="15.75" x14ac:dyDescent="0.2">
      <c r="A34" s="13" t="s">
        <v>360</v>
      </c>
      <c r="B34" s="232"/>
      <c r="C34" s="302"/>
      <c r="D34" s="170"/>
      <c r="E34" s="11"/>
      <c r="F34" s="301">
        <v>6528.5340299999998</v>
      </c>
      <c r="G34" s="302">
        <v>14283.6005</v>
      </c>
      <c r="H34" s="170">
        <f t="shared" si="6"/>
        <v>118.8</v>
      </c>
      <c r="I34" s="11">
        <f>IFERROR(100/'Skjema total MA'!F34*G34,0)</f>
        <v>60.805854742152135</v>
      </c>
      <c r="J34" s="232">
        <f t="shared" si="7"/>
        <v>6528.5340299999998</v>
      </c>
      <c r="K34" s="232">
        <f t="shared" si="7"/>
        <v>14283.6005</v>
      </c>
      <c r="L34" s="414">
        <f t="shared" si="8"/>
        <v>118.8</v>
      </c>
      <c r="M34" s="24">
        <f>IFERROR(100/'Skjema total MA'!I34*K34,0)</f>
        <v>48.201026436023383</v>
      </c>
    </row>
    <row r="35" spans="1:14" ht="15.75" x14ac:dyDescent="0.2">
      <c r="A35" s="13" t="s">
        <v>361</v>
      </c>
      <c r="B35" s="232">
        <v>0</v>
      </c>
      <c r="C35" s="302">
        <v>23.832709999999999</v>
      </c>
      <c r="D35" s="170" t="str">
        <f t="shared" si="5"/>
        <v xml:space="preserve">    ---- </v>
      </c>
      <c r="E35" s="11">
        <f>IFERROR(100/'Skjema total MA'!C35*C35,0)</f>
        <v>-5.3657502468516043</v>
      </c>
      <c r="F35" s="301">
        <v>8248.4571899999992</v>
      </c>
      <c r="G35" s="302">
        <v>2957.4600599999999</v>
      </c>
      <c r="H35" s="170">
        <f t="shared" si="6"/>
        <v>-64.099999999999994</v>
      </c>
      <c r="I35" s="11">
        <f>IFERROR(100/'Skjema total MA'!F35*G35,0)</f>
        <v>11.794885859856596</v>
      </c>
      <c r="J35" s="232">
        <f t="shared" si="7"/>
        <v>8248.4571899999992</v>
      </c>
      <c r="K35" s="232">
        <f t="shared" si="7"/>
        <v>2981.29277</v>
      </c>
      <c r="L35" s="414">
        <f t="shared" si="8"/>
        <v>-63.9</v>
      </c>
      <c r="M35" s="24">
        <f>IFERROR(100/'Skjema total MA'!I35*K35,0)</f>
        <v>12.104352099474715</v>
      </c>
    </row>
    <row r="36" spans="1:14" ht="15.75" x14ac:dyDescent="0.2">
      <c r="A36" s="12" t="s">
        <v>278</v>
      </c>
      <c r="B36" s="232"/>
      <c r="C36" s="302"/>
      <c r="D36" s="170"/>
      <c r="E36" s="11"/>
      <c r="F36" s="312"/>
      <c r="G36" s="313"/>
      <c r="H36" s="170"/>
      <c r="I36" s="420"/>
      <c r="J36" s="232"/>
      <c r="K36" s="232"/>
      <c r="L36" s="414"/>
      <c r="M36" s="24"/>
    </row>
    <row r="37" spans="1:14" ht="15.75" x14ac:dyDescent="0.2">
      <c r="A37" s="12" t="s">
        <v>367</v>
      </c>
      <c r="B37" s="232"/>
      <c r="C37" s="302"/>
      <c r="D37" s="170"/>
      <c r="E37" s="11"/>
      <c r="F37" s="312"/>
      <c r="G37" s="314"/>
      <c r="H37" s="170"/>
      <c r="I37" s="420"/>
      <c r="J37" s="232"/>
      <c r="K37" s="232"/>
      <c r="L37" s="414"/>
      <c r="M37" s="24"/>
    </row>
    <row r="38" spans="1:14" ht="15.75" x14ac:dyDescent="0.2">
      <c r="A38" s="12" t="s">
        <v>368</v>
      </c>
      <c r="B38" s="232"/>
      <c r="C38" s="302"/>
      <c r="D38" s="170"/>
      <c r="E38" s="24"/>
      <c r="F38" s="312"/>
      <c r="G38" s="313"/>
      <c r="H38" s="170"/>
      <c r="I38" s="420"/>
      <c r="J38" s="232"/>
      <c r="K38" s="232"/>
      <c r="L38" s="414"/>
      <c r="M38" s="24"/>
    </row>
    <row r="39" spans="1:14" ht="15.75" x14ac:dyDescent="0.2">
      <c r="A39" s="18" t="s">
        <v>369</v>
      </c>
      <c r="B39" s="272"/>
      <c r="C39" s="308"/>
      <c r="D39" s="168"/>
      <c r="E39" s="36"/>
      <c r="F39" s="315"/>
      <c r="G39" s="316"/>
      <c r="H39" s="168"/>
      <c r="I39" s="36"/>
      <c r="J39" s="232"/>
      <c r="K39" s="232"/>
      <c r="L39" s="415"/>
      <c r="M39" s="36"/>
    </row>
    <row r="40" spans="1:14" ht="15.75" x14ac:dyDescent="0.25">
      <c r="A40" s="47"/>
      <c r="B40" s="249"/>
      <c r="C40" s="249"/>
      <c r="D40" s="728"/>
      <c r="E40" s="728"/>
      <c r="F40" s="728"/>
      <c r="G40" s="728"/>
      <c r="H40" s="728"/>
      <c r="I40" s="728"/>
      <c r="J40" s="728"/>
      <c r="K40" s="728"/>
      <c r="L40" s="728"/>
      <c r="M40" s="295"/>
    </row>
    <row r="41" spans="1:14" x14ac:dyDescent="0.2">
      <c r="A41" s="154"/>
    </row>
    <row r="42" spans="1:14" ht="15.75" x14ac:dyDescent="0.25">
      <c r="A42" s="147" t="s">
        <v>267</v>
      </c>
      <c r="B42" s="729"/>
      <c r="C42" s="729"/>
      <c r="D42" s="729"/>
      <c r="E42" s="292"/>
      <c r="F42" s="730"/>
      <c r="G42" s="730"/>
      <c r="H42" s="730"/>
      <c r="I42" s="295"/>
      <c r="J42" s="730"/>
      <c r="K42" s="730"/>
      <c r="L42" s="730"/>
      <c r="M42" s="295"/>
    </row>
    <row r="43" spans="1:14" ht="15.75" x14ac:dyDescent="0.25">
      <c r="A43" s="162"/>
      <c r="B43" s="296"/>
      <c r="C43" s="296"/>
      <c r="D43" s="296"/>
      <c r="E43" s="296"/>
      <c r="F43" s="295"/>
      <c r="G43" s="295"/>
      <c r="H43" s="295"/>
      <c r="I43" s="295"/>
      <c r="J43" s="295"/>
      <c r="K43" s="295"/>
      <c r="L43" s="295"/>
      <c r="M43" s="295"/>
    </row>
    <row r="44" spans="1:14" ht="15.75" x14ac:dyDescent="0.25">
      <c r="A44" s="243"/>
      <c r="B44" s="725" t="s">
        <v>0</v>
      </c>
      <c r="C44" s="726"/>
      <c r="D44" s="726"/>
      <c r="E44" s="239"/>
      <c r="F44" s="295"/>
      <c r="G44" s="295"/>
      <c r="H44" s="295"/>
      <c r="I44" s="295"/>
      <c r="J44" s="295"/>
      <c r="K44" s="295"/>
      <c r="L44" s="295"/>
      <c r="M44" s="295"/>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c r="C47" s="304"/>
      <c r="D47" s="413"/>
      <c r="E47" s="11"/>
      <c r="F47" s="145"/>
      <c r="G47" s="33"/>
      <c r="H47" s="158"/>
      <c r="I47" s="158"/>
      <c r="J47" s="37"/>
      <c r="K47" s="37"/>
      <c r="L47" s="158"/>
      <c r="M47" s="158"/>
      <c r="N47" s="148"/>
    </row>
    <row r="48" spans="1:14" s="3" customFormat="1" ht="15.75" x14ac:dyDescent="0.2">
      <c r="A48" s="38" t="s">
        <v>370</v>
      </c>
      <c r="B48" s="277"/>
      <c r="C48" s="278"/>
      <c r="D48" s="250"/>
      <c r="E48" s="27"/>
      <c r="F48" s="145"/>
      <c r="G48" s="33"/>
      <c r="H48" s="145"/>
      <c r="I48" s="145"/>
      <c r="J48" s="33"/>
      <c r="K48" s="33"/>
      <c r="L48" s="158"/>
      <c r="M48" s="158"/>
      <c r="N48" s="148"/>
    </row>
    <row r="49" spans="1:14" s="3" customFormat="1" ht="15.75" x14ac:dyDescent="0.2">
      <c r="A49" s="38" t="s">
        <v>371</v>
      </c>
      <c r="B49" s="44"/>
      <c r="C49" s="283"/>
      <c r="D49" s="250"/>
      <c r="E49" s="27"/>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c r="C53" s="304"/>
      <c r="D53" s="414"/>
      <c r="E53" s="11"/>
      <c r="F53" s="145"/>
      <c r="G53" s="33"/>
      <c r="H53" s="145"/>
      <c r="I53" s="145"/>
      <c r="J53" s="33"/>
      <c r="K53" s="33"/>
      <c r="L53" s="158"/>
      <c r="M53" s="158"/>
      <c r="N53" s="148"/>
    </row>
    <row r="54" spans="1:14" s="3" customFormat="1" ht="15.75" x14ac:dyDescent="0.2">
      <c r="A54" s="38" t="s">
        <v>370</v>
      </c>
      <c r="B54" s="277"/>
      <c r="C54" s="278"/>
      <c r="D54" s="250"/>
      <c r="E54" s="27"/>
      <c r="F54" s="145"/>
      <c r="G54" s="33"/>
      <c r="H54" s="145"/>
      <c r="I54" s="145"/>
      <c r="J54" s="33"/>
      <c r="K54" s="33"/>
      <c r="L54" s="158"/>
      <c r="M54" s="158"/>
      <c r="N54" s="148"/>
    </row>
    <row r="55" spans="1:14" s="3" customFormat="1" ht="15.75" x14ac:dyDescent="0.2">
      <c r="A55" s="38" t="s">
        <v>371</v>
      </c>
      <c r="B55" s="277"/>
      <c r="C55" s="278"/>
      <c r="D55" s="250"/>
      <c r="E55" s="27"/>
      <c r="F55" s="145"/>
      <c r="G55" s="33"/>
      <c r="H55" s="145"/>
      <c r="I55" s="145"/>
      <c r="J55" s="33"/>
      <c r="K55" s="33"/>
      <c r="L55" s="158"/>
      <c r="M55" s="158"/>
      <c r="N55" s="148"/>
    </row>
    <row r="56" spans="1:14" s="3" customFormat="1" ht="15.75" x14ac:dyDescent="0.2">
      <c r="A56" s="39" t="s">
        <v>373</v>
      </c>
      <c r="B56" s="303"/>
      <c r="C56" s="304"/>
      <c r="D56" s="414"/>
      <c r="E56" s="11"/>
      <c r="F56" s="145"/>
      <c r="G56" s="33"/>
      <c r="H56" s="145"/>
      <c r="I56" s="145"/>
      <c r="J56" s="33"/>
      <c r="K56" s="33"/>
      <c r="L56" s="158"/>
      <c r="M56" s="158"/>
      <c r="N56" s="148"/>
    </row>
    <row r="57" spans="1:14" s="3" customFormat="1" ht="15.75" x14ac:dyDescent="0.2">
      <c r="A57" s="38" t="s">
        <v>370</v>
      </c>
      <c r="B57" s="277"/>
      <c r="C57" s="278"/>
      <c r="D57" s="250"/>
      <c r="E57" s="27"/>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292"/>
      <c r="F62" s="724"/>
      <c r="G62" s="724"/>
      <c r="H62" s="724"/>
      <c r="I62" s="292"/>
      <c r="J62" s="724"/>
      <c r="K62" s="724"/>
      <c r="L62" s="724"/>
      <c r="M62" s="292"/>
    </row>
    <row r="63" spans="1:14" x14ac:dyDescent="0.2">
      <c r="A63" s="144"/>
      <c r="B63" s="725" t="s">
        <v>0</v>
      </c>
      <c r="C63" s="726"/>
      <c r="D63" s="727"/>
      <c r="E63" s="293"/>
      <c r="F63" s="726" t="s">
        <v>1</v>
      </c>
      <c r="G63" s="726"/>
      <c r="H63" s="726"/>
      <c r="I63" s="297"/>
      <c r="J63" s="725" t="s">
        <v>2</v>
      </c>
      <c r="K63" s="726"/>
      <c r="L63" s="726"/>
      <c r="M63" s="297"/>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v>264755.04562000005</v>
      </c>
      <c r="C66" s="343">
        <v>258809.27363000001</v>
      </c>
      <c r="D66" s="340">
        <f t="shared" ref="D66:D111" si="13">IF(B66=0, "    ---- ", IF(ABS(ROUND(100/B66*C66-100,1))&lt;999,ROUND(100/B66*C66-100,1),IF(ROUND(100/B66*C66-100,1)&gt;999,999,-999)))</f>
        <v>-2.2000000000000002</v>
      </c>
      <c r="E66" s="11">
        <f>IFERROR(100/'Skjema total MA'!C66*C66,0)</f>
        <v>9.7556158731514468</v>
      </c>
      <c r="F66" s="342">
        <v>1109503.3029100001</v>
      </c>
      <c r="G66" s="342">
        <v>1249613.2151000001</v>
      </c>
      <c r="H66" s="340">
        <f t="shared" ref="H66:H111" si="14">IF(F66=0, "    ---- ", IF(ABS(ROUND(100/F66*G66-100,1))&lt;999,ROUND(100/F66*G66-100,1),IF(ROUND(100/F66*G66-100,1)&gt;999,999,-999)))</f>
        <v>12.6</v>
      </c>
      <c r="I66" s="11">
        <f>IFERROR(100/'Skjema total MA'!F66*G66,0)</f>
        <v>12.629795964130764</v>
      </c>
      <c r="J66" s="302">
        <f t="shared" ref="J66:K86" si="15">SUM(B66,F66)</f>
        <v>1374258.3485300001</v>
      </c>
      <c r="K66" s="309">
        <f t="shared" si="15"/>
        <v>1508422.4887300001</v>
      </c>
      <c r="L66" s="414">
        <f t="shared" ref="L66:L111" si="16">IF(J66=0, "    ---- ", IF(ABS(ROUND(100/J66*K66-100,1))&lt;999,ROUND(100/J66*K66-100,1),IF(ROUND(100/J66*K66-100,1)&gt;999,999,-999)))</f>
        <v>9.8000000000000007</v>
      </c>
      <c r="M66" s="11">
        <f>IFERROR(100/'Skjema total MA'!I66*K66,0)</f>
        <v>12.022086541325461</v>
      </c>
    </row>
    <row r="67" spans="1:14" x14ac:dyDescent="0.2">
      <c r="A67" s="405" t="s">
        <v>9</v>
      </c>
      <c r="B67" s="44">
        <v>109845.69826</v>
      </c>
      <c r="C67" s="145">
        <v>91166.115000000005</v>
      </c>
      <c r="D67" s="165">
        <f t="shared" si="13"/>
        <v>-17</v>
      </c>
      <c r="E67" s="27">
        <f>IFERROR(100/'Skjema total MA'!C67*C67,0)</f>
        <v>4.6780407388378853</v>
      </c>
      <c r="F67" s="230"/>
      <c r="G67" s="145"/>
      <c r="H67" s="165"/>
      <c r="I67" s="27"/>
      <c r="J67" s="283">
        <f t="shared" si="15"/>
        <v>109845.69826</v>
      </c>
      <c r="K67" s="44">
        <f t="shared" si="15"/>
        <v>91166.115000000005</v>
      </c>
      <c r="L67" s="250">
        <f t="shared" si="16"/>
        <v>-17</v>
      </c>
      <c r="M67" s="27">
        <f>IFERROR(100/'Skjema total MA'!I67*K67,0)</f>
        <v>4.6780407388378853</v>
      </c>
    </row>
    <row r="68" spans="1:14" x14ac:dyDescent="0.2">
      <c r="A68" s="21" t="s">
        <v>10</v>
      </c>
      <c r="B68" s="287">
        <v>9039.0193999999992</v>
      </c>
      <c r="C68" s="288">
        <v>8847.8414699999994</v>
      </c>
      <c r="D68" s="165">
        <f t="shared" si="13"/>
        <v>-2.1</v>
      </c>
      <c r="E68" s="27">
        <f>IFERROR(100/'Skjema total MA'!C68*C68,0)</f>
        <v>85.068515807308032</v>
      </c>
      <c r="F68" s="287">
        <v>1025372.45311</v>
      </c>
      <c r="G68" s="288">
        <v>1168411.14228</v>
      </c>
      <c r="H68" s="165">
        <f t="shared" si="14"/>
        <v>13.9</v>
      </c>
      <c r="I68" s="27">
        <f>IFERROR(100/'Skjema total MA'!F68*G68,0)</f>
        <v>12.300885833734833</v>
      </c>
      <c r="J68" s="283">
        <f t="shared" si="15"/>
        <v>1034411.47251</v>
      </c>
      <c r="K68" s="44">
        <f t="shared" si="15"/>
        <v>1177258.9837500001</v>
      </c>
      <c r="L68" s="250">
        <f t="shared" si="16"/>
        <v>13.8</v>
      </c>
      <c r="M68" s="27">
        <f>IFERROR(100/'Skjema total MA'!I68*K68,0)</f>
        <v>12.380478328619366</v>
      </c>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v>87846.313800000004</v>
      </c>
      <c r="C75" s="145">
        <v>99091.374160000007</v>
      </c>
      <c r="D75" s="165">
        <f t="shared" si="13"/>
        <v>12.8</v>
      </c>
      <c r="E75" s="27">
        <f>IFERROR(100/'Skjema total MA'!C75*C75,0)</f>
        <v>69.146966346001619</v>
      </c>
      <c r="F75" s="230">
        <v>84130.849799999996</v>
      </c>
      <c r="G75" s="145">
        <v>81202.072820000001</v>
      </c>
      <c r="H75" s="165">
        <f t="shared" si="14"/>
        <v>-3.5</v>
      </c>
      <c r="I75" s="27">
        <f>IFERROR(100/'Skjema total MA'!F75*G75,0)</f>
        <v>20.527637224143596</v>
      </c>
      <c r="J75" s="283">
        <f t="shared" si="15"/>
        <v>171977.1636</v>
      </c>
      <c r="K75" s="44">
        <f t="shared" si="15"/>
        <v>180293.44698000001</v>
      </c>
      <c r="L75" s="250">
        <f t="shared" si="16"/>
        <v>4.8</v>
      </c>
      <c r="M75" s="27">
        <f>IFERROR(100/'Skjema total MA'!I75*K75,0)</f>
        <v>33.457078359509467</v>
      </c>
      <c r="N75" s="148"/>
    </row>
    <row r="76" spans="1:14" s="3" customFormat="1" x14ac:dyDescent="0.2">
      <c r="A76" s="21" t="s">
        <v>343</v>
      </c>
      <c r="B76" s="230">
        <v>58024.014159999999</v>
      </c>
      <c r="C76" s="145">
        <v>59703.942999999999</v>
      </c>
      <c r="D76" s="165">
        <f t="shared" ref="D76" si="17">IF(B76=0, "    ---- ", IF(ABS(ROUND(100/B76*C76-100,1))&lt;999,ROUND(100/B76*C76-100,1),IF(ROUND(100/B76*C76-100,1)&gt;999,999,-999)))</f>
        <v>2.9</v>
      </c>
      <c r="E76" s="27">
        <f>IFERROR(100/'Skjema total MA'!C76*C76,0)</f>
        <v>10.84717685414153</v>
      </c>
      <c r="F76" s="230"/>
      <c r="G76" s="145"/>
      <c r="H76" s="165"/>
      <c r="I76" s="27"/>
      <c r="J76" s="283">
        <f t="shared" ref="J76" si="18">SUM(B76,F76)</f>
        <v>58024.014159999999</v>
      </c>
      <c r="K76" s="44">
        <f t="shared" ref="K76" si="19">SUM(C76,G76)</f>
        <v>59703.942999999999</v>
      </c>
      <c r="L76" s="250">
        <f t="shared" ref="L76" si="20">IF(J76=0, "    ---- ", IF(ABS(ROUND(100/J76*K76-100,1))&lt;999,ROUND(100/J76*K76-100,1),IF(ROUND(100/J76*K76-100,1)&gt;999,999,-999)))</f>
        <v>2.9</v>
      </c>
      <c r="M76" s="27">
        <f>IFERROR(100/'Skjema total MA'!I76*K76,0)</f>
        <v>10.84717685414153</v>
      </c>
      <c r="N76" s="148"/>
    </row>
    <row r="77" spans="1:14" ht="15.75" x14ac:dyDescent="0.2">
      <c r="A77" s="21" t="s">
        <v>376</v>
      </c>
      <c r="B77" s="230">
        <v>118884.71766000001</v>
      </c>
      <c r="C77" s="230">
        <v>100013.95647</v>
      </c>
      <c r="D77" s="165">
        <f t="shared" si="13"/>
        <v>-15.9</v>
      </c>
      <c r="E77" s="27">
        <f>IFERROR(100/'Skjema total MA'!C77*C77,0)</f>
        <v>5.366067758184812</v>
      </c>
      <c r="F77" s="230">
        <v>1023239.2089</v>
      </c>
      <c r="G77" s="145">
        <v>1165806.62736</v>
      </c>
      <c r="H77" s="165">
        <f t="shared" si="14"/>
        <v>13.9</v>
      </c>
      <c r="I77" s="27">
        <f>IFERROR(100/'Skjema total MA'!F77*G77,0)</f>
        <v>12.278172407895759</v>
      </c>
      <c r="J77" s="283">
        <f t="shared" si="15"/>
        <v>1142123.9265600001</v>
      </c>
      <c r="K77" s="44">
        <f t="shared" si="15"/>
        <v>1265820.5838300001</v>
      </c>
      <c r="L77" s="250">
        <f t="shared" si="16"/>
        <v>10.8</v>
      </c>
      <c r="M77" s="27">
        <f>IFERROR(100/'Skjema total MA'!I77*K77,0)</f>
        <v>11.143989019069361</v>
      </c>
    </row>
    <row r="78" spans="1:14" x14ac:dyDescent="0.2">
      <c r="A78" s="21" t="s">
        <v>9</v>
      </c>
      <c r="B78" s="230">
        <v>109845.69826</v>
      </c>
      <c r="C78" s="145">
        <v>91166.115000000005</v>
      </c>
      <c r="D78" s="165">
        <f t="shared" si="13"/>
        <v>-17</v>
      </c>
      <c r="E78" s="27">
        <f>IFERROR(100/'Skjema total MA'!C78*C78,0)</f>
        <v>4.9160595172129469</v>
      </c>
      <c r="F78" s="230"/>
      <c r="G78" s="145"/>
      <c r="H78" s="165"/>
      <c r="I78" s="27"/>
      <c r="J78" s="283">
        <f t="shared" si="15"/>
        <v>109845.69826</v>
      </c>
      <c r="K78" s="44">
        <f t="shared" si="15"/>
        <v>91166.115000000005</v>
      </c>
      <c r="L78" s="250">
        <f t="shared" si="16"/>
        <v>-17</v>
      </c>
      <c r="M78" s="27">
        <f>IFERROR(100/'Skjema total MA'!I78*K78,0)</f>
        <v>4.9160595172129469</v>
      </c>
    </row>
    <row r="79" spans="1:14" x14ac:dyDescent="0.2">
      <c r="A79" s="38" t="s">
        <v>413</v>
      </c>
      <c r="B79" s="287">
        <v>9039.0193999999992</v>
      </c>
      <c r="C79" s="288">
        <v>8847.8414699999994</v>
      </c>
      <c r="D79" s="165">
        <f t="shared" si="13"/>
        <v>-2.1</v>
      </c>
      <c r="E79" s="27">
        <f>IFERROR(100/'Skjema total MA'!C79*C79,0)</f>
        <v>94.457342808387338</v>
      </c>
      <c r="F79" s="287">
        <v>1023239.2089</v>
      </c>
      <c r="G79" s="288">
        <v>1165806.62736</v>
      </c>
      <c r="H79" s="165">
        <f t="shared" si="14"/>
        <v>13.9</v>
      </c>
      <c r="I79" s="27">
        <f>IFERROR(100/'Skjema total MA'!F79*G79,0)</f>
        <v>12.278172407895759</v>
      </c>
      <c r="J79" s="283">
        <f t="shared" si="15"/>
        <v>1032278.2283</v>
      </c>
      <c r="K79" s="44">
        <f t="shared" si="15"/>
        <v>1174654.4688300001</v>
      </c>
      <c r="L79" s="250">
        <f t="shared" si="16"/>
        <v>13.8</v>
      </c>
      <c r="M79" s="27">
        <f>IFERROR(100/'Skjema total MA'!I79*K79,0)</f>
        <v>12.359164447673338</v>
      </c>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c r="C86" s="145"/>
      <c r="D86" s="165"/>
      <c r="E86" s="27"/>
      <c r="F86" s="230">
        <v>2133.2442099999998</v>
      </c>
      <c r="G86" s="145">
        <v>2604.5149200000001</v>
      </c>
      <c r="H86" s="165">
        <f t="shared" si="14"/>
        <v>22.1</v>
      </c>
      <c r="I86" s="27">
        <f>IFERROR(100/'Skjema total MA'!F86*G86,0)</f>
        <v>71.531248147187881</v>
      </c>
      <c r="J86" s="283">
        <f t="shared" si="15"/>
        <v>2133.2442099999998</v>
      </c>
      <c r="K86" s="44">
        <f t="shared" si="15"/>
        <v>2604.5149200000001</v>
      </c>
      <c r="L86" s="250">
        <f t="shared" si="16"/>
        <v>22.1</v>
      </c>
      <c r="M86" s="27">
        <f>IFERROR(100/'Skjema total MA'!I86*K86,0)</f>
        <v>2.6300359227868984</v>
      </c>
    </row>
    <row r="87" spans="1:13" ht="15.75" x14ac:dyDescent="0.2">
      <c r="A87" s="13" t="s">
        <v>359</v>
      </c>
      <c r="B87" s="343">
        <v>16524832.91612</v>
      </c>
      <c r="C87" s="343">
        <v>17724680.900210001</v>
      </c>
      <c r="D87" s="170">
        <f t="shared" si="13"/>
        <v>7.3</v>
      </c>
      <c r="E87" s="11">
        <f>IFERROR(100/'Skjema total MA'!C87*C87,0)</f>
        <v>4.3813183428246782</v>
      </c>
      <c r="F87" s="342">
        <v>40225057.445519999</v>
      </c>
      <c r="G87" s="342">
        <v>47464135.383429997</v>
      </c>
      <c r="H87" s="170">
        <f t="shared" si="14"/>
        <v>18</v>
      </c>
      <c r="I87" s="11">
        <f>IFERROR(100/'Skjema total MA'!F87*G87,0)</f>
        <v>10.71134189315814</v>
      </c>
      <c r="J87" s="302">
        <f t="shared" ref="J87:K111" si="21">SUM(B87,F87)</f>
        <v>56749890.361639999</v>
      </c>
      <c r="K87" s="232">
        <f t="shared" si="21"/>
        <v>65188816.283639997</v>
      </c>
      <c r="L87" s="414">
        <f t="shared" si="16"/>
        <v>14.9</v>
      </c>
      <c r="M87" s="11">
        <f>IFERROR(100/'Skjema total MA'!I87*K87,0)</f>
        <v>7.6903380537387722</v>
      </c>
    </row>
    <row r="88" spans="1:13" x14ac:dyDescent="0.2">
      <c r="A88" s="21" t="s">
        <v>9</v>
      </c>
      <c r="B88" s="230">
        <v>12167526.144549999</v>
      </c>
      <c r="C88" s="145">
        <v>12699187.29136</v>
      </c>
      <c r="D88" s="165">
        <f t="shared" si="13"/>
        <v>4.4000000000000004</v>
      </c>
      <c r="E88" s="27">
        <f>IFERROR(100/'Skjema total MA'!C88*C88,0)</f>
        <v>3.2539248836647721</v>
      </c>
      <c r="F88" s="230"/>
      <c r="G88" s="145"/>
      <c r="H88" s="165"/>
      <c r="I88" s="27"/>
      <c r="J88" s="283">
        <f t="shared" si="21"/>
        <v>12167526.144549999</v>
      </c>
      <c r="K88" s="44">
        <f t="shared" si="21"/>
        <v>12699187.29136</v>
      </c>
      <c r="L88" s="250">
        <f t="shared" si="16"/>
        <v>4.4000000000000004</v>
      </c>
      <c r="M88" s="27">
        <f>IFERROR(100/'Skjema total MA'!I88*K88,0)</f>
        <v>3.2539248836647721</v>
      </c>
    </row>
    <row r="89" spans="1:13" x14ac:dyDescent="0.2">
      <c r="A89" s="21" t="s">
        <v>10</v>
      </c>
      <c r="B89" s="230">
        <v>1667044.7297100001</v>
      </c>
      <c r="C89" s="145">
        <v>1738272.1680699999</v>
      </c>
      <c r="D89" s="165">
        <f t="shared" si="13"/>
        <v>4.3</v>
      </c>
      <c r="E89" s="27">
        <f>IFERROR(100/'Skjema total MA'!C89*C89,0)</f>
        <v>55.007692594504555</v>
      </c>
      <c r="F89" s="230">
        <v>38813749.670529999</v>
      </c>
      <c r="G89" s="145">
        <v>45765244.904639997</v>
      </c>
      <c r="H89" s="165">
        <f t="shared" si="14"/>
        <v>17.899999999999999</v>
      </c>
      <c r="I89" s="27">
        <f>IFERROR(100/'Skjema total MA'!F89*G89,0)</f>
        <v>10.445203059648343</v>
      </c>
      <c r="J89" s="283">
        <f t="shared" si="21"/>
        <v>40480794.400239997</v>
      </c>
      <c r="K89" s="44">
        <f t="shared" si="21"/>
        <v>47503517.07271</v>
      </c>
      <c r="L89" s="250">
        <f t="shared" si="16"/>
        <v>17.3</v>
      </c>
      <c r="M89" s="27">
        <f>IFERROR(100/'Skjema total MA'!I89*K89,0)</f>
        <v>10.764300894746727</v>
      </c>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v>1714900.5623399999</v>
      </c>
      <c r="C96" s="145">
        <v>2085628.06017</v>
      </c>
      <c r="D96" s="165">
        <f t="shared" si="13"/>
        <v>21.6</v>
      </c>
      <c r="E96" s="27">
        <f>IFERROR(100/'Skjema total MA'!C96*C96,0)</f>
        <v>67.994359674277703</v>
      </c>
      <c r="F96" s="230">
        <v>1411307.7749900001</v>
      </c>
      <c r="G96" s="145">
        <v>1698890.4787900001</v>
      </c>
      <c r="H96" s="165">
        <f t="shared" si="14"/>
        <v>20.399999999999999</v>
      </c>
      <c r="I96" s="27">
        <f>IFERROR(100/'Skjema total MA'!F96*G96,0)</f>
        <v>34.153395960775342</v>
      </c>
      <c r="J96" s="283">
        <f t="shared" si="21"/>
        <v>3126208.33733</v>
      </c>
      <c r="K96" s="44">
        <f t="shared" si="21"/>
        <v>3784518.53896</v>
      </c>
      <c r="L96" s="250">
        <f t="shared" si="16"/>
        <v>21.1</v>
      </c>
      <c r="M96" s="27">
        <f>IFERROR(100/'Skjema total MA'!I96*K96,0)</f>
        <v>47.061474053816482</v>
      </c>
    </row>
    <row r="97" spans="1:13" x14ac:dyDescent="0.2">
      <c r="A97" s="21" t="s">
        <v>341</v>
      </c>
      <c r="B97" s="230">
        <v>975361.47952000005</v>
      </c>
      <c r="C97" s="145">
        <v>1201593.3806100001</v>
      </c>
      <c r="D97" s="165">
        <f t="shared" ref="D97" si="22">IF(B97=0, "    ---- ", IF(ABS(ROUND(100/B97*C97-100,1))&lt;999,ROUND(100/B97*C97-100,1),IF(ROUND(100/B97*C97-100,1)&gt;999,999,-999)))</f>
        <v>23.2</v>
      </c>
      <c r="E97" s="27">
        <f>IFERROR(100/'Skjema total MA'!C97*C97,0)</f>
        <v>14.924776861423954</v>
      </c>
      <c r="F97" s="230"/>
      <c r="G97" s="145"/>
      <c r="H97" s="165"/>
      <c r="I97" s="27"/>
      <c r="J97" s="283">
        <f t="shared" ref="J97" si="23">SUM(B97,F97)</f>
        <v>975361.47952000005</v>
      </c>
      <c r="K97" s="44">
        <f t="shared" ref="K97" si="24">SUM(C97,G97)</f>
        <v>1201593.3806100001</v>
      </c>
      <c r="L97" s="250">
        <f t="shared" ref="L97" si="25">IF(J97=0, "    ---- ", IF(ABS(ROUND(100/J97*K97-100,1))&lt;999,ROUND(100/J97*K97-100,1),IF(ROUND(100/J97*K97-100,1)&gt;999,999,-999)))</f>
        <v>23.2</v>
      </c>
      <c r="M97" s="27">
        <f>IFERROR(100/'Skjema total MA'!I97*K97,0)</f>
        <v>14.924776861423954</v>
      </c>
    </row>
    <row r="98" spans="1:13" ht="15.75" x14ac:dyDescent="0.2">
      <c r="A98" s="21" t="s">
        <v>376</v>
      </c>
      <c r="B98" s="230">
        <v>13834570.874259999</v>
      </c>
      <c r="C98" s="230">
        <v>14437459.45943</v>
      </c>
      <c r="D98" s="165">
        <f t="shared" si="13"/>
        <v>4.4000000000000004</v>
      </c>
      <c r="E98" s="27">
        <f>IFERROR(100/'Skjema total MA'!C98*C98,0)</f>
        <v>3.7119885854158499</v>
      </c>
      <c r="F98" s="287">
        <v>38725696.581660002</v>
      </c>
      <c r="G98" s="287">
        <v>45680637.625309996</v>
      </c>
      <c r="H98" s="165">
        <f t="shared" si="14"/>
        <v>18</v>
      </c>
      <c r="I98" s="27">
        <f>IFERROR(100/'Skjema total MA'!F98*G98,0)</f>
        <v>10.446720181714232</v>
      </c>
      <c r="J98" s="283">
        <f t="shared" si="21"/>
        <v>52560267.455920003</v>
      </c>
      <c r="K98" s="44">
        <f t="shared" si="21"/>
        <v>60118097.084739998</v>
      </c>
      <c r="L98" s="250">
        <f t="shared" si="16"/>
        <v>14.4</v>
      </c>
      <c r="M98" s="27">
        <f>IFERROR(100/'Skjema total MA'!I98*K98,0)</f>
        <v>7.2763356681906366</v>
      </c>
    </row>
    <row r="99" spans="1:13" x14ac:dyDescent="0.2">
      <c r="A99" s="21" t="s">
        <v>9</v>
      </c>
      <c r="B99" s="287">
        <v>12167526.144549999</v>
      </c>
      <c r="C99" s="288">
        <v>12699187.29136</v>
      </c>
      <c r="D99" s="165">
        <f t="shared" si="13"/>
        <v>4.4000000000000004</v>
      </c>
      <c r="E99" s="27">
        <f>IFERROR(100/'Skjema total MA'!C99*C99,0)</f>
        <v>3.2918097764547469</v>
      </c>
      <c r="F99" s="230"/>
      <c r="G99" s="145"/>
      <c r="H99" s="165"/>
      <c r="I99" s="27"/>
      <c r="J99" s="283">
        <f t="shared" si="21"/>
        <v>12167526.144549999</v>
      </c>
      <c r="K99" s="44">
        <f t="shared" si="21"/>
        <v>12699187.29136</v>
      </c>
      <c r="L99" s="250">
        <f t="shared" si="16"/>
        <v>4.4000000000000004</v>
      </c>
      <c r="M99" s="27">
        <f>IFERROR(100/'Skjema total MA'!I99*K99,0)</f>
        <v>3.2918097764547469</v>
      </c>
    </row>
    <row r="100" spans="1:13" x14ac:dyDescent="0.2">
      <c r="A100" s="38" t="s">
        <v>413</v>
      </c>
      <c r="B100" s="287">
        <v>1667044.7297100001</v>
      </c>
      <c r="C100" s="288">
        <v>1738272.1680699999</v>
      </c>
      <c r="D100" s="165">
        <f t="shared" si="13"/>
        <v>4.3</v>
      </c>
      <c r="E100" s="27">
        <f>IFERROR(100/'Skjema total MA'!C100*C100,0)</f>
        <v>55.007692594504555</v>
      </c>
      <c r="F100" s="230">
        <v>38725696.581660002</v>
      </c>
      <c r="G100" s="230">
        <v>45680637.625309996</v>
      </c>
      <c r="H100" s="165">
        <f t="shared" si="14"/>
        <v>18</v>
      </c>
      <c r="I100" s="27">
        <f>IFERROR(100/'Skjema total MA'!F100*G100,0)</f>
        <v>10.446720181714232</v>
      </c>
      <c r="J100" s="283">
        <f t="shared" si="21"/>
        <v>40392741.31137</v>
      </c>
      <c r="K100" s="44">
        <f t="shared" si="21"/>
        <v>47418909.79338</v>
      </c>
      <c r="L100" s="250">
        <f t="shared" si="16"/>
        <v>17.399999999999999</v>
      </c>
      <c r="M100" s="27">
        <f>IFERROR(100/'Skjema total MA'!I100*K100,0)</f>
        <v>10.766440007739263</v>
      </c>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c r="C107" s="145"/>
      <c r="D107" s="165"/>
      <c r="E107" s="27"/>
      <c r="F107" s="230">
        <v>88053.088870000007</v>
      </c>
      <c r="G107" s="145">
        <v>84607.279329999903</v>
      </c>
      <c r="H107" s="165">
        <f t="shared" si="14"/>
        <v>-3.9</v>
      </c>
      <c r="I107" s="27">
        <f>IFERROR(100/'Skjema total MA'!F107*G107,0)</f>
        <v>9.6857543740758754</v>
      </c>
      <c r="J107" s="283">
        <f t="shared" si="21"/>
        <v>88053.088870000007</v>
      </c>
      <c r="K107" s="44">
        <f t="shared" si="21"/>
        <v>84607.279329999903</v>
      </c>
      <c r="L107" s="250">
        <f t="shared" si="16"/>
        <v>-3.9</v>
      </c>
      <c r="M107" s="27">
        <f>IFERROR(100/'Skjema total MA'!I107*K107,0)</f>
        <v>1.5769908345947099</v>
      </c>
    </row>
    <row r="108" spans="1:13" ht="15.75" x14ac:dyDescent="0.2">
      <c r="A108" s="21" t="s">
        <v>378</v>
      </c>
      <c r="B108" s="230">
        <v>8871411.3272300009</v>
      </c>
      <c r="C108" s="230">
        <v>9718717.4305700008</v>
      </c>
      <c r="D108" s="165">
        <f t="shared" si="13"/>
        <v>9.6</v>
      </c>
      <c r="E108" s="27">
        <f>IFERROR(100/'Skjema total MA'!C108*C108,0)</f>
        <v>2.9000862383546107</v>
      </c>
      <c r="F108" s="230"/>
      <c r="G108" s="230"/>
      <c r="H108" s="165"/>
      <c r="I108" s="27"/>
      <c r="J108" s="283">
        <f t="shared" si="21"/>
        <v>8871411.3272300009</v>
      </c>
      <c r="K108" s="44">
        <f t="shared" si="21"/>
        <v>9718717.4305700008</v>
      </c>
      <c r="L108" s="250">
        <f t="shared" si="16"/>
        <v>9.6</v>
      </c>
      <c r="M108" s="27">
        <f>IFERROR(100/'Skjema total MA'!I108*K108,0)</f>
        <v>2.7338174693981938</v>
      </c>
    </row>
    <row r="109" spans="1:13" ht="15.6" customHeight="1" x14ac:dyDescent="0.2">
      <c r="A109" s="21" t="s">
        <v>430</v>
      </c>
      <c r="B109" s="230">
        <v>362148.65597999998</v>
      </c>
      <c r="C109" s="230">
        <v>401317.36901000002</v>
      </c>
      <c r="D109" s="165">
        <f t="shared" si="13"/>
        <v>10.8</v>
      </c>
      <c r="E109" s="27">
        <f>IFERROR(100/'Skjema total MA'!C109*C109,0)</f>
        <v>21.800332714448047</v>
      </c>
      <c r="F109" s="230">
        <v>13245052.838780001</v>
      </c>
      <c r="G109" s="230">
        <v>16887098</v>
      </c>
      <c r="H109" s="165">
        <f t="shared" si="14"/>
        <v>27.5</v>
      </c>
      <c r="I109" s="27">
        <f>IFERROR(100/'Skjema total MA'!F109*G109,0)</f>
        <v>10.904142879020071</v>
      </c>
      <c r="J109" s="283">
        <f t="shared" si="21"/>
        <v>13607201.494760001</v>
      </c>
      <c r="K109" s="44">
        <f t="shared" si="21"/>
        <v>17288415.369010001</v>
      </c>
      <c r="L109" s="250">
        <f t="shared" si="16"/>
        <v>27.1</v>
      </c>
      <c r="M109" s="27">
        <f>IFERROR(100/'Skjema total MA'!I109*K109,0)</f>
        <v>11.032141154134417</v>
      </c>
    </row>
    <row r="110" spans="1:13" ht="15.75" x14ac:dyDescent="0.2">
      <c r="A110" s="21" t="s">
        <v>379</v>
      </c>
      <c r="B110" s="230">
        <v>366934.73819</v>
      </c>
      <c r="C110" s="230">
        <v>621545.39787999995</v>
      </c>
      <c r="D110" s="165">
        <f t="shared" si="13"/>
        <v>69.400000000000006</v>
      </c>
      <c r="E110" s="27">
        <f>IFERROR(100/'Skjema total MA'!C110*C110,0)</f>
        <v>60.531342866443694</v>
      </c>
      <c r="F110" s="230"/>
      <c r="G110" s="230"/>
      <c r="H110" s="165"/>
      <c r="I110" s="27"/>
      <c r="J110" s="283">
        <f t="shared" si="21"/>
        <v>366934.73819</v>
      </c>
      <c r="K110" s="44">
        <f t="shared" si="21"/>
        <v>621545.39787999995</v>
      </c>
      <c r="L110" s="250">
        <f t="shared" si="16"/>
        <v>69.400000000000006</v>
      </c>
      <c r="M110" s="27">
        <f>IFERROR(100/'Skjema total MA'!I110*K110,0)</f>
        <v>60.531342866443694</v>
      </c>
    </row>
    <row r="111" spans="1:13" ht="15.75" x14ac:dyDescent="0.2">
      <c r="A111" s="13" t="s">
        <v>360</v>
      </c>
      <c r="B111" s="301">
        <v>1820.9263700000001</v>
      </c>
      <c r="C111" s="158">
        <v>20246.368989999999</v>
      </c>
      <c r="D111" s="170">
        <f t="shared" si="13"/>
        <v>999</v>
      </c>
      <c r="E111" s="11">
        <f>IFERROR(100/'Skjema total MA'!C111*C111,0)</f>
        <v>5.878872006683185</v>
      </c>
      <c r="F111" s="301">
        <v>1706358.55586</v>
      </c>
      <c r="G111" s="158">
        <v>1409867.6889800001</v>
      </c>
      <c r="H111" s="170">
        <f t="shared" si="14"/>
        <v>-17.399999999999999</v>
      </c>
      <c r="I111" s="11">
        <f>IFERROR(100/'Skjema total MA'!F111*G111,0)</f>
        <v>12.467921090693117</v>
      </c>
      <c r="J111" s="302">
        <f t="shared" si="21"/>
        <v>1708179.48223</v>
      </c>
      <c r="K111" s="232">
        <f t="shared" si="21"/>
        <v>1430114.0579700002</v>
      </c>
      <c r="L111" s="414">
        <f t="shared" si="16"/>
        <v>-16.3</v>
      </c>
      <c r="M111" s="11">
        <f>IFERROR(100/'Skjema total MA'!I111*K111,0)</f>
        <v>12.273177918640364</v>
      </c>
    </row>
    <row r="112" spans="1:13" x14ac:dyDescent="0.2">
      <c r="A112" s="21" t="s">
        <v>9</v>
      </c>
      <c r="B112" s="230">
        <v>-2073.1591100000001</v>
      </c>
      <c r="C112" s="145">
        <v>16817.455709999998</v>
      </c>
      <c r="D112" s="165">
        <f t="shared" ref="D112:D125" si="26">IF(B112=0, "    ---- ", IF(ABS(ROUND(100/B112*C112-100,1))&lt;999,ROUND(100/B112*C112-100,1),IF(ROUND(100/B112*C112-100,1)&gt;999,999,-999)))</f>
        <v>-911.2</v>
      </c>
      <c r="E112" s="27">
        <f>IFERROR(100/'Skjema total MA'!C112*C112,0)</f>
        <v>11.260423479488411</v>
      </c>
      <c r="F112" s="230"/>
      <c r="G112" s="145"/>
      <c r="H112" s="165"/>
      <c r="I112" s="27"/>
      <c r="J112" s="283">
        <f t="shared" ref="J112:K125" si="27">SUM(B112,F112)</f>
        <v>-2073.1591100000001</v>
      </c>
      <c r="K112" s="44">
        <f t="shared" si="27"/>
        <v>16817.455709999998</v>
      </c>
      <c r="L112" s="250">
        <f t="shared" ref="L112:L125" si="28">IF(J112=0, "    ---- ", IF(ABS(ROUND(100/J112*K112-100,1))&lt;999,ROUND(100/J112*K112-100,1),IF(ROUND(100/J112*K112-100,1)&gt;999,999,-999)))</f>
        <v>-911.2</v>
      </c>
      <c r="M112" s="27">
        <f>IFERROR(100/'Skjema total MA'!I112*K112,0)</f>
        <v>11.246947636162652</v>
      </c>
    </row>
    <row r="113" spans="1:14" x14ac:dyDescent="0.2">
      <c r="A113" s="21" t="s">
        <v>10</v>
      </c>
      <c r="B113" s="230">
        <v>202.16847000000001</v>
      </c>
      <c r="C113" s="145">
        <v>0</v>
      </c>
      <c r="D113" s="165">
        <f t="shared" si="26"/>
        <v>-100</v>
      </c>
      <c r="E113" s="27">
        <f>IFERROR(100/'Skjema total MA'!C113*C113,0)</f>
        <v>0</v>
      </c>
      <c r="F113" s="230">
        <v>1706358.55586</v>
      </c>
      <c r="G113" s="145">
        <v>1409867.6889800001</v>
      </c>
      <c r="H113" s="165">
        <f t="shared" ref="H113:H125" si="29">IF(F113=0, "    ---- ", IF(ABS(ROUND(100/F113*G113-100,1))&lt;999,ROUND(100/F113*G113-100,1),IF(ROUND(100/F113*G113-100,1)&gt;999,999,-999)))</f>
        <v>-17.399999999999999</v>
      </c>
      <c r="I113" s="27">
        <f>IFERROR(100/'Skjema total MA'!F113*G113,0)</f>
        <v>12.468118398129572</v>
      </c>
      <c r="J113" s="283">
        <f t="shared" si="27"/>
        <v>1706560.7243299999</v>
      </c>
      <c r="K113" s="44">
        <f t="shared" si="27"/>
        <v>1409867.6889800001</v>
      </c>
      <c r="L113" s="250">
        <f t="shared" si="28"/>
        <v>-17.399999999999999</v>
      </c>
      <c r="M113" s="27">
        <f>IFERROR(100/'Skjema total MA'!I113*K113,0)</f>
        <v>12.468118398129572</v>
      </c>
    </row>
    <row r="114" spans="1:14" x14ac:dyDescent="0.2">
      <c r="A114" s="21" t="s">
        <v>26</v>
      </c>
      <c r="B114" s="230">
        <v>3691.9170100000001</v>
      </c>
      <c r="C114" s="145">
        <v>3428.9132800000002</v>
      </c>
      <c r="D114" s="165">
        <f t="shared" si="26"/>
        <v>-7.1</v>
      </c>
      <c r="E114" s="27">
        <f>IFERROR(100/'Skjema total MA'!C114*C114,0)</f>
        <v>1.758038842370431</v>
      </c>
      <c r="F114" s="230"/>
      <c r="G114" s="145"/>
      <c r="H114" s="165"/>
      <c r="I114" s="27"/>
      <c r="J114" s="283">
        <f t="shared" si="27"/>
        <v>3691.9170100000001</v>
      </c>
      <c r="K114" s="44">
        <f t="shared" si="27"/>
        <v>3428.9132800000002</v>
      </c>
      <c r="L114" s="250">
        <f t="shared" si="28"/>
        <v>-7.1</v>
      </c>
      <c r="M114" s="27">
        <f>IFERROR(100/'Skjema total MA'!I114*K114,0)</f>
        <v>1.758038842370431</v>
      </c>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v>0</v>
      </c>
      <c r="C116" s="230">
        <v>16509.530839999999</v>
      </c>
      <c r="D116" s="165" t="str">
        <f t="shared" si="26"/>
        <v xml:space="preserve">    ---- </v>
      </c>
      <c r="E116" s="27">
        <f>IFERROR(100/'Skjema total MA'!C116*C116,0)</f>
        <v>38.083996446840708</v>
      </c>
      <c r="F116" s="230"/>
      <c r="G116" s="230"/>
      <c r="H116" s="165"/>
      <c r="I116" s="27"/>
      <c r="J116" s="283">
        <f t="shared" si="27"/>
        <v>0</v>
      </c>
      <c r="K116" s="44">
        <f t="shared" si="27"/>
        <v>16509.530839999999</v>
      </c>
      <c r="L116" s="250" t="str">
        <f t="shared" si="28"/>
        <v xml:space="preserve">    ---- </v>
      </c>
      <c r="M116" s="27">
        <f>IFERROR(100/'Skjema total MA'!I116*K116,0)</f>
        <v>37.927433822578728</v>
      </c>
    </row>
    <row r="117" spans="1:14" ht="15.6" customHeight="1" x14ac:dyDescent="0.2">
      <c r="A117" s="21" t="s">
        <v>430</v>
      </c>
      <c r="B117" s="230"/>
      <c r="C117" s="230"/>
      <c r="D117" s="165"/>
      <c r="E117" s="27"/>
      <c r="F117" s="230">
        <v>179279.22743999999</v>
      </c>
      <c r="G117" s="230">
        <v>766528.67797999806</v>
      </c>
      <c r="H117" s="165">
        <f t="shared" si="29"/>
        <v>327.60000000000002</v>
      </c>
      <c r="I117" s="27">
        <f>IFERROR(100/'Skjema total MA'!F117*G117,0)</f>
        <v>13.320334125601725</v>
      </c>
      <c r="J117" s="283">
        <f t="shared" si="27"/>
        <v>179279.22743999999</v>
      </c>
      <c r="K117" s="44">
        <f t="shared" si="27"/>
        <v>766528.67797999806</v>
      </c>
      <c r="L117" s="250">
        <f t="shared" si="28"/>
        <v>327.60000000000002</v>
      </c>
      <c r="M117" s="27">
        <f>IFERROR(100/'Skjema total MA'!I117*K117,0)</f>
        <v>13.320334125601725</v>
      </c>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v>13651.759679999999</v>
      </c>
      <c r="C119" s="158">
        <v>208738.34943</v>
      </c>
      <c r="D119" s="170">
        <f t="shared" si="26"/>
        <v>999</v>
      </c>
      <c r="E119" s="11">
        <f>IFERROR(100/'Skjema total MA'!C119*C119,0)</f>
        <v>58.713758143357794</v>
      </c>
      <c r="F119" s="301">
        <v>1482290.4926499999</v>
      </c>
      <c r="G119" s="158">
        <v>1212138.85785</v>
      </c>
      <c r="H119" s="170">
        <f t="shared" si="29"/>
        <v>-18.2</v>
      </c>
      <c r="I119" s="11">
        <f>IFERROR(100/'Skjema total MA'!F119*G119,0)</f>
        <v>9.9994601769087428</v>
      </c>
      <c r="J119" s="302">
        <f t="shared" si="27"/>
        <v>1495942.2523299998</v>
      </c>
      <c r="K119" s="232">
        <f t="shared" si="27"/>
        <v>1420877.20728</v>
      </c>
      <c r="L119" s="414">
        <f t="shared" si="28"/>
        <v>-5</v>
      </c>
      <c r="M119" s="11">
        <f>IFERROR(100/'Skjema total MA'!I119*K119,0)</f>
        <v>11.387458979914818</v>
      </c>
    </row>
    <row r="120" spans="1:14" x14ac:dyDescent="0.2">
      <c r="A120" s="21" t="s">
        <v>9</v>
      </c>
      <c r="B120" s="230">
        <v>3.9754700000000001</v>
      </c>
      <c r="C120" s="145">
        <v>252.17418000000001</v>
      </c>
      <c r="D120" s="165">
        <f t="shared" si="26"/>
        <v>999</v>
      </c>
      <c r="E120" s="27">
        <f>IFERROR(100/'Skjema total MA'!C120*C120,0)</f>
        <v>0.29073718448912061</v>
      </c>
      <c r="F120" s="230"/>
      <c r="G120" s="145"/>
      <c r="H120" s="165"/>
      <c r="I120" s="27"/>
      <c r="J120" s="283">
        <f t="shared" si="27"/>
        <v>3.9754700000000001</v>
      </c>
      <c r="K120" s="44">
        <f t="shared" si="27"/>
        <v>252.17418000000001</v>
      </c>
      <c r="L120" s="250">
        <f t="shared" si="28"/>
        <v>999</v>
      </c>
      <c r="M120" s="27">
        <f>IFERROR(100/'Skjema total MA'!I120*K120,0)</f>
        <v>0.29073718448912061</v>
      </c>
    </row>
    <row r="121" spans="1:14" x14ac:dyDescent="0.2">
      <c r="A121" s="21" t="s">
        <v>10</v>
      </c>
      <c r="B121" s="230">
        <v>10577.130450000001</v>
      </c>
      <c r="C121" s="145">
        <v>5116.5181000000002</v>
      </c>
      <c r="D121" s="165">
        <f t="shared" si="26"/>
        <v>-51.6</v>
      </c>
      <c r="E121" s="27">
        <f>IFERROR(100/'Skjema total MA'!C121*C121,0)</f>
        <v>100</v>
      </c>
      <c r="F121" s="230">
        <v>1482290.4926499999</v>
      </c>
      <c r="G121" s="145">
        <v>1212138.85785</v>
      </c>
      <c r="H121" s="165">
        <f t="shared" si="29"/>
        <v>-18.2</v>
      </c>
      <c r="I121" s="27">
        <f>IFERROR(100/'Skjema total MA'!F121*G121,0)</f>
        <v>9.9994601769087428</v>
      </c>
      <c r="J121" s="283">
        <f t="shared" si="27"/>
        <v>1492867.6231</v>
      </c>
      <c r="K121" s="44">
        <f t="shared" si="27"/>
        <v>1217255.37595</v>
      </c>
      <c r="L121" s="250">
        <f t="shared" si="28"/>
        <v>-18.5</v>
      </c>
      <c r="M121" s="27">
        <f>IFERROR(100/'Skjema total MA'!I121*K121,0)</f>
        <v>10.037431920585401</v>
      </c>
    </row>
    <row r="122" spans="1:14" x14ac:dyDescent="0.2">
      <c r="A122" s="21" t="s">
        <v>26</v>
      </c>
      <c r="B122" s="230">
        <v>3070.6537600000001</v>
      </c>
      <c r="C122" s="145">
        <v>203369.65715000001</v>
      </c>
      <c r="D122" s="165">
        <f t="shared" si="26"/>
        <v>999</v>
      </c>
      <c r="E122" s="27">
        <f>IFERROR(100/'Skjema total MA'!C122*C122,0)</f>
        <v>77.131548768271401</v>
      </c>
      <c r="F122" s="230"/>
      <c r="G122" s="145"/>
      <c r="H122" s="165"/>
      <c r="I122" s="27"/>
      <c r="J122" s="283">
        <f t="shared" si="27"/>
        <v>3070.6537600000001</v>
      </c>
      <c r="K122" s="44">
        <f t="shared" si="27"/>
        <v>203369.65715000001</v>
      </c>
      <c r="L122" s="250">
        <f t="shared" si="28"/>
        <v>999</v>
      </c>
      <c r="M122" s="27">
        <f>IFERROR(100/'Skjema total MA'!I122*K122,0)</f>
        <v>77.131548768271401</v>
      </c>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v>0</v>
      </c>
      <c r="C125" s="230">
        <v>16.37509</v>
      </c>
      <c r="D125" s="165" t="str">
        <f t="shared" si="26"/>
        <v xml:space="preserve">    ---- </v>
      </c>
      <c r="E125" s="27">
        <f>IFERROR(100/'Skjema total MA'!C125*C125,0)</f>
        <v>100</v>
      </c>
      <c r="F125" s="230">
        <v>352910.27518</v>
      </c>
      <c r="G125" s="230">
        <v>579411.24753000005</v>
      </c>
      <c r="H125" s="165">
        <f t="shared" si="29"/>
        <v>64.2</v>
      </c>
      <c r="I125" s="27">
        <f>IFERROR(100/'Skjema total MA'!F125*G125,0)</f>
        <v>10.193813379393127</v>
      </c>
      <c r="J125" s="283">
        <f t="shared" si="27"/>
        <v>352910.27518</v>
      </c>
      <c r="K125" s="44">
        <f t="shared" si="27"/>
        <v>579427.62262000004</v>
      </c>
      <c r="L125" s="250">
        <f t="shared" si="28"/>
        <v>64.2</v>
      </c>
      <c r="M125" s="27">
        <f>IFERROR(100/'Skjema total MA'!I125*K125,0)</f>
        <v>10.194072104429809</v>
      </c>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292"/>
      <c r="F130" s="724"/>
      <c r="G130" s="724"/>
      <c r="H130" s="724"/>
      <c r="I130" s="292"/>
      <c r="J130" s="724"/>
      <c r="K130" s="724"/>
      <c r="L130" s="724"/>
      <c r="M130" s="292"/>
    </row>
    <row r="131" spans="1:14" s="3" customFormat="1" x14ac:dyDescent="0.2">
      <c r="A131" s="144"/>
      <c r="B131" s="725" t="s">
        <v>0</v>
      </c>
      <c r="C131" s="726"/>
      <c r="D131" s="726"/>
      <c r="E131" s="294"/>
      <c r="F131" s="725" t="s">
        <v>1</v>
      </c>
      <c r="G131" s="726"/>
      <c r="H131" s="726"/>
      <c r="I131" s="297"/>
      <c r="J131" s="725" t="s">
        <v>2</v>
      </c>
      <c r="K131" s="726"/>
      <c r="L131" s="726"/>
      <c r="M131" s="297"/>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c r="C134" s="302"/>
      <c r="D134" s="340"/>
      <c r="E134" s="11"/>
      <c r="F134" s="309"/>
      <c r="G134" s="310"/>
      <c r="H134" s="417"/>
      <c r="I134" s="24"/>
      <c r="J134" s="311"/>
      <c r="K134" s="311"/>
      <c r="L134" s="413"/>
      <c r="M134" s="11"/>
      <c r="N134" s="148"/>
    </row>
    <row r="135" spans="1:14" s="3" customFormat="1" ht="15.75" x14ac:dyDescent="0.2">
      <c r="A135" s="13" t="s">
        <v>386</v>
      </c>
      <c r="B135" s="232"/>
      <c r="C135" s="302"/>
      <c r="D135" s="170"/>
      <c r="E135" s="11"/>
      <c r="F135" s="232"/>
      <c r="G135" s="302"/>
      <c r="H135" s="418"/>
      <c r="I135" s="24"/>
      <c r="J135" s="301"/>
      <c r="K135" s="301"/>
      <c r="L135" s="414"/>
      <c r="M135" s="11"/>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279" priority="12">
      <formula>kvartal &lt; 4</formula>
    </cfRule>
  </conditionalFormatting>
  <conditionalFormatting sqref="A69:A74">
    <cfRule type="expression" dxfId="278" priority="10">
      <formula>kvartal &lt; 4</formula>
    </cfRule>
  </conditionalFormatting>
  <conditionalFormatting sqref="A80:A85">
    <cfRule type="expression" dxfId="277" priority="9">
      <formula>kvartal &lt; 4</formula>
    </cfRule>
  </conditionalFormatting>
  <conditionalFormatting sqref="A90:A95">
    <cfRule type="expression" dxfId="276" priority="6">
      <formula>kvartal &lt; 4</formula>
    </cfRule>
  </conditionalFormatting>
  <conditionalFormatting sqref="A101:A106">
    <cfRule type="expression" dxfId="275" priority="5">
      <formula>kvartal &lt; 4</formula>
    </cfRule>
  </conditionalFormatting>
  <conditionalFormatting sqref="A115">
    <cfRule type="expression" dxfId="274" priority="4">
      <formula>kvartal &lt; 4</formula>
    </cfRule>
  </conditionalFormatting>
  <conditionalFormatting sqref="A123">
    <cfRule type="expression" dxfId="273" priority="3">
      <formula>kvartal &lt; 4</formula>
    </cfRule>
  </conditionalFormatting>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N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244" t="s">
        <v>95</v>
      </c>
      <c r="D1" s="26"/>
      <c r="E1" s="26"/>
      <c r="F1" s="26"/>
      <c r="G1" s="26"/>
      <c r="H1" s="26"/>
      <c r="I1" s="26"/>
      <c r="J1" s="26"/>
      <c r="K1" s="26"/>
      <c r="L1" s="26"/>
      <c r="M1" s="26"/>
    </row>
    <row r="2" spans="1:14" ht="15.75" x14ac:dyDescent="0.25">
      <c r="A2" s="164" t="s">
        <v>28</v>
      </c>
      <c r="B2" s="729"/>
      <c r="C2" s="729"/>
      <c r="D2" s="729"/>
      <c r="E2" s="292"/>
      <c r="F2" s="729"/>
      <c r="G2" s="729"/>
      <c r="H2" s="729"/>
      <c r="I2" s="292"/>
      <c r="J2" s="729"/>
      <c r="K2" s="729"/>
      <c r="L2" s="729"/>
      <c r="M2" s="292"/>
    </row>
    <row r="3" spans="1:14" ht="15.75" x14ac:dyDescent="0.25">
      <c r="A3" s="162"/>
      <c r="B3" s="292"/>
      <c r="C3" s="292"/>
      <c r="D3" s="292"/>
      <c r="E3" s="292"/>
      <c r="F3" s="292"/>
      <c r="G3" s="292"/>
      <c r="H3" s="292"/>
      <c r="I3" s="292"/>
      <c r="J3" s="292"/>
      <c r="K3" s="292"/>
      <c r="L3" s="292"/>
      <c r="M3" s="292"/>
    </row>
    <row r="4" spans="1:14" x14ac:dyDescent="0.2">
      <c r="A4" s="144"/>
      <c r="B4" s="725" t="s">
        <v>0</v>
      </c>
      <c r="C4" s="726"/>
      <c r="D4" s="726"/>
      <c r="E4" s="294"/>
      <c r="F4" s="725" t="s">
        <v>1</v>
      </c>
      <c r="G4" s="726"/>
      <c r="H4" s="726"/>
      <c r="I4" s="297"/>
      <c r="J4" s="725" t="s">
        <v>2</v>
      </c>
      <c r="K4" s="726"/>
      <c r="L4" s="726"/>
      <c r="M4" s="297"/>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v>202311.073</v>
      </c>
      <c r="C7" s="300">
        <v>226314.35800000001</v>
      </c>
      <c r="D7" s="340">
        <f>IF(B7=0, "    ---- ", IF(ABS(ROUND(100/B7*C7-100,1))&lt;999,ROUND(100/B7*C7-100,1),IF(ROUND(100/B7*C7-100,1)&gt;999,999,-999)))</f>
        <v>11.9</v>
      </c>
      <c r="E7" s="11">
        <f>IFERROR(100/'Skjema total MA'!C7*C7,0)</f>
        <v>13.05456674563375</v>
      </c>
      <c r="F7" s="299">
        <v>473313.11700000003</v>
      </c>
      <c r="G7" s="300">
        <v>357954.49699999997</v>
      </c>
      <c r="H7" s="340">
        <f>IF(F7=0, "    ---- ", IF(ABS(ROUND(100/F7*G7-100,1))&lt;999,ROUND(100/F7*G7-100,1),IF(ROUND(100/F7*G7-100,1)&gt;999,999,-999)))</f>
        <v>-24.4</v>
      </c>
      <c r="I7" s="159">
        <f>IFERROR(100/'Skjema total MA'!F7*G7,0)</f>
        <v>10.420735905364028</v>
      </c>
      <c r="J7" s="301">
        <f t="shared" ref="J7:K12" si="0">SUM(B7,F7)</f>
        <v>675624.19000000006</v>
      </c>
      <c r="K7" s="302">
        <f t="shared" si="0"/>
        <v>584268.85499999998</v>
      </c>
      <c r="L7" s="413">
        <f>IF(J7=0, "    ---- ", IF(ABS(ROUND(100/J7*K7-100,1))&lt;999,ROUND(100/J7*K7-100,1),IF(ROUND(100/J7*K7-100,1)&gt;999,999,-999)))</f>
        <v>-13.5</v>
      </c>
      <c r="M7" s="11">
        <f>IFERROR(100/'Skjema total MA'!I7*K7,0)</f>
        <v>11.30414641319361</v>
      </c>
    </row>
    <row r="8" spans="1:14" ht="15.75" x14ac:dyDescent="0.2">
      <c r="A8" s="21" t="s">
        <v>25</v>
      </c>
      <c r="B8" s="277">
        <v>77634.608999999997</v>
      </c>
      <c r="C8" s="278">
        <v>84114.971999999994</v>
      </c>
      <c r="D8" s="165">
        <f t="shared" ref="D8:D10" si="1">IF(B8=0, "    ---- ", IF(ABS(ROUND(100/B8*C8-100,1))&lt;999,ROUND(100/B8*C8-100,1),IF(ROUND(100/B8*C8-100,1)&gt;999,999,-999)))</f>
        <v>8.3000000000000007</v>
      </c>
      <c r="E8" s="27">
        <f>IFERROR(100/'Skjema total MA'!C8*C8,0)</f>
        <v>7.2326061725925053</v>
      </c>
      <c r="F8" s="281"/>
      <c r="G8" s="282"/>
      <c r="H8" s="165"/>
      <c r="I8" s="174"/>
      <c r="J8" s="230">
        <f t="shared" si="0"/>
        <v>77634.608999999997</v>
      </c>
      <c r="K8" s="283">
        <f t="shared" si="0"/>
        <v>84114.971999999994</v>
      </c>
      <c r="L8" s="165">
        <f t="shared" ref="L8:L9" si="2">IF(J8=0, "    ---- ", IF(ABS(ROUND(100/J8*K8-100,1))&lt;999,ROUND(100/J8*K8-100,1),IF(ROUND(100/J8*K8-100,1)&gt;999,999,-999)))</f>
        <v>8.3000000000000007</v>
      </c>
      <c r="M8" s="27">
        <f>IFERROR(100/'Skjema total MA'!I8*K8,0)</f>
        <v>7.2326061725925053</v>
      </c>
    </row>
    <row r="9" spans="1:14" ht="15.75" x14ac:dyDescent="0.2">
      <c r="A9" s="21" t="s">
        <v>24</v>
      </c>
      <c r="B9" s="277">
        <v>14642.986000000001</v>
      </c>
      <c r="C9" s="278">
        <v>13841.239</v>
      </c>
      <c r="D9" s="165">
        <f t="shared" si="1"/>
        <v>-5.5</v>
      </c>
      <c r="E9" s="27">
        <f>IFERROR(100/'Skjema total MA'!C9*C9,0)</f>
        <v>3.8271087941732338</v>
      </c>
      <c r="F9" s="281"/>
      <c r="G9" s="282"/>
      <c r="H9" s="165"/>
      <c r="I9" s="174"/>
      <c r="J9" s="230">
        <f t="shared" si="0"/>
        <v>14642.986000000001</v>
      </c>
      <c r="K9" s="283">
        <f t="shared" si="0"/>
        <v>13841.239</v>
      </c>
      <c r="L9" s="165">
        <f t="shared" si="2"/>
        <v>-5.5</v>
      </c>
      <c r="M9" s="27">
        <f>IFERROR(100/'Skjema total MA'!I9*K9,0)</f>
        <v>3.8271087941732338</v>
      </c>
    </row>
    <row r="10" spans="1:14" ht="15.75" x14ac:dyDescent="0.2">
      <c r="A10" s="13" t="s">
        <v>359</v>
      </c>
      <c r="B10" s="303">
        <v>4102888.8190000001</v>
      </c>
      <c r="C10" s="304">
        <v>4195840.5250000004</v>
      </c>
      <c r="D10" s="170">
        <f t="shared" si="1"/>
        <v>2.2999999999999998</v>
      </c>
      <c r="E10" s="11">
        <f>IFERROR(100/'Skjema total MA'!C10*C10,0)</f>
        <v>25.574878901294621</v>
      </c>
      <c r="F10" s="303">
        <v>9631204.2479999997</v>
      </c>
      <c r="G10" s="304">
        <v>10719004.029999999</v>
      </c>
      <c r="H10" s="170">
        <f t="shared" ref="H10:H12" si="3">IF(F10=0, "    ---- ", IF(ABS(ROUND(100/F10*G10-100,1))&lt;999,ROUND(100/F10*G10-100,1),IF(ROUND(100/F10*G10-100,1)&gt;999,999,-999)))</f>
        <v>11.3</v>
      </c>
      <c r="I10" s="159">
        <f>IFERROR(100/'Skjema total MA'!F10*G10,0)</f>
        <v>14.305501703069913</v>
      </c>
      <c r="J10" s="301">
        <f t="shared" si="0"/>
        <v>13734093.067</v>
      </c>
      <c r="K10" s="302">
        <f t="shared" si="0"/>
        <v>14914844.555</v>
      </c>
      <c r="L10" s="414">
        <f t="shared" ref="L10:L12" si="4">IF(J10=0, "    ---- ", IF(ABS(ROUND(100/J10*K10-100,1))&lt;999,ROUND(100/J10*K10-100,1),IF(ROUND(100/J10*K10-100,1)&gt;999,999,-999)))</f>
        <v>8.6</v>
      </c>
      <c r="M10" s="11">
        <f>IFERROR(100/'Skjema total MA'!I10*K10,0)</f>
        <v>16.329762368471751</v>
      </c>
    </row>
    <row r="11" spans="1:14" s="43" customFormat="1" ht="15.75" x14ac:dyDescent="0.2">
      <c r="A11" s="13" t="s">
        <v>360</v>
      </c>
      <c r="B11" s="303"/>
      <c r="C11" s="304"/>
      <c r="D11" s="170"/>
      <c r="E11" s="11"/>
      <c r="F11" s="303">
        <v>2557.7469999999998</v>
      </c>
      <c r="G11" s="304">
        <v>11921.37</v>
      </c>
      <c r="H11" s="170">
        <f t="shared" si="3"/>
        <v>366.1</v>
      </c>
      <c r="I11" s="159">
        <f>IFERROR(100/'Skjema total MA'!F11*G11,0)</f>
        <v>3.9787936460082887</v>
      </c>
      <c r="J11" s="301">
        <f t="shared" si="0"/>
        <v>2557.7469999999998</v>
      </c>
      <c r="K11" s="302">
        <f t="shared" si="0"/>
        <v>11921.37</v>
      </c>
      <c r="L11" s="414">
        <f t="shared" si="4"/>
        <v>366.1</v>
      </c>
      <c r="M11" s="11">
        <f>IFERROR(100/'Skjema total MA'!I11*K11,0)</f>
        <v>3.7659834904471134</v>
      </c>
      <c r="N11" s="143"/>
    </row>
    <row r="12" spans="1:14" s="43" customFormat="1" ht="15.75" x14ac:dyDescent="0.2">
      <c r="A12" s="41" t="s">
        <v>361</v>
      </c>
      <c r="B12" s="305"/>
      <c r="C12" s="306"/>
      <c r="D12" s="168"/>
      <c r="E12" s="36"/>
      <c r="F12" s="305">
        <v>9964.6209999999992</v>
      </c>
      <c r="G12" s="306">
        <v>4855.1589999999997</v>
      </c>
      <c r="H12" s="168">
        <f t="shared" si="3"/>
        <v>-51.3</v>
      </c>
      <c r="I12" s="168">
        <f>IFERROR(100/'Skjema total MA'!F12*G12,0)</f>
        <v>8.9955642235509465</v>
      </c>
      <c r="J12" s="307">
        <f t="shared" si="0"/>
        <v>9964.6209999999992</v>
      </c>
      <c r="K12" s="308">
        <f t="shared" si="0"/>
        <v>4855.1589999999997</v>
      </c>
      <c r="L12" s="415">
        <f t="shared" si="4"/>
        <v>-51.3</v>
      </c>
      <c r="M12" s="36">
        <f>IFERROR(100/'Skjema total MA'!I12*K12,0)</f>
        <v>8.7433519691816386</v>
      </c>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292"/>
      <c r="F18" s="724"/>
      <c r="G18" s="724"/>
      <c r="H18" s="724"/>
      <c r="I18" s="292"/>
      <c r="J18" s="724"/>
      <c r="K18" s="724"/>
      <c r="L18" s="724"/>
      <c r="M18" s="292"/>
    </row>
    <row r="19" spans="1:14" x14ac:dyDescent="0.2">
      <c r="A19" s="144"/>
      <c r="B19" s="725" t="s">
        <v>0</v>
      </c>
      <c r="C19" s="726"/>
      <c r="D19" s="726"/>
      <c r="E19" s="294"/>
      <c r="F19" s="725" t="s">
        <v>1</v>
      </c>
      <c r="G19" s="726"/>
      <c r="H19" s="726"/>
      <c r="I19" s="297"/>
      <c r="J19" s="725" t="s">
        <v>2</v>
      </c>
      <c r="K19" s="726"/>
      <c r="L19" s="726"/>
      <c r="M19" s="297"/>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303">
        <v>1788.2239999999999</v>
      </c>
      <c r="C22" s="303">
        <v>1678.633</v>
      </c>
      <c r="D22" s="340">
        <f t="shared" ref="D22:D37" si="5">IF(B22=0, "    ---- ", IF(ABS(ROUND(100/B22*C22-100,1))&lt;999,ROUND(100/B22*C22-100,1),IF(ROUND(100/B22*C22-100,1)&gt;999,999,-999)))</f>
        <v>-6.1</v>
      </c>
      <c r="E22" s="11">
        <f>IFERROR(100/'Skjema total MA'!C22*C22,0)</f>
        <v>0.22054179044584724</v>
      </c>
      <c r="F22" s="311">
        <v>118675.251</v>
      </c>
      <c r="G22" s="311">
        <v>81375.941000000006</v>
      </c>
      <c r="H22" s="340">
        <f t="shared" ref="H22:H35" si="6">IF(F22=0, "    ---- ", IF(ABS(ROUND(100/F22*G22-100,1))&lt;999,ROUND(100/F22*G22-100,1),IF(ROUND(100/F22*G22-100,1)&gt;999,999,-999)))</f>
        <v>-31.4</v>
      </c>
      <c r="I22" s="11">
        <f>IFERROR(100/'Skjema total MA'!F22*G22,0)</f>
        <v>29.765949299305252</v>
      </c>
      <c r="J22" s="309">
        <f t="shared" ref="J22:K35" si="7">SUM(B22,F22)</f>
        <v>120463.47500000001</v>
      </c>
      <c r="K22" s="309">
        <f t="shared" si="7"/>
        <v>83054.574000000008</v>
      </c>
      <c r="L22" s="413">
        <f t="shared" ref="L22:L35" si="8">IF(J22=0, "    ---- ", IF(ABS(ROUND(100/J22*K22-100,1))&lt;999,ROUND(100/J22*K22-100,1),IF(ROUND(100/J22*K22-100,1)&gt;999,999,-999)))</f>
        <v>-31.1</v>
      </c>
      <c r="M22" s="24">
        <f>IFERROR(100/'Skjema total MA'!I22*K22,0)</f>
        <v>8.0282688843950609</v>
      </c>
    </row>
    <row r="23" spans="1:14" ht="15.75" x14ac:dyDescent="0.2">
      <c r="A23" s="555" t="s">
        <v>362</v>
      </c>
      <c r="B23" s="277">
        <v>256.29899999999998</v>
      </c>
      <c r="C23" s="277">
        <v>252.32400000000001</v>
      </c>
      <c r="D23" s="165">
        <f t="shared" si="5"/>
        <v>-1.6</v>
      </c>
      <c r="E23" s="11">
        <f>IFERROR(100/'Skjema total MA'!C23*C23,0)</f>
        <v>6.9915102130667275E-2</v>
      </c>
      <c r="F23" s="286">
        <v>6543.9270000000097</v>
      </c>
      <c r="G23" s="286">
        <v>11490.362999999999</v>
      </c>
      <c r="H23" s="165">
        <f t="shared" si="6"/>
        <v>75.599999999999994</v>
      </c>
      <c r="I23" s="403">
        <f>IFERROR(100/'Skjema total MA'!F23*G23,0)</f>
        <v>60.055346011006272</v>
      </c>
      <c r="J23" s="286">
        <f t="shared" ref="J23:J26" si="9">SUM(B23,F23)</f>
        <v>6800.2260000000097</v>
      </c>
      <c r="K23" s="286">
        <f t="shared" ref="K23:K26" si="10">SUM(C23,G23)</f>
        <v>11742.687</v>
      </c>
      <c r="L23" s="165">
        <f t="shared" si="8"/>
        <v>72.7</v>
      </c>
      <c r="M23" s="23">
        <f>IFERROR(100/'Skjema total MA'!I23*K23,0)</f>
        <v>3.0899082017706188</v>
      </c>
    </row>
    <row r="24" spans="1:14" ht="15.75" x14ac:dyDescent="0.2">
      <c r="A24" s="555" t="s">
        <v>363</v>
      </c>
      <c r="B24" s="277">
        <v>1531.925</v>
      </c>
      <c r="C24" s="277">
        <v>1426.309</v>
      </c>
      <c r="D24" s="165">
        <f t="shared" si="5"/>
        <v>-6.9</v>
      </c>
      <c r="E24" s="11">
        <f>IFERROR(100/'Skjema total MA'!C24*C24,0)</f>
        <v>29.144374330481511</v>
      </c>
      <c r="F24" s="286"/>
      <c r="G24" s="286"/>
      <c r="H24" s="165"/>
      <c r="I24" s="403"/>
      <c r="J24" s="286">
        <f t="shared" si="9"/>
        <v>1531.925</v>
      </c>
      <c r="K24" s="286">
        <f t="shared" si="10"/>
        <v>1426.309</v>
      </c>
      <c r="L24" s="165">
        <f t="shared" si="8"/>
        <v>-6.9</v>
      </c>
      <c r="M24" s="23">
        <f>IFERROR(100/'Skjema total MA'!I24*K24,0)</f>
        <v>28.160852645819222</v>
      </c>
    </row>
    <row r="25" spans="1:14" ht="15.75" x14ac:dyDescent="0.2">
      <c r="A25" s="555" t="s">
        <v>364</v>
      </c>
      <c r="B25" s="277"/>
      <c r="C25" s="277"/>
      <c r="D25" s="165"/>
      <c r="E25" s="11"/>
      <c r="F25" s="286">
        <v>69.492000000000004</v>
      </c>
      <c r="G25" s="286">
        <v>64.373000000000005</v>
      </c>
      <c r="H25" s="165">
        <f t="shared" si="6"/>
        <v>-7.4</v>
      </c>
      <c r="I25" s="403">
        <f>IFERROR(100/'Skjema total MA'!F25*G25,0)</f>
        <v>1.4159510594277016</v>
      </c>
      <c r="J25" s="286">
        <f t="shared" si="9"/>
        <v>69.492000000000004</v>
      </c>
      <c r="K25" s="286">
        <f t="shared" si="10"/>
        <v>64.373000000000005</v>
      </c>
      <c r="L25" s="165">
        <f t="shared" si="8"/>
        <v>-7.4</v>
      </c>
      <c r="M25" s="23">
        <f>IFERROR(100/'Skjema total MA'!I25*K25,0)</f>
        <v>0.5345491682371426</v>
      </c>
    </row>
    <row r="26" spans="1:14" ht="15.75" x14ac:dyDescent="0.2">
      <c r="A26" s="555" t="s">
        <v>365</v>
      </c>
      <c r="B26" s="277"/>
      <c r="C26" s="277"/>
      <c r="D26" s="165"/>
      <c r="E26" s="11"/>
      <c r="F26" s="286">
        <v>112061.83199999999</v>
      </c>
      <c r="G26" s="286">
        <v>69821.205000000002</v>
      </c>
      <c r="H26" s="165">
        <f t="shared" si="6"/>
        <v>-37.700000000000003</v>
      </c>
      <c r="I26" s="403">
        <f>IFERROR(100/'Skjema total MA'!F26*G26,0)</f>
        <v>27.980429472613217</v>
      </c>
      <c r="J26" s="286">
        <f t="shared" si="9"/>
        <v>112061.83199999999</v>
      </c>
      <c r="K26" s="286">
        <f t="shared" si="10"/>
        <v>69821.205000000002</v>
      </c>
      <c r="L26" s="165">
        <f t="shared" si="8"/>
        <v>-37.700000000000003</v>
      </c>
      <c r="M26" s="23">
        <f>IFERROR(100/'Skjema total MA'!I26*K26,0)</f>
        <v>27.980429472613217</v>
      </c>
    </row>
    <row r="27" spans="1:14" x14ac:dyDescent="0.2">
      <c r="A27" s="555" t="s">
        <v>11</v>
      </c>
      <c r="B27" s="277"/>
      <c r="C27" s="277"/>
      <c r="D27" s="165"/>
      <c r="E27" s="11"/>
      <c r="F27" s="286"/>
      <c r="G27" s="286"/>
      <c r="H27" s="165"/>
      <c r="I27" s="403"/>
      <c r="J27" s="286"/>
      <c r="K27" s="286"/>
      <c r="L27" s="165"/>
      <c r="M27" s="23"/>
    </row>
    <row r="28" spans="1:14" ht="15.75" x14ac:dyDescent="0.2">
      <c r="A28" s="49" t="s">
        <v>270</v>
      </c>
      <c r="B28" s="44">
        <v>57799.184999999998</v>
      </c>
      <c r="C28" s="283">
        <v>67676.72</v>
      </c>
      <c r="D28" s="165">
        <f t="shared" si="5"/>
        <v>17.100000000000001</v>
      </c>
      <c r="E28" s="11">
        <f>IFERROR(100/'Skjema total MA'!C28*C28,0)</f>
        <v>8.0678893612796561</v>
      </c>
      <c r="F28" s="230"/>
      <c r="G28" s="283"/>
      <c r="H28" s="165"/>
      <c r="I28" s="27"/>
      <c r="J28" s="44">
        <f t="shared" si="7"/>
        <v>57799.184999999998</v>
      </c>
      <c r="K28" s="44">
        <f t="shared" si="7"/>
        <v>67676.72</v>
      </c>
      <c r="L28" s="250">
        <f t="shared" si="8"/>
        <v>17.100000000000001</v>
      </c>
      <c r="M28" s="23">
        <f>IFERROR(100/'Skjema total MA'!I28*K28,0)</f>
        <v>8.0678893612796561</v>
      </c>
    </row>
    <row r="29" spans="1:14" s="3" customFormat="1" ht="15.75" x14ac:dyDescent="0.2">
      <c r="A29" s="13" t="s">
        <v>359</v>
      </c>
      <c r="B29" s="232">
        <v>8852755.7929999996</v>
      </c>
      <c r="C29" s="232">
        <v>8206992.2609999999</v>
      </c>
      <c r="D29" s="170">
        <f t="shared" si="5"/>
        <v>-7.3</v>
      </c>
      <c r="E29" s="11">
        <f>IFERROR(100/'Skjema total MA'!C29*C29,0)</f>
        <v>18.061247339722918</v>
      </c>
      <c r="F29" s="301">
        <v>6045333.8059999999</v>
      </c>
      <c r="G29" s="301">
        <v>6516379.0250000004</v>
      </c>
      <c r="H29" s="170">
        <f t="shared" si="6"/>
        <v>7.8</v>
      </c>
      <c r="I29" s="11">
        <f>IFERROR(100/'Skjema total MA'!F29*G29,0)</f>
        <v>25.790164274543685</v>
      </c>
      <c r="J29" s="232">
        <f t="shared" si="7"/>
        <v>14898089.598999999</v>
      </c>
      <c r="K29" s="232">
        <f t="shared" si="7"/>
        <v>14723371.286</v>
      </c>
      <c r="L29" s="414">
        <f t="shared" si="8"/>
        <v>-1.2</v>
      </c>
      <c r="M29" s="24">
        <f>IFERROR(100/'Skjema total MA'!I29*K29,0)</f>
        <v>20.823162197976011</v>
      </c>
      <c r="N29" s="148"/>
    </row>
    <row r="30" spans="1:14" s="3" customFormat="1" ht="15.75" x14ac:dyDescent="0.2">
      <c r="A30" s="555" t="s">
        <v>362</v>
      </c>
      <c r="B30" s="277">
        <v>1268831.629</v>
      </c>
      <c r="C30" s="277">
        <v>1233634.1980000001</v>
      </c>
      <c r="D30" s="165">
        <f t="shared" si="5"/>
        <v>-2.8</v>
      </c>
      <c r="E30" s="11">
        <f>IFERROR(100/'Skjema total MA'!C30*C30,0)</f>
        <v>12.137300578597978</v>
      </c>
      <c r="F30" s="286">
        <v>350487.63699999999</v>
      </c>
      <c r="G30" s="286">
        <v>542833.05888000096</v>
      </c>
      <c r="H30" s="165">
        <f t="shared" si="6"/>
        <v>54.9</v>
      </c>
      <c r="I30" s="403">
        <f>IFERROR(100/'Skjema total MA'!F30*G30,0)</f>
        <v>14.243189551268063</v>
      </c>
      <c r="J30" s="286">
        <f t="shared" ref="J30:J33" si="11">SUM(B30,F30)</f>
        <v>1619319.2659999998</v>
      </c>
      <c r="K30" s="286">
        <f t="shared" ref="K30:K33" si="12">SUM(C30,G30)</f>
        <v>1776467.2568800012</v>
      </c>
      <c r="L30" s="165">
        <f t="shared" si="8"/>
        <v>9.6999999999999993</v>
      </c>
      <c r="M30" s="23">
        <f>IFERROR(100/'Skjema total MA'!I30*K30,0)</f>
        <v>12.711598805455232</v>
      </c>
      <c r="N30" s="148"/>
    </row>
    <row r="31" spans="1:14" s="3" customFormat="1" ht="15.75" x14ac:dyDescent="0.2">
      <c r="A31" s="555" t="s">
        <v>363</v>
      </c>
      <c r="B31" s="277">
        <v>7583924.1639999999</v>
      </c>
      <c r="C31" s="277">
        <v>6973358.0630000001</v>
      </c>
      <c r="D31" s="165">
        <f t="shared" si="5"/>
        <v>-8.1</v>
      </c>
      <c r="E31" s="11">
        <f>IFERROR(100/'Skjema total MA'!C31*C31,0)</f>
        <v>26.790886514735782</v>
      </c>
      <c r="F31" s="286">
        <v>1975257.1910000001</v>
      </c>
      <c r="G31" s="286">
        <v>1582001.4222599999</v>
      </c>
      <c r="H31" s="165">
        <f t="shared" si="6"/>
        <v>-19.899999999999999</v>
      </c>
      <c r="I31" s="403">
        <f>IFERROR(100/'Skjema total MA'!F31*G31,0)</f>
        <v>18.326904113666458</v>
      </c>
      <c r="J31" s="286">
        <f t="shared" si="11"/>
        <v>9559181.3550000004</v>
      </c>
      <c r="K31" s="286">
        <f t="shared" si="12"/>
        <v>8555359.4852600005</v>
      </c>
      <c r="L31" s="165">
        <f t="shared" si="8"/>
        <v>-10.5</v>
      </c>
      <c r="M31" s="23">
        <f>IFERROR(100/'Skjema total MA'!I31*K31,0)</f>
        <v>24.682977781468164</v>
      </c>
      <c r="N31" s="148"/>
    </row>
    <row r="32" spans="1:14" ht="15.75" x14ac:dyDescent="0.2">
      <c r="A32" s="555" t="s">
        <v>364</v>
      </c>
      <c r="B32" s="277"/>
      <c r="C32" s="277"/>
      <c r="D32" s="165"/>
      <c r="E32" s="11"/>
      <c r="F32" s="286">
        <v>1850107.16</v>
      </c>
      <c r="G32" s="286">
        <v>2013931.2950500001</v>
      </c>
      <c r="H32" s="165">
        <f t="shared" si="6"/>
        <v>8.9</v>
      </c>
      <c r="I32" s="403">
        <f>IFERROR(100/'Skjema total MA'!F32*G32,0)</f>
        <v>35.694300311748137</v>
      </c>
      <c r="J32" s="286">
        <f t="shared" si="11"/>
        <v>1850107.16</v>
      </c>
      <c r="K32" s="286">
        <f t="shared" si="12"/>
        <v>2013931.2950500001</v>
      </c>
      <c r="L32" s="165">
        <f t="shared" si="8"/>
        <v>8.9</v>
      </c>
      <c r="M32" s="23">
        <f>IFERROR(100/'Skjema total MA'!I32*K32,0)</f>
        <v>24.96994614758863</v>
      </c>
    </row>
    <row r="33" spans="1:14" ht="15.75" x14ac:dyDescent="0.2">
      <c r="A33" s="555" t="s">
        <v>365</v>
      </c>
      <c r="B33" s="277"/>
      <c r="C33" s="277"/>
      <c r="D33" s="165"/>
      <c r="E33" s="11"/>
      <c r="F33" s="286">
        <v>1869481.818</v>
      </c>
      <c r="G33" s="286">
        <v>2377613.2488099998</v>
      </c>
      <c r="H33" s="165">
        <f t="shared" si="6"/>
        <v>27.2</v>
      </c>
      <c r="I33" s="403">
        <f>IFERROR(100/'Skjema total MA'!F33*G33,0)</f>
        <v>32.996349274367041</v>
      </c>
      <c r="J33" s="286">
        <f t="shared" si="11"/>
        <v>1869481.818</v>
      </c>
      <c r="K33" s="286">
        <f t="shared" si="12"/>
        <v>2377613.2488099998</v>
      </c>
      <c r="L33" s="165">
        <f t="shared" si="8"/>
        <v>27.2</v>
      </c>
      <c r="M33" s="23">
        <f>IFERROR(100/'Skjema total MA'!I33*K33,0)</f>
        <v>32.996349274367041</v>
      </c>
    </row>
    <row r="34" spans="1:14" ht="15.75" x14ac:dyDescent="0.2">
      <c r="A34" s="13" t="s">
        <v>360</v>
      </c>
      <c r="B34" s="232">
        <v>4650.8509999999997</v>
      </c>
      <c r="C34" s="302">
        <v>1657.192</v>
      </c>
      <c r="D34" s="170">
        <f t="shared" si="5"/>
        <v>-64.400000000000006</v>
      </c>
      <c r="E34" s="11">
        <f>IFERROR(100/'Skjema total MA'!C34*C34,0)</f>
        <v>26.977387064725196</v>
      </c>
      <c r="F34" s="301">
        <v>6076.0240000000003</v>
      </c>
      <c r="G34" s="302">
        <v>3433.17</v>
      </c>
      <c r="H34" s="170">
        <f t="shared" si="6"/>
        <v>-43.5</v>
      </c>
      <c r="I34" s="11">
        <f>IFERROR(100/'Skjema total MA'!F34*G34,0)</f>
        <v>14.615141072106745</v>
      </c>
      <c r="J34" s="232">
        <f t="shared" si="7"/>
        <v>10726.875</v>
      </c>
      <c r="K34" s="232">
        <f t="shared" si="7"/>
        <v>5090.3620000000001</v>
      </c>
      <c r="L34" s="414">
        <f t="shared" si="8"/>
        <v>-52.5</v>
      </c>
      <c r="M34" s="24">
        <f>IFERROR(100/'Skjema total MA'!I34*K34,0)</f>
        <v>17.177788844691424</v>
      </c>
    </row>
    <row r="35" spans="1:14" ht="15.75" x14ac:dyDescent="0.2">
      <c r="A35" s="13" t="s">
        <v>361</v>
      </c>
      <c r="B35" s="232">
        <v>253.614</v>
      </c>
      <c r="C35" s="302">
        <v>0</v>
      </c>
      <c r="D35" s="170">
        <f t="shared" si="5"/>
        <v>-100</v>
      </c>
      <c r="E35" s="11">
        <f>IFERROR(100/'Skjema total MA'!C35*C35,0)</f>
        <v>0</v>
      </c>
      <c r="F35" s="301">
        <v>12084.039000000001</v>
      </c>
      <c r="G35" s="302">
        <v>3931.808</v>
      </c>
      <c r="H35" s="170">
        <f t="shared" si="6"/>
        <v>-67.5</v>
      </c>
      <c r="I35" s="11">
        <f>IFERROR(100/'Skjema total MA'!F35*G35,0)</f>
        <v>15.680761748941775</v>
      </c>
      <c r="J35" s="232">
        <f t="shared" si="7"/>
        <v>12337.653</v>
      </c>
      <c r="K35" s="232">
        <f t="shared" si="7"/>
        <v>3931.808</v>
      </c>
      <c r="L35" s="414">
        <f t="shared" si="8"/>
        <v>-68.099999999999994</v>
      </c>
      <c r="M35" s="24">
        <f>IFERROR(100/'Skjema total MA'!I35*K35,0)</f>
        <v>15.963540682229434</v>
      </c>
    </row>
    <row r="36" spans="1:14" ht="15.75" x14ac:dyDescent="0.2">
      <c r="A36" s="12" t="s">
        <v>278</v>
      </c>
      <c r="B36" s="232">
        <v>41.26</v>
      </c>
      <c r="C36" s="302">
        <v>35.026000000000003</v>
      </c>
      <c r="D36" s="170">
        <f t="shared" si="5"/>
        <v>-15.1</v>
      </c>
      <c r="E36" s="11">
        <f>100/'Skjema total MA'!C36*C36</f>
        <v>3.3687546610595773</v>
      </c>
      <c r="F36" s="312"/>
      <c r="G36" s="313"/>
      <c r="H36" s="170"/>
      <c r="I36" s="420"/>
      <c r="J36" s="232">
        <f t="shared" ref="J36:J37" si="13">SUM(B36,F36)</f>
        <v>41.26</v>
      </c>
      <c r="K36" s="232">
        <f t="shared" ref="K36:K37" si="14">SUM(C36,G36)</f>
        <v>35.026000000000003</v>
      </c>
      <c r="L36" s="414"/>
      <c r="M36" s="24">
        <f>IFERROR(100/'Skjema total MA'!I36*K36,0)</f>
        <v>3.3687546610595773</v>
      </c>
    </row>
    <row r="37" spans="1:14" ht="15.75" x14ac:dyDescent="0.2">
      <c r="A37" s="12" t="s">
        <v>367</v>
      </c>
      <c r="B37" s="232">
        <v>452611.68300000002</v>
      </c>
      <c r="C37" s="302">
        <v>440707.86300000001</v>
      </c>
      <c r="D37" s="170">
        <f t="shared" si="5"/>
        <v>-2.6</v>
      </c>
      <c r="E37" s="11">
        <f>100/'Skjema total MA'!C37*C37</f>
        <v>14.150878430064171</v>
      </c>
      <c r="F37" s="312"/>
      <c r="G37" s="314"/>
      <c r="H37" s="170"/>
      <c r="I37" s="420"/>
      <c r="J37" s="232">
        <f t="shared" si="13"/>
        <v>452611.68300000002</v>
      </c>
      <c r="K37" s="232">
        <f t="shared" si="14"/>
        <v>440707.86300000001</v>
      </c>
      <c r="L37" s="414"/>
      <c r="M37" s="24">
        <f>IFERROR(100/'Skjema total MA'!I37*K37,0)</f>
        <v>14.150878430064171</v>
      </c>
    </row>
    <row r="38" spans="1:14" ht="15.75" x14ac:dyDescent="0.2">
      <c r="A38" s="12" t="s">
        <v>368</v>
      </c>
      <c r="B38" s="232"/>
      <c r="C38" s="302"/>
      <c r="D38" s="170"/>
      <c r="E38" s="24"/>
      <c r="F38" s="312"/>
      <c r="G38" s="313"/>
      <c r="H38" s="170"/>
      <c r="I38" s="420"/>
      <c r="J38" s="232"/>
      <c r="K38" s="232"/>
      <c r="L38" s="414"/>
      <c r="M38" s="24"/>
    </row>
    <row r="39" spans="1:14" ht="15.75" x14ac:dyDescent="0.2">
      <c r="A39" s="18" t="s">
        <v>369</v>
      </c>
      <c r="B39" s="272"/>
      <c r="C39" s="308"/>
      <c r="D39" s="168"/>
      <c r="E39" s="36"/>
      <c r="F39" s="315"/>
      <c r="G39" s="316"/>
      <c r="H39" s="168"/>
      <c r="I39" s="36"/>
      <c r="J39" s="232"/>
      <c r="K39" s="232"/>
      <c r="L39" s="415"/>
      <c r="M39" s="36"/>
    </row>
    <row r="40" spans="1:14" ht="15.75" x14ac:dyDescent="0.25">
      <c r="A40" s="47"/>
      <c r="B40" s="249"/>
      <c r="C40" s="249"/>
      <c r="D40" s="728"/>
      <c r="E40" s="728"/>
      <c r="F40" s="728"/>
      <c r="G40" s="728"/>
      <c r="H40" s="728"/>
      <c r="I40" s="728"/>
      <c r="J40" s="728"/>
      <c r="K40" s="728"/>
      <c r="L40" s="728"/>
      <c r="M40" s="295"/>
    </row>
    <row r="41" spans="1:14" x14ac:dyDescent="0.2">
      <c r="A41" s="154"/>
    </row>
    <row r="42" spans="1:14" ht="15.75" x14ac:dyDescent="0.25">
      <c r="A42" s="147" t="s">
        <v>267</v>
      </c>
      <c r="B42" s="729"/>
      <c r="C42" s="729"/>
      <c r="D42" s="729"/>
      <c r="E42" s="292"/>
      <c r="F42" s="730"/>
      <c r="G42" s="730"/>
      <c r="H42" s="730"/>
      <c r="I42" s="295"/>
      <c r="J42" s="730"/>
      <c r="K42" s="730"/>
      <c r="L42" s="730"/>
      <c r="M42" s="295"/>
    </row>
    <row r="43" spans="1:14" ht="15.75" x14ac:dyDescent="0.25">
      <c r="A43" s="162"/>
      <c r="B43" s="296"/>
      <c r="C43" s="296"/>
      <c r="D43" s="296"/>
      <c r="E43" s="296"/>
      <c r="F43" s="295"/>
      <c r="G43" s="295"/>
      <c r="H43" s="295"/>
      <c r="I43" s="295"/>
      <c r="J43" s="295"/>
      <c r="K43" s="295"/>
      <c r="L43" s="295"/>
      <c r="M43" s="295"/>
    </row>
    <row r="44" spans="1:14" ht="15.75" x14ac:dyDescent="0.25">
      <c r="A44" s="243"/>
      <c r="B44" s="725" t="s">
        <v>0</v>
      </c>
      <c r="C44" s="726"/>
      <c r="D44" s="726"/>
      <c r="E44" s="239"/>
      <c r="F44" s="295"/>
      <c r="G44" s="295"/>
      <c r="H44" s="295"/>
      <c r="I44" s="295"/>
      <c r="J44" s="295"/>
      <c r="K44" s="295"/>
      <c r="L44" s="295"/>
      <c r="M44" s="295"/>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v>588328.60800000001</v>
      </c>
      <c r="C47" s="304">
        <v>665493.598</v>
      </c>
      <c r="D47" s="413">
        <f t="shared" ref="D47:D57" si="15">IF(B47=0, "    ---- ", IF(ABS(ROUND(100/B47*C47-100,1))&lt;999,ROUND(100/B47*C47-100,1),IF(ROUND(100/B47*C47-100,1)&gt;999,999,-999)))</f>
        <v>13.1</v>
      </c>
      <c r="E47" s="11">
        <f>IFERROR(100/'Skjema total MA'!C47*C47,0)</f>
        <v>19.259016658086594</v>
      </c>
      <c r="F47" s="145"/>
      <c r="G47" s="33"/>
      <c r="H47" s="158"/>
      <c r="I47" s="158"/>
      <c r="J47" s="37"/>
      <c r="K47" s="37"/>
      <c r="L47" s="158"/>
      <c r="M47" s="158"/>
      <c r="N47" s="148"/>
    </row>
    <row r="48" spans="1:14" s="3" customFormat="1" ht="15.75" x14ac:dyDescent="0.2">
      <c r="A48" s="38" t="s">
        <v>370</v>
      </c>
      <c r="B48" s="277">
        <v>161187.83900000001</v>
      </c>
      <c r="C48" s="278">
        <v>171583.196</v>
      </c>
      <c r="D48" s="250">
        <f t="shared" si="15"/>
        <v>6.4</v>
      </c>
      <c r="E48" s="27">
        <f>IFERROR(100/'Skjema total MA'!C48*C48,0)</f>
        <v>9.0798753352893513</v>
      </c>
      <c r="F48" s="145"/>
      <c r="G48" s="33"/>
      <c r="H48" s="145"/>
      <c r="I48" s="145"/>
      <c r="J48" s="33"/>
      <c r="K48" s="33"/>
      <c r="L48" s="158"/>
      <c r="M48" s="158"/>
      <c r="N48" s="148"/>
    </row>
    <row r="49" spans="1:14" s="3" customFormat="1" ht="15.75" x14ac:dyDescent="0.2">
      <c r="A49" s="38" t="s">
        <v>371</v>
      </c>
      <c r="B49" s="44">
        <v>427140.76899999997</v>
      </c>
      <c r="C49" s="283">
        <v>493910.402</v>
      </c>
      <c r="D49" s="250">
        <f>IF(B49=0, "    ---- ", IF(ABS(ROUND(100/B49*C49-100,1))&lt;999,ROUND(100/B49*C49-100,1),IF(ROUND(100/B49*C49-100,1)&gt;999,999,-999)))</f>
        <v>15.6</v>
      </c>
      <c r="E49" s="27">
        <f>IFERROR(100/'Skjema total MA'!C49*C49,0)</f>
        <v>31.544001415825146</v>
      </c>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v>12703.075000000001</v>
      </c>
      <c r="C53" s="304">
        <v>2231.4639999999999</v>
      </c>
      <c r="D53" s="414">
        <f t="shared" si="15"/>
        <v>-82.4</v>
      </c>
      <c r="E53" s="11">
        <f>IFERROR(100/'Skjema total MA'!C53*C53,0)</f>
        <v>2.0860349666981088</v>
      </c>
      <c r="F53" s="145"/>
      <c r="G53" s="33"/>
      <c r="H53" s="145"/>
      <c r="I53" s="145"/>
      <c r="J53" s="33"/>
      <c r="K53" s="33"/>
      <c r="L53" s="158"/>
      <c r="M53" s="158"/>
      <c r="N53" s="148"/>
    </row>
    <row r="54" spans="1:14" s="3" customFormat="1" ht="15.75" x14ac:dyDescent="0.2">
      <c r="A54" s="38" t="s">
        <v>370</v>
      </c>
      <c r="B54" s="277">
        <v>7783.8109999999997</v>
      </c>
      <c r="C54" s="278">
        <v>2231.4639999999999</v>
      </c>
      <c r="D54" s="250">
        <f t="shared" si="15"/>
        <v>-71.3</v>
      </c>
      <c r="E54" s="27">
        <f>IFERROR(100/'Skjema total MA'!C54*C54,0)</f>
        <v>2.398841923850445</v>
      </c>
      <c r="F54" s="145"/>
      <c r="G54" s="33"/>
      <c r="H54" s="145"/>
      <c r="I54" s="145"/>
      <c r="J54" s="33"/>
      <c r="K54" s="33"/>
      <c r="L54" s="158"/>
      <c r="M54" s="158"/>
      <c r="N54" s="148"/>
    </row>
    <row r="55" spans="1:14" s="3" customFormat="1" ht="15.75" x14ac:dyDescent="0.2">
      <c r="A55" s="38" t="s">
        <v>371</v>
      </c>
      <c r="B55" s="277">
        <v>4919.2640000000001</v>
      </c>
      <c r="C55" s="278">
        <v>0</v>
      </c>
      <c r="D55" s="250">
        <f t="shared" si="15"/>
        <v>-100</v>
      </c>
      <c r="E55" s="27">
        <f>IFERROR(100/'Skjema total MA'!C55*C55,0)</f>
        <v>0</v>
      </c>
      <c r="F55" s="145"/>
      <c r="G55" s="33"/>
      <c r="H55" s="145"/>
      <c r="I55" s="145"/>
      <c r="J55" s="33"/>
      <c r="K55" s="33"/>
      <c r="L55" s="158"/>
      <c r="M55" s="158"/>
      <c r="N55" s="148"/>
    </row>
    <row r="56" spans="1:14" s="3" customFormat="1" ht="15.75" x14ac:dyDescent="0.2">
      <c r="A56" s="39" t="s">
        <v>373</v>
      </c>
      <c r="B56" s="303">
        <v>3295.9389999999999</v>
      </c>
      <c r="C56" s="304">
        <v>15.598000000000001</v>
      </c>
      <c r="D56" s="414">
        <f t="shared" si="15"/>
        <v>-99.5</v>
      </c>
      <c r="E56" s="11">
        <f>IFERROR(100/'Skjema total MA'!C56*C56,0)</f>
        <v>2.6374099815602809E-2</v>
      </c>
      <c r="F56" s="145"/>
      <c r="G56" s="33"/>
      <c r="H56" s="145"/>
      <c r="I56" s="145"/>
      <c r="J56" s="33"/>
      <c r="K56" s="33"/>
      <c r="L56" s="158"/>
      <c r="M56" s="158"/>
      <c r="N56" s="148"/>
    </row>
    <row r="57" spans="1:14" s="3" customFormat="1" ht="15.75" x14ac:dyDescent="0.2">
      <c r="A57" s="38" t="s">
        <v>370</v>
      </c>
      <c r="B57" s="277">
        <v>3295.9389999999999</v>
      </c>
      <c r="C57" s="278">
        <v>15.598000000000001</v>
      </c>
      <c r="D57" s="250">
        <f t="shared" si="15"/>
        <v>-99.5</v>
      </c>
      <c r="E57" s="27">
        <f>IFERROR(100/'Skjema total MA'!C57*C57,0)</f>
        <v>2.6374099815602809E-2</v>
      </c>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292"/>
      <c r="F62" s="724"/>
      <c r="G62" s="724"/>
      <c r="H62" s="724"/>
      <c r="I62" s="292"/>
      <c r="J62" s="724"/>
      <c r="K62" s="724"/>
      <c r="L62" s="724"/>
      <c r="M62" s="292"/>
    </row>
    <row r="63" spans="1:14" x14ac:dyDescent="0.2">
      <c r="A63" s="144"/>
      <c r="B63" s="725" t="s">
        <v>0</v>
      </c>
      <c r="C63" s="726"/>
      <c r="D63" s="727"/>
      <c r="E63" s="293"/>
      <c r="F63" s="726" t="s">
        <v>1</v>
      </c>
      <c r="G63" s="726"/>
      <c r="H63" s="726"/>
      <c r="I63" s="297"/>
      <c r="J63" s="725" t="s">
        <v>2</v>
      </c>
      <c r="K63" s="726"/>
      <c r="L63" s="726"/>
      <c r="M63" s="297"/>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v>1393380.095</v>
      </c>
      <c r="C66" s="343">
        <v>1066813.9580000001</v>
      </c>
      <c r="D66" s="340">
        <f t="shared" ref="D66:D111" si="16">IF(B66=0, "    ---- ", IF(ABS(ROUND(100/B66*C66-100,1))&lt;999,ROUND(100/B66*C66-100,1),IF(ROUND(100/B66*C66-100,1)&gt;999,999,-999)))</f>
        <v>-23.4</v>
      </c>
      <c r="E66" s="11">
        <f>IFERROR(100/'Skjema total MA'!C66*C66,0)</f>
        <v>40.212728996886838</v>
      </c>
      <c r="F66" s="342">
        <v>2886526.6429999997</v>
      </c>
      <c r="G66" s="342">
        <v>2827793.0659999996</v>
      </c>
      <c r="H66" s="340">
        <f t="shared" ref="H66:H111" si="17">IF(F66=0, "    ---- ", IF(ABS(ROUND(100/F66*G66-100,1))&lt;999,ROUND(100/F66*G66-100,1),IF(ROUND(100/F66*G66-100,1)&gt;999,999,-999)))</f>
        <v>-2</v>
      </c>
      <c r="I66" s="11">
        <f>IFERROR(100/'Skjema total MA'!F66*G66,0)</f>
        <v>28.580403136586316</v>
      </c>
      <c r="J66" s="302">
        <f t="shared" ref="J66:K86" si="18">SUM(B66,F66)</f>
        <v>4279906.7379999999</v>
      </c>
      <c r="K66" s="309">
        <f t="shared" si="18"/>
        <v>3894607.0239999997</v>
      </c>
      <c r="L66" s="414">
        <f t="shared" ref="L66:L111" si="19">IF(J66=0, "    ---- ", IF(ABS(ROUND(100/J66*K66-100,1))&lt;999,ROUND(100/J66*K66-100,1),IF(ROUND(100/J66*K66-100,1)&gt;999,999,-999)))</f>
        <v>-9</v>
      </c>
      <c r="M66" s="11">
        <f>IFERROR(100/'Skjema total MA'!I66*K66,0)</f>
        <v>31.0399129135251</v>
      </c>
    </row>
    <row r="67" spans="1:14" x14ac:dyDescent="0.2">
      <c r="A67" s="405" t="s">
        <v>9</v>
      </c>
      <c r="B67" s="44">
        <v>980036.18599999999</v>
      </c>
      <c r="C67" s="145">
        <v>687758.86100000003</v>
      </c>
      <c r="D67" s="165">
        <f t="shared" si="16"/>
        <v>-29.8</v>
      </c>
      <c r="E67" s="27">
        <f>IFERROR(100/'Skjema total MA'!C67*C67,0)</f>
        <v>35.291226024655565</v>
      </c>
      <c r="F67" s="230"/>
      <c r="G67" s="145"/>
      <c r="H67" s="165"/>
      <c r="I67" s="27"/>
      <c r="J67" s="283">
        <f t="shared" si="18"/>
        <v>980036.18599999999</v>
      </c>
      <c r="K67" s="44">
        <f t="shared" si="18"/>
        <v>687758.86100000003</v>
      </c>
      <c r="L67" s="250">
        <f t="shared" si="19"/>
        <v>-29.8</v>
      </c>
      <c r="M67" s="27">
        <f>IFERROR(100/'Skjema total MA'!I67*K67,0)</f>
        <v>35.291226024655565</v>
      </c>
    </row>
    <row r="68" spans="1:14" x14ac:dyDescent="0.2">
      <c r="A68" s="21" t="s">
        <v>10</v>
      </c>
      <c r="B68" s="287"/>
      <c r="C68" s="288"/>
      <c r="D68" s="165"/>
      <c r="E68" s="27"/>
      <c r="F68" s="287">
        <v>2599318.8879999998</v>
      </c>
      <c r="G68" s="288">
        <v>2513420.7629999998</v>
      </c>
      <c r="H68" s="165">
        <f t="shared" si="17"/>
        <v>-3.3</v>
      </c>
      <c r="I68" s="27">
        <f>IFERROR(100/'Skjema total MA'!F68*G68,0)</f>
        <v>26.460978279846476</v>
      </c>
      <c r="J68" s="283">
        <f t="shared" si="18"/>
        <v>2599318.8879999998</v>
      </c>
      <c r="K68" s="44">
        <f t="shared" si="18"/>
        <v>2513420.7629999998</v>
      </c>
      <c r="L68" s="250">
        <f t="shared" si="19"/>
        <v>-3.3</v>
      </c>
      <c r="M68" s="27">
        <f>IFERROR(100/'Skjema total MA'!I68*K68,0)</f>
        <v>26.432035530451689</v>
      </c>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v>60543.421999999999</v>
      </c>
      <c r="C75" s="145">
        <v>44214.080000000002</v>
      </c>
      <c r="D75" s="165">
        <f t="shared" si="16"/>
        <v>-27</v>
      </c>
      <c r="E75" s="27">
        <f>IFERROR(100/'Skjema total MA'!C75*C75,0)</f>
        <v>30.853033653998359</v>
      </c>
      <c r="F75" s="230">
        <v>287207.755</v>
      </c>
      <c r="G75" s="145">
        <v>314372.30300000001</v>
      </c>
      <c r="H75" s="165">
        <f t="shared" si="17"/>
        <v>9.5</v>
      </c>
      <c r="I75" s="27">
        <f>IFERROR(100/'Skjema total MA'!F75*G75,0)</f>
        <v>79.472362775856411</v>
      </c>
      <c r="J75" s="283">
        <f t="shared" si="18"/>
        <v>347751.17700000003</v>
      </c>
      <c r="K75" s="44">
        <f t="shared" si="18"/>
        <v>358586.38300000003</v>
      </c>
      <c r="L75" s="250">
        <f t="shared" si="19"/>
        <v>3.1</v>
      </c>
      <c r="M75" s="27">
        <f>IFERROR(100/'Skjema total MA'!I75*K75,0)</f>
        <v>66.542921640490533</v>
      </c>
      <c r="N75" s="148"/>
    </row>
    <row r="76" spans="1:14" s="3" customFormat="1" x14ac:dyDescent="0.2">
      <c r="A76" s="21" t="s">
        <v>343</v>
      </c>
      <c r="B76" s="230">
        <v>352800.48700000002</v>
      </c>
      <c r="C76" s="145">
        <v>334841.01699999999</v>
      </c>
      <c r="D76" s="165">
        <f t="shared" ref="D76" si="20">IF(B76=0, "    ---- ", IF(ABS(ROUND(100/B76*C76-100,1))&lt;999,ROUND(100/B76*C76-100,1),IF(ROUND(100/B76*C76-100,1)&gt;999,999,-999)))</f>
        <v>-5.0999999999999996</v>
      </c>
      <c r="E76" s="27">
        <f>IFERROR(100/'Skjema total MA'!C76*C76,0)</f>
        <v>60.834838486624086</v>
      </c>
      <c r="F76" s="230"/>
      <c r="G76" s="145"/>
      <c r="H76" s="165"/>
      <c r="I76" s="27"/>
      <c r="J76" s="283">
        <f t="shared" ref="J76" si="21">SUM(B76,F76)</f>
        <v>352800.48700000002</v>
      </c>
      <c r="K76" s="44">
        <f t="shared" ref="K76" si="22">SUM(C76,G76)</f>
        <v>334841.01699999999</v>
      </c>
      <c r="L76" s="250">
        <f t="shared" ref="L76" si="23">IF(J76=0, "    ---- ", IF(ABS(ROUND(100/J76*K76-100,1))&lt;999,ROUND(100/J76*K76-100,1),IF(ROUND(100/J76*K76-100,1)&gt;999,999,-999)))</f>
        <v>-5.0999999999999996</v>
      </c>
      <c r="M76" s="27">
        <f>IFERROR(100/'Skjema total MA'!I76*K76,0)</f>
        <v>60.834838486624086</v>
      </c>
      <c r="N76" s="148"/>
    </row>
    <row r="77" spans="1:14" ht="15.75" x14ac:dyDescent="0.2">
      <c r="A77" s="21" t="s">
        <v>376</v>
      </c>
      <c r="B77" s="230">
        <v>923578.85499999998</v>
      </c>
      <c r="C77" s="230">
        <v>621546.43500000006</v>
      </c>
      <c r="D77" s="165">
        <f t="shared" si="16"/>
        <v>-32.700000000000003</v>
      </c>
      <c r="E77" s="27">
        <f>IFERROR(100/'Skjema total MA'!C77*C77,0)</f>
        <v>33.347948654232574</v>
      </c>
      <c r="F77" s="230">
        <v>2599318.8879999998</v>
      </c>
      <c r="G77" s="145">
        <v>2513420.7629999998</v>
      </c>
      <c r="H77" s="165">
        <f t="shared" si="17"/>
        <v>-3.3</v>
      </c>
      <c r="I77" s="27">
        <f>IFERROR(100/'Skjema total MA'!F77*G77,0)</f>
        <v>26.471125431481443</v>
      </c>
      <c r="J77" s="283">
        <f t="shared" si="18"/>
        <v>3522897.7429999998</v>
      </c>
      <c r="K77" s="44">
        <f t="shared" si="18"/>
        <v>3134967.1979999999</v>
      </c>
      <c r="L77" s="250">
        <f t="shared" si="19"/>
        <v>-11</v>
      </c>
      <c r="M77" s="27">
        <f>IFERROR(100/'Skjema total MA'!I77*K77,0)</f>
        <v>27.599519612762556</v>
      </c>
    </row>
    <row r="78" spans="1:14" x14ac:dyDescent="0.2">
      <c r="A78" s="21" t="s">
        <v>9</v>
      </c>
      <c r="B78" s="230">
        <v>923578.85499999998</v>
      </c>
      <c r="C78" s="145">
        <v>621546.43500000006</v>
      </c>
      <c r="D78" s="165">
        <f t="shared" si="16"/>
        <v>-32.700000000000003</v>
      </c>
      <c r="E78" s="27">
        <f>IFERROR(100/'Skjema total MA'!C78*C78,0)</f>
        <v>33.516392216247546</v>
      </c>
      <c r="F78" s="230"/>
      <c r="G78" s="145"/>
      <c r="H78" s="165"/>
      <c r="I78" s="27"/>
      <c r="J78" s="283">
        <f t="shared" si="18"/>
        <v>923578.85499999998</v>
      </c>
      <c r="K78" s="44">
        <f t="shared" si="18"/>
        <v>621546.43500000006</v>
      </c>
      <c r="L78" s="250">
        <f t="shared" si="19"/>
        <v>-32.700000000000003</v>
      </c>
      <c r="M78" s="27">
        <f>IFERROR(100/'Skjema total MA'!I78*K78,0)</f>
        <v>33.516392216247546</v>
      </c>
    </row>
    <row r="79" spans="1:14" x14ac:dyDescent="0.2">
      <c r="A79" s="38" t="s">
        <v>413</v>
      </c>
      <c r="B79" s="287"/>
      <c r="C79" s="288"/>
      <c r="D79" s="165"/>
      <c r="E79" s="27"/>
      <c r="F79" s="287">
        <v>2599318.8879999998</v>
      </c>
      <c r="G79" s="288">
        <v>2513420.7629999998</v>
      </c>
      <c r="H79" s="165">
        <f t="shared" si="17"/>
        <v>-3.3</v>
      </c>
      <c r="I79" s="27">
        <f>IFERROR(100/'Skjema total MA'!F79*G79,0)</f>
        <v>26.471125431481443</v>
      </c>
      <c r="J79" s="283">
        <f t="shared" si="18"/>
        <v>2599318.8879999998</v>
      </c>
      <c r="K79" s="44">
        <f t="shared" si="18"/>
        <v>2513420.7629999998</v>
      </c>
      <c r="L79" s="250">
        <f t="shared" si="19"/>
        <v>-3.3</v>
      </c>
      <c r="M79" s="27">
        <f>IFERROR(100/'Skjema total MA'!I79*K79,0)</f>
        <v>26.445036698369933</v>
      </c>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v>56457.330999999998</v>
      </c>
      <c r="C86" s="145">
        <v>66212.426000000007</v>
      </c>
      <c r="D86" s="165">
        <f t="shared" si="16"/>
        <v>17.3</v>
      </c>
      <c r="E86" s="27">
        <f>IFERROR(100/'Skjema total MA'!C86*C86,0)</f>
        <v>69.413392672952583</v>
      </c>
      <c r="F86" s="230"/>
      <c r="G86" s="145"/>
      <c r="H86" s="165"/>
      <c r="I86" s="27"/>
      <c r="J86" s="283">
        <f t="shared" si="18"/>
        <v>56457.330999999998</v>
      </c>
      <c r="K86" s="44">
        <f t="shared" si="18"/>
        <v>66212.426000000007</v>
      </c>
      <c r="L86" s="250">
        <f t="shared" si="19"/>
        <v>17.3</v>
      </c>
      <c r="M86" s="27">
        <f>IFERROR(100/'Skjema total MA'!I86*K86,0)</f>
        <v>66.861225319787849</v>
      </c>
    </row>
    <row r="87" spans="1:13" ht="15.75" x14ac:dyDescent="0.2">
      <c r="A87" s="13" t="s">
        <v>359</v>
      </c>
      <c r="B87" s="343">
        <v>167482590.625</v>
      </c>
      <c r="C87" s="343">
        <v>171409219.58500001</v>
      </c>
      <c r="D87" s="170">
        <f t="shared" si="16"/>
        <v>2.2999999999999998</v>
      </c>
      <c r="E87" s="11">
        <f>IFERROR(100/'Skjema total MA'!C87*C87,0)</f>
        <v>42.370204695088525</v>
      </c>
      <c r="F87" s="342">
        <v>128614410.741</v>
      </c>
      <c r="G87" s="342">
        <v>136940324.51236001</v>
      </c>
      <c r="H87" s="170">
        <f t="shared" si="17"/>
        <v>6.5</v>
      </c>
      <c r="I87" s="11">
        <f>IFERROR(100/'Skjema total MA'!F87*G87,0)</f>
        <v>30.903641727854705</v>
      </c>
      <c r="J87" s="302">
        <f t="shared" ref="J87:K111" si="24">SUM(B87,F87)</f>
        <v>296097001.366</v>
      </c>
      <c r="K87" s="232">
        <f t="shared" si="24"/>
        <v>308349544.09736001</v>
      </c>
      <c r="L87" s="414">
        <f t="shared" si="19"/>
        <v>4.0999999999999996</v>
      </c>
      <c r="M87" s="11">
        <f>IFERROR(100/'Skjema total MA'!I87*K87,0)</f>
        <v>36.376059085153869</v>
      </c>
    </row>
    <row r="88" spans="1:13" x14ac:dyDescent="0.2">
      <c r="A88" s="21" t="s">
        <v>9</v>
      </c>
      <c r="B88" s="230">
        <v>161060692.69100001</v>
      </c>
      <c r="C88" s="145">
        <v>163897715.618</v>
      </c>
      <c r="D88" s="165">
        <f t="shared" si="16"/>
        <v>1.8</v>
      </c>
      <c r="E88" s="27">
        <f>IFERROR(100/'Skjema total MA'!C88*C88,0)</f>
        <v>41.995668147052612</v>
      </c>
      <c r="F88" s="230"/>
      <c r="G88" s="145"/>
      <c r="H88" s="165"/>
      <c r="I88" s="27"/>
      <c r="J88" s="283">
        <f t="shared" si="24"/>
        <v>161060692.69100001</v>
      </c>
      <c r="K88" s="44">
        <f t="shared" si="24"/>
        <v>163897715.618</v>
      </c>
      <c r="L88" s="250">
        <f t="shared" si="19"/>
        <v>1.8</v>
      </c>
      <c r="M88" s="27">
        <f>IFERROR(100/'Skjema total MA'!I88*K88,0)</f>
        <v>41.995668147052612</v>
      </c>
    </row>
    <row r="89" spans="1:13" x14ac:dyDescent="0.2">
      <c r="A89" s="21" t="s">
        <v>10</v>
      </c>
      <c r="B89" s="230">
        <v>48900.970999999998</v>
      </c>
      <c r="C89" s="145">
        <v>49080.656999999999</v>
      </c>
      <c r="D89" s="165">
        <f t="shared" si="16"/>
        <v>0.4</v>
      </c>
      <c r="E89" s="27">
        <f>IFERROR(100/'Skjema total MA'!C89*C89,0)</f>
        <v>1.5531593626042555</v>
      </c>
      <c r="F89" s="230">
        <v>126434193.712</v>
      </c>
      <c r="G89" s="145">
        <v>133664920.544</v>
      </c>
      <c r="H89" s="165">
        <f t="shared" si="17"/>
        <v>5.7</v>
      </c>
      <c r="I89" s="27">
        <f>IFERROR(100/'Skjema total MA'!F89*G89,0)</f>
        <v>30.506932497422063</v>
      </c>
      <c r="J89" s="283">
        <f t="shared" si="24"/>
        <v>126483094.683</v>
      </c>
      <c r="K89" s="44">
        <f t="shared" si="24"/>
        <v>133714001.20100001</v>
      </c>
      <c r="L89" s="250">
        <f t="shared" si="19"/>
        <v>5.7</v>
      </c>
      <c r="M89" s="27">
        <f>IFERROR(100/'Skjema total MA'!I89*K89,0)</f>
        <v>30.299603723341264</v>
      </c>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v>553646.44400000002</v>
      </c>
      <c r="C96" s="145">
        <v>981726.45299999998</v>
      </c>
      <c r="D96" s="165">
        <f t="shared" si="16"/>
        <v>77.3</v>
      </c>
      <c r="E96" s="27">
        <f>IFERROR(100/'Skjema total MA'!C96*C96,0)</f>
        <v>32.005640325722283</v>
      </c>
      <c r="F96" s="230">
        <v>2180217.0290000001</v>
      </c>
      <c r="G96" s="145">
        <v>3275403.9683599998</v>
      </c>
      <c r="H96" s="165">
        <f t="shared" si="17"/>
        <v>50.2</v>
      </c>
      <c r="I96" s="27">
        <f>IFERROR(100/'Skjema total MA'!F96*G96,0)</f>
        <v>65.846604039224673</v>
      </c>
      <c r="J96" s="283">
        <f t="shared" si="24"/>
        <v>2733863.4730000002</v>
      </c>
      <c r="K96" s="44">
        <f t="shared" si="24"/>
        <v>4257130.42136</v>
      </c>
      <c r="L96" s="250">
        <f t="shared" si="19"/>
        <v>55.7</v>
      </c>
      <c r="M96" s="27">
        <f>IFERROR(100/'Skjema total MA'!I96*K96,0)</f>
        <v>52.93852594618351</v>
      </c>
    </row>
    <row r="97" spans="1:13" x14ac:dyDescent="0.2">
      <c r="A97" s="21" t="s">
        <v>341</v>
      </c>
      <c r="B97" s="230">
        <v>5819350.5190000003</v>
      </c>
      <c r="C97" s="145">
        <v>6480696.8569999998</v>
      </c>
      <c r="D97" s="165">
        <f t="shared" ref="D97" si="25">IF(B97=0, "    ---- ", IF(ABS(ROUND(100/B97*C97-100,1))&lt;999,ROUND(100/B97*C97-100,1),IF(ROUND(100/B97*C97-100,1)&gt;999,999,-999)))</f>
        <v>11.4</v>
      </c>
      <c r="E97" s="27">
        <f>IFERROR(100/'Skjema total MA'!C97*C97,0)</f>
        <v>80.495578669178613</v>
      </c>
      <c r="F97" s="230"/>
      <c r="G97" s="145"/>
      <c r="H97" s="165"/>
      <c r="I97" s="27"/>
      <c r="J97" s="283">
        <f t="shared" ref="J97" si="26">SUM(B97,F97)</f>
        <v>5819350.5190000003</v>
      </c>
      <c r="K97" s="44">
        <f t="shared" ref="K97" si="27">SUM(C97,G97)</f>
        <v>6480696.8569999998</v>
      </c>
      <c r="L97" s="250">
        <f t="shared" ref="L97" si="28">IF(J97=0, "    ---- ", IF(ABS(ROUND(100/J97*K97-100,1))&lt;999,ROUND(100/J97*K97-100,1),IF(ROUND(100/J97*K97-100,1)&gt;999,999,-999)))</f>
        <v>11.4</v>
      </c>
      <c r="M97" s="27">
        <f>IFERROR(100/'Skjema total MA'!I97*K97,0)</f>
        <v>80.495578669178613</v>
      </c>
    </row>
    <row r="98" spans="1:13" ht="15.75" x14ac:dyDescent="0.2">
      <c r="A98" s="21" t="s">
        <v>376</v>
      </c>
      <c r="B98" s="230">
        <v>157846369.146</v>
      </c>
      <c r="C98" s="230">
        <v>160599369.99400002</v>
      </c>
      <c r="D98" s="165">
        <f t="shared" si="16"/>
        <v>1.7</v>
      </c>
      <c r="E98" s="27">
        <f>IFERROR(100/'Skjema total MA'!C98*C98,0)</f>
        <v>41.291407945968416</v>
      </c>
      <c r="F98" s="287">
        <v>126434193.712</v>
      </c>
      <c r="G98" s="287">
        <v>133664920.544</v>
      </c>
      <c r="H98" s="165">
        <f t="shared" si="17"/>
        <v>5.7</v>
      </c>
      <c r="I98" s="27">
        <f>IFERROR(100/'Skjema total MA'!F98*G98,0)</f>
        <v>30.567875047798399</v>
      </c>
      <c r="J98" s="283">
        <f t="shared" si="24"/>
        <v>284280562.85799998</v>
      </c>
      <c r="K98" s="44">
        <f t="shared" si="24"/>
        <v>294264290.53799999</v>
      </c>
      <c r="L98" s="250">
        <f t="shared" si="19"/>
        <v>3.5</v>
      </c>
      <c r="M98" s="27">
        <f>IFERROR(100/'Skjema total MA'!I98*K98,0)</f>
        <v>35.615993468628304</v>
      </c>
    </row>
    <row r="99" spans="1:13" x14ac:dyDescent="0.2">
      <c r="A99" s="21" t="s">
        <v>9</v>
      </c>
      <c r="B99" s="287">
        <v>157797468.17500001</v>
      </c>
      <c r="C99" s="288">
        <v>160550289.33700001</v>
      </c>
      <c r="D99" s="165">
        <f t="shared" si="16"/>
        <v>1.7</v>
      </c>
      <c r="E99" s="27">
        <f>IFERROR(100/'Skjema total MA'!C99*C99,0)</f>
        <v>41.616916100744895</v>
      </c>
      <c r="F99" s="230"/>
      <c r="G99" s="145"/>
      <c r="H99" s="165"/>
      <c r="I99" s="27"/>
      <c r="J99" s="283">
        <f t="shared" si="24"/>
        <v>157797468.17500001</v>
      </c>
      <c r="K99" s="44">
        <f t="shared" si="24"/>
        <v>160550289.33700001</v>
      </c>
      <c r="L99" s="250">
        <f t="shared" si="19"/>
        <v>1.7</v>
      </c>
      <c r="M99" s="27">
        <f>IFERROR(100/'Skjema total MA'!I99*K99,0)</f>
        <v>41.616916100744895</v>
      </c>
    </row>
    <row r="100" spans="1:13" x14ac:dyDescent="0.2">
      <c r="A100" s="38" t="s">
        <v>413</v>
      </c>
      <c r="B100" s="287">
        <v>48900.970999999998</v>
      </c>
      <c r="C100" s="288">
        <v>49080.656999999999</v>
      </c>
      <c r="D100" s="165">
        <f t="shared" si="16"/>
        <v>0.4</v>
      </c>
      <c r="E100" s="27">
        <f>IFERROR(100/'Skjema total MA'!C100*C100,0)</f>
        <v>1.5531593626042555</v>
      </c>
      <c r="F100" s="230">
        <v>126434193.712</v>
      </c>
      <c r="G100" s="230">
        <v>133664920.544</v>
      </c>
      <c r="H100" s="165">
        <f t="shared" si="17"/>
        <v>5.7</v>
      </c>
      <c r="I100" s="27">
        <f>IFERROR(100/'Skjema total MA'!F100*G100,0)</f>
        <v>30.567875047798399</v>
      </c>
      <c r="J100" s="283">
        <f t="shared" si="24"/>
        <v>126483094.683</v>
      </c>
      <c r="K100" s="44">
        <f t="shared" si="24"/>
        <v>133714001.20100001</v>
      </c>
      <c r="L100" s="250">
        <f t="shared" si="19"/>
        <v>5.7</v>
      </c>
      <c r="M100" s="27">
        <f>IFERROR(100/'Skjema total MA'!I100*K100,0)</f>
        <v>30.359697816720441</v>
      </c>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v>3263224.5159999998</v>
      </c>
      <c r="C107" s="145">
        <v>3347426.281</v>
      </c>
      <c r="D107" s="165">
        <f t="shared" si="16"/>
        <v>2.6</v>
      </c>
      <c r="E107" s="27">
        <f>IFERROR(100/'Skjema total MA'!C107*C107,0)</f>
        <v>74.526594420517085</v>
      </c>
      <c r="F107" s="230"/>
      <c r="G107" s="145"/>
      <c r="H107" s="165"/>
      <c r="I107" s="27"/>
      <c r="J107" s="283">
        <f t="shared" si="24"/>
        <v>3263224.5159999998</v>
      </c>
      <c r="K107" s="44">
        <f t="shared" si="24"/>
        <v>3347426.281</v>
      </c>
      <c r="L107" s="250">
        <f t="shared" si="19"/>
        <v>2.6</v>
      </c>
      <c r="M107" s="27">
        <f>IFERROR(100/'Skjema total MA'!I107*K107,0)</f>
        <v>62.392510507623506</v>
      </c>
    </row>
    <row r="108" spans="1:13" ht="15.75" x14ac:dyDescent="0.2">
      <c r="A108" s="21" t="s">
        <v>378</v>
      </c>
      <c r="B108" s="230">
        <v>139568740.77200001</v>
      </c>
      <c r="C108" s="230">
        <v>143564113.315</v>
      </c>
      <c r="D108" s="165">
        <f t="shared" si="16"/>
        <v>2.9</v>
      </c>
      <c r="E108" s="27">
        <f>IFERROR(100/'Skjema total MA'!C108*C108,0)</f>
        <v>42.839840989388115</v>
      </c>
      <c r="F108" s="230">
        <v>18464340.182</v>
      </c>
      <c r="G108" s="230">
        <v>19273033.022999998</v>
      </c>
      <c r="H108" s="165">
        <f t="shared" si="17"/>
        <v>4.4000000000000004</v>
      </c>
      <c r="I108" s="27">
        <f>IFERROR(100/'Skjema total MA'!F108*G108,0)</f>
        <v>94.560738604861555</v>
      </c>
      <c r="J108" s="283">
        <f t="shared" si="24"/>
        <v>158033080.95400003</v>
      </c>
      <c r="K108" s="44">
        <f t="shared" si="24"/>
        <v>162837146.338</v>
      </c>
      <c r="L108" s="250">
        <f t="shared" si="19"/>
        <v>3</v>
      </c>
      <c r="M108" s="27">
        <f>IFERROR(100/'Skjema total MA'!I108*K108,0)</f>
        <v>45.805121766943437</v>
      </c>
    </row>
    <row r="109" spans="1:13" ht="15.6" customHeight="1" x14ac:dyDescent="0.2">
      <c r="A109" s="21" t="s">
        <v>430</v>
      </c>
      <c r="B109" s="230">
        <v>314973</v>
      </c>
      <c r="C109" s="230">
        <v>376778.81800000003</v>
      </c>
      <c r="D109" s="165">
        <f t="shared" si="16"/>
        <v>19.600000000000001</v>
      </c>
      <c r="E109" s="27">
        <f>IFERROR(100/'Skjema total MA'!C109*C109,0)</f>
        <v>20.467351344446278</v>
      </c>
      <c r="F109" s="230">
        <v>39136566</v>
      </c>
      <c r="G109" s="230">
        <v>42775648.344999999</v>
      </c>
      <c r="H109" s="165">
        <f t="shared" si="17"/>
        <v>9.3000000000000007</v>
      </c>
      <c r="I109" s="27">
        <f>IFERROR(100/'Skjema total MA'!F109*G109,0)</f>
        <v>27.620600134883947</v>
      </c>
      <c r="J109" s="283">
        <f t="shared" si="24"/>
        <v>39451539</v>
      </c>
      <c r="K109" s="44">
        <f t="shared" si="24"/>
        <v>43152427.163000003</v>
      </c>
      <c r="L109" s="250">
        <f t="shared" si="19"/>
        <v>9.4</v>
      </c>
      <c r="M109" s="27">
        <f>IFERROR(100/'Skjema total MA'!I109*K109,0)</f>
        <v>27.536570440057709</v>
      </c>
    </row>
    <row r="110" spans="1:13" ht="15.75" x14ac:dyDescent="0.2">
      <c r="A110" s="21" t="s">
        <v>379</v>
      </c>
      <c r="B110" s="230">
        <v>175377.3</v>
      </c>
      <c r="C110" s="230">
        <v>405270.41100000002</v>
      </c>
      <c r="D110" s="165">
        <f t="shared" si="16"/>
        <v>131.1</v>
      </c>
      <c r="E110" s="27">
        <f>IFERROR(100/'Skjema total MA'!C110*C110,0)</f>
        <v>39.468657133556306</v>
      </c>
      <c r="F110" s="230"/>
      <c r="G110" s="230"/>
      <c r="H110" s="165"/>
      <c r="I110" s="27"/>
      <c r="J110" s="283">
        <f t="shared" si="24"/>
        <v>175377.3</v>
      </c>
      <c r="K110" s="44">
        <f t="shared" si="24"/>
        <v>405270.41100000002</v>
      </c>
      <c r="L110" s="250">
        <f t="shared" si="19"/>
        <v>131.1</v>
      </c>
      <c r="M110" s="27">
        <f>IFERROR(100/'Skjema total MA'!I110*K110,0)</f>
        <v>39.468657133556306</v>
      </c>
    </row>
    <row r="111" spans="1:13" ht="15.75" x14ac:dyDescent="0.2">
      <c r="A111" s="13" t="s">
        <v>360</v>
      </c>
      <c r="B111" s="301">
        <v>58863.911999999997</v>
      </c>
      <c r="C111" s="158">
        <v>196392.82399999999</v>
      </c>
      <c r="D111" s="170">
        <f t="shared" si="16"/>
        <v>233.6</v>
      </c>
      <c r="E111" s="11">
        <f>IFERROR(100/'Skjema total MA'!C111*C111,0)</f>
        <v>57.025942572582615</v>
      </c>
      <c r="F111" s="301">
        <v>1183452.9030000002</v>
      </c>
      <c r="G111" s="158">
        <v>1462324.11</v>
      </c>
      <c r="H111" s="170">
        <f t="shared" si="17"/>
        <v>23.6</v>
      </c>
      <c r="I111" s="11">
        <f>IFERROR(100/'Skjema total MA'!F111*G111,0)</f>
        <v>12.931810378382732</v>
      </c>
      <c r="J111" s="302">
        <f t="shared" si="24"/>
        <v>1242316.8150000002</v>
      </c>
      <c r="K111" s="232">
        <f t="shared" si="24"/>
        <v>1658716.9340000001</v>
      </c>
      <c r="L111" s="414">
        <f t="shared" si="19"/>
        <v>33.5</v>
      </c>
      <c r="M111" s="11">
        <f>IFERROR(100/'Skjema total MA'!I111*K111,0)</f>
        <v>14.235038061608018</v>
      </c>
    </row>
    <row r="112" spans="1:13" x14ac:dyDescent="0.2">
      <c r="A112" s="21" t="s">
        <v>9</v>
      </c>
      <c r="B112" s="230">
        <v>1524.702</v>
      </c>
      <c r="C112" s="145">
        <v>4779.7849999999999</v>
      </c>
      <c r="D112" s="165">
        <f t="shared" ref="D112:D125" si="29">IF(B112=0, "    ---- ", IF(ABS(ROUND(100/B112*C112-100,1))&lt;999,ROUND(100/B112*C112-100,1),IF(ROUND(100/B112*C112-100,1)&gt;999,999,-999)))</f>
        <v>213.5</v>
      </c>
      <c r="E112" s="27">
        <f>IFERROR(100/'Skjema total MA'!C112*C112,0)</f>
        <v>3.2003891771156936</v>
      </c>
      <c r="F112" s="230">
        <v>10108.107</v>
      </c>
      <c r="G112" s="145">
        <v>178.94800000000001</v>
      </c>
      <c r="H112" s="165">
        <f t="shared" ref="H112:H125" si="30">IF(F112=0, "    ---- ", IF(ABS(ROUND(100/F112*G112-100,1))&lt;999,ROUND(100/F112*G112-100,1),IF(ROUND(100/F112*G112-100,1)&gt;999,999,-999)))</f>
        <v>-98.2</v>
      </c>
      <c r="I112" s="27">
        <f>IFERROR(100/'Skjema total MA'!F112*G112,0)</f>
        <v>100.00000000000001</v>
      </c>
      <c r="J112" s="283">
        <f t="shared" ref="J112:K125" si="31">SUM(B112,F112)</f>
        <v>11632.808999999999</v>
      </c>
      <c r="K112" s="44">
        <f t="shared" si="31"/>
        <v>4958.7330000000002</v>
      </c>
      <c r="L112" s="250">
        <f t="shared" ref="L112:L125" si="32">IF(J112=0, "    ---- ", IF(ABS(ROUND(100/J112*K112-100,1))&lt;999,ROUND(100/J112*K112-100,1),IF(ROUND(100/J112*K112-100,1)&gt;999,999,-999)))</f>
        <v>-57.4</v>
      </c>
      <c r="M112" s="27">
        <f>IFERROR(100/'Skjema total MA'!I112*K112,0)</f>
        <v>3.316233522740863</v>
      </c>
    </row>
    <row r="113" spans="1:14" x14ac:dyDescent="0.2">
      <c r="A113" s="21" t="s">
        <v>10</v>
      </c>
      <c r="B113" s="230"/>
      <c r="C113" s="145"/>
      <c r="D113" s="165"/>
      <c r="E113" s="27"/>
      <c r="F113" s="230">
        <v>1173344.7960000001</v>
      </c>
      <c r="G113" s="145">
        <v>1462145.162</v>
      </c>
      <c r="H113" s="165">
        <f t="shared" si="30"/>
        <v>24.6</v>
      </c>
      <c r="I113" s="27">
        <f>IFERROR(100/'Skjema total MA'!F113*G113,0)</f>
        <v>12.93043250622857</v>
      </c>
      <c r="J113" s="283">
        <f t="shared" si="31"/>
        <v>1173344.7960000001</v>
      </c>
      <c r="K113" s="44">
        <f t="shared" si="31"/>
        <v>1462145.162</v>
      </c>
      <c r="L113" s="250">
        <f t="shared" si="32"/>
        <v>24.6</v>
      </c>
      <c r="M113" s="27">
        <f>IFERROR(100/'Skjema total MA'!I113*K113,0)</f>
        <v>12.93043250622857</v>
      </c>
    </row>
    <row r="114" spans="1:14" x14ac:dyDescent="0.2">
      <c r="A114" s="21" t="s">
        <v>26</v>
      </c>
      <c r="B114" s="230">
        <v>57339.21</v>
      </c>
      <c r="C114" s="145">
        <v>191613.03899999999</v>
      </c>
      <c r="D114" s="165">
        <f t="shared" si="29"/>
        <v>234.2</v>
      </c>
      <c r="E114" s="27">
        <f>IFERROR(100/'Skjema total MA'!C114*C114,0)</f>
        <v>98.241961157629575</v>
      </c>
      <c r="F114" s="230"/>
      <c r="G114" s="145"/>
      <c r="H114" s="165"/>
      <c r="I114" s="27"/>
      <c r="J114" s="283">
        <f t="shared" si="31"/>
        <v>57339.21</v>
      </c>
      <c r="K114" s="44">
        <f t="shared" si="31"/>
        <v>191613.03899999999</v>
      </c>
      <c r="L114" s="250">
        <f t="shared" si="32"/>
        <v>234.2</v>
      </c>
      <c r="M114" s="27">
        <f>IFERROR(100/'Skjema total MA'!I114*K114,0)</f>
        <v>98.241961157629575</v>
      </c>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v>241.67599999999999</v>
      </c>
      <c r="C116" s="230">
        <v>747.78</v>
      </c>
      <c r="D116" s="165">
        <f t="shared" si="29"/>
        <v>209.4</v>
      </c>
      <c r="E116" s="27">
        <f>IFERROR(100/'Skjema total MA'!C116*C116,0)</f>
        <v>1.724970330108941</v>
      </c>
      <c r="F116" s="230">
        <v>10108.107</v>
      </c>
      <c r="G116" s="230">
        <v>178.94800000000001</v>
      </c>
      <c r="H116" s="165">
        <f t="shared" si="30"/>
        <v>-98.2</v>
      </c>
      <c r="I116" s="27">
        <f>IFERROR(100/'Skjema total MA'!F116*G116,0)</f>
        <v>100.00000000000001</v>
      </c>
      <c r="J116" s="283">
        <f t="shared" si="31"/>
        <v>10349.782999999999</v>
      </c>
      <c r="K116" s="44">
        <f t="shared" si="31"/>
        <v>926.72799999999995</v>
      </c>
      <c r="L116" s="250">
        <f t="shared" si="32"/>
        <v>-91</v>
      </c>
      <c r="M116" s="27">
        <f>IFERROR(100/'Skjema total MA'!I116*K116,0)</f>
        <v>2.1289772091143653</v>
      </c>
    </row>
    <row r="117" spans="1:14" ht="15.6" customHeight="1" x14ac:dyDescent="0.2">
      <c r="A117" s="21" t="s">
        <v>430</v>
      </c>
      <c r="B117" s="230"/>
      <c r="C117" s="230"/>
      <c r="D117" s="165"/>
      <c r="E117" s="27"/>
      <c r="F117" s="230">
        <v>167367.742</v>
      </c>
      <c r="G117" s="230">
        <v>88406.607000000004</v>
      </c>
      <c r="H117" s="165">
        <f t="shared" si="30"/>
        <v>-47.2</v>
      </c>
      <c r="I117" s="27">
        <f>IFERROR(100/'Skjema total MA'!F117*G117,0)</f>
        <v>1.5362837399039742</v>
      </c>
      <c r="J117" s="283">
        <f t="shared" si="31"/>
        <v>167367.742</v>
      </c>
      <c r="K117" s="44">
        <f t="shared" si="31"/>
        <v>88406.607000000004</v>
      </c>
      <c r="L117" s="250">
        <f t="shared" si="32"/>
        <v>-47.2</v>
      </c>
      <c r="M117" s="27">
        <f>IFERROR(100/'Skjema total MA'!I117*K117,0)</f>
        <v>1.5362837399039742</v>
      </c>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v>51516.316999999995</v>
      </c>
      <c r="C119" s="158">
        <v>66301.087</v>
      </c>
      <c r="D119" s="170">
        <f t="shared" si="29"/>
        <v>28.7</v>
      </c>
      <c r="E119" s="11">
        <f>IFERROR(100/'Skjema total MA'!C119*C119,0)</f>
        <v>18.649117411293709</v>
      </c>
      <c r="F119" s="301">
        <v>2650407.3139999998</v>
      </c>
      <c r="G119" s="158">
        <v>3247699.3169999998</v>
      </c>
      <c r="H119" s="170">
        <f t="shared" si="30"/>
        <v>22.5</v>
      </c>
      <c r="I119" s="11">
        <f>IFERROR(100/'Skjema total MA'!F119*G119,0)</f>
        <v>26.791682963218701</v>
      </c>
      <c r="J119" s="302">
        <f t="shared" si="31"/>
        <v>2701923.6309999996</v>
      </c>
      <c r="K119" s="232">
        <f t="shared" si="31"/>
        <v>3314000.4039999996</v>
      </c>
      <c r="L119" s="414">
        <f t="shared" si="32"/>
        <v>22.7</v>
      </c>
      <c r="M119" s="11">
        <f>IFERROR(100/'Skjema total MA'!I119*K119,0)</f>
        <v>26.559679799645362</v>
      </c>
    </row>
    <row r="120" spans="1:14" x14ac:dyDescent="0.2">
      <c r="A120" s="21" t="s">
        <v>9</v>
      </c>
      <c r="B120" s="230">
        <v>12929.540999999999</v>
      </c>
      <c r="C120" s="145">
        <v>6004.76</v>
      </c>
      <c r="D120" s="165">
        <f t="shared" si="29"/>
        <v>-53.6</v>
      </c>
      <c r="E120" s="27">
        <f>IFERROR(100/'Skjema total MA'!C120*C120,0)</f>
        <v>6.9230204929501191</v>
      </c>
      <c r="F120" s="230"/>
      <c r="G120" s="145"/>
      <c r="H120" s="165"/>
      <c r="I120" s="27"/>
      <c r="J120" s="283">
        <f t="shared" si="31"/>
        <v>12929.540999999999</v>
      </c>
      <c r="K120" s="44">
        <f t="shared" si="31"/>
        <v>6004.76</v>
      </c>
      <c r="L120" s="250">
        <f t="shared" si="32"/>
        <v>-53.6</v>
      </c>
      <c r="M120" s="27">
        <f>IFERROR(100/'Skjema total MA'!I120*K120,0)</f>
        <v>6.9230204929501191</v>
      </c>
    </row>
    <row r="121" spans="1:14" x14ac:dyDescent="0.2">
      <c r="A121" s="21" t="s">
        <v>10</v>
      </c>
      <c r="B121" s="230"/>
      <c r="C121" s="145"/>
      <c r="D121" s="165"/>
      <c r="E121" s="27"/>
      <c r="F121" s="230">
        <v>2650407.3139999998</v>
      </c>
      <c r="G121" s="145">
        <v>3247699.3169999998</v>
      </c>
      <c r="H121" s="165">
        <f t="shared" si="30"/>
        <v>22.5</v>
      </c>
      <c r="I121" s="27">
        <f>IFERROR(100/'Skjema total MA'!F121*G121,0)</f>
        <v>26.791682963218701</v>
      </c>
      <c r="J121" s="283">
        <f t="shared" si="31"/>
        <v>2650407.3139999998</v>
      </c>
      <c r="K121" s="44">
        <f t="shared" si="31"/>
        <v>3247699.3169999998</v>
      </c>
      <c r="L121" s="250">
        <f t="shared" si="32"/>
        <v>22.5</v>
      </c>
      <c r="M121" s="27">
        <f>IFERROR(100/'Skjema total MA'!I121*K121,0)</f>
        <v>26.780379398594025</v>
      </c>
    </row>
    <row r="122" spans="1:14" x14ac:dyDescent="0.2">
      <c r="A122" s="21" t="s">
        <v>26</v>
      </c>
      <c r="B122" s="230">
        <v>38586.775999999998</v>
      </c>
      <c r="C122" s="145">
        <v>60296.326999999997</v>
      </c>
      <c r="D122" s="165">
        <f t="shared" si="29"/>
        <v>56.3</v>
      </c>
      <c r="E122" s="27">
        <f>IFERROR(100/'Skjema total MA'!C122*C122,0)</f>
        <v>22.868451231728592</v>
      </c>
      <c r="F122" s="230"/>
      <c r="G122" s="145"/>
      <c r="H122" s="165"/>
      <c r="I122" s="27"/>
      <c r="J122" s="283">
        <f t="shared" si="31"/>
        <v>38586.775999999998</v>
      </c>
      <c r="K122" s="44">
        <f t="shared" si="31"/>
        <v>60296.326999999997</v>
      </c>
      <c r="L122" s="250">
        <f t="shared" si="32"/>
        <v>56.3</v>
      </c>
      <c r="M122" s="27">
        <f>IFERROR(100/'Skjema total MA'!I122*K122,0)</f>
        <v>22.868451231728592</v>
      </c>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v>1350.136</v>
      </c>
      <c r="C124" s="230">
        <v>507.60899999999998</v>
      </c>
      <c r="D124" s="165">
        <f t="shared" si="29"/>
        <v>-62.4</v>
      </c>
      <c r="E124" s="27">
        <f>IFERROR(100/'Skjema total MA'!C124*C124,0)</f>
        <v>3.2549855028748009</v>
      </c>
      <c r="F124" s="230">
        <v>8860.5679999999993</v>
      </c>
      <c r="G124" s="230">
        <v>3363.8870000000002</v>
      </c>
      <c r="H124" s="165">
        <f t="shared" si="30"/>
        <v>-62</v>
      </c>
      <c r="I124" s="27">
        <f>IFERROR(100/'Skjema total MA'!F124*G124,0)</f>
        <v>100</v>
      </c>
      <c r="J124" s="283">
        <f t="shared" si="31"/>
        <v>10210.704</v>
      </c>
      <c r="K124" s="44">
        <f t="shared" si="31"/>
        <v>3871.4960000000001</v>
      </c>
      <c r="L124" s="250">
        <f t="shared" si="32"/>
        <v>-62.1</v>
      </c>
      <c r="M124" s="27">
        <f>IFERROR(100/'Skjema total MA'!I124*K124,0)</f>
        <v>20.420679621385489</v>
      </c>
    </row>
    <row r="125" spans="1:14" ht="16.149999999999999" customHeight="1" x14ac:dyDescent="0.2">
      <c r="A125" s="21" t="s">
        <v>430</v>
      </c>
      <c r="B125" s="230">
        <v>174.10499999999999</v>
      </c>
      <c r="C125" s="230">
        <v>0</v>
      </c>
      <c r="D125" s="165">
        <f t="shared" si="29"/>
        <v>-100</v>
      </c>
      <c r="E125" s="27">
        <f>IFERROR(100/'Skjema total MA'!C125*C125,0)</f>
        <v>0</v>
      </c>
      <c r="F125" s="230">
        <v>1150784.18</v>
      </c>
      <c r="G125" s="230">
        <v>201080.79699999999</v>
      </c>
      <c r="H125" s="165">
        <f t="shared" si="30"/>
        <v>-82.5</v>
      </c>
      <c r="I125" s="27">
        <f>IFERROR(100/'Skjema total MA'!F125*G125,0)</f>
        <v>3.5376947332930437</v>
      </c>
      <c r="J125" s="283">
        <f t="shared" si="31"/>
        <v>1150958.2849999999</v>
      </c>
      <c r="K125" s="44">
        <f t="shared" si="31"/>
        <v>201080.79699999999</v>
      </c>
      <c r="L125" s="250">
        <f t="shared" si="32"/>
        <v>-82.5</v>
      </c>
      <c r="M125" s="27">
        <f>IFERROR(100/'Skjema total MA'!I125*K125,0)</f>
        <v>3.5376845414539946</v>
      </c>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292"/>
      <c r="F130" s="724"/>
      <c r="G130" s="724"/>
      <c r="H130" s="724"/>
      <c r="I130" s="292"/>
      <c r="J130" s="724"/>
      <c r="K130" s="724"/>
      <c r="L130" s="724"/>
      <c r="M130" s="292"/>
    </row>
    <row r="131" spans="1:14" s="3" customFormat="1" x14ac:dyDescent="0.2">
      <c r="A131" s="144"/>
      <c r="B131" s="725" t="s">
        <v>0</v>
      </c>
      <c r="C131" s="726"/>
      <c r="D131" s="726"/>
      <c r="E131" s="294"/>
      <c r="F131" s="725" t="s">
        <v>1</v>
      </c>
      <c r="G131" s="726"/>
      <c r="H131" s="726"/>
      <c r="I131" s="297"/>
      <c r="J131" s="725" t="s">
        <v>2</v>
      </c>
      <c r="K131" s="726"/>
      <c r="L131" s="726"/>
      <c r="M131" s="297"/>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v>96339.324999999997</v>
      </c>
      <c r="C134" s="302">
        <v>201985.60200000001</v>
      </c>
      <c r="D134" s="340">
        <f t="shared" ref="D134:D136" si="33">IF(B134=0, "    ---- ", IF(ABS(ROUND(100/B134*C134-100,1))&lt;999,ROUND(100/B134*C134-100,1),IF(ROUND(100/B134*C134-100,1)&gt;999,999,-999)))</f>
        <v>109.7</v>
      </c>
      <c r="E134" s="11">
        <f>IFERROR(100/'Skjema total MA'!C134*C134,0)</f>
        <v>2.3770587442779232</v>
      </c>
      <c r="F134" s="309"/>
      <c r="G134" s="310"/>
      <c r="H134" s="417"/>
      <c r="I134" s="24"/>
      <c r="J134" s="311">
        <f t="shared" ref="J134:K136" si="34">SUM(B134,F134)</f>
        <v>96339.324999999997</v>
      </c>
      <c r="K134" s="311">
        <f t="shared" si="34"/>
        <v>201985.60200000001</v>
      </c>
      <c r="L134" s="413">
        <f t="shared" ref="L134:L136" si="35">IF(J134=0, "    ---- ", IF(ABS(ROUND(100/J134*K134-100,1))&lt;999,ROUND(100/J134*K134-100,1),IF(ROUND(100/J134*K134-100,1)&gt;999,999,-999)))</f>
        <v>109.7</v>
      </c>
      <c r="M134" s="11">
        <f>IFERROR(100/'Skjema total MA'!I134*K134,0)</f>
        <v>2.3748846637065966</v>
      </c>
      <c r="N134" s="148"/>
    </row>
    <row r="135" spans="1:14" s="3" customFormat="1" ht="15.75" x14ac:dyDescent="0.2">
      <c r="A135" s="13" t="s">
        <v>386</v>
      </c>
      <c r="B135" s="232">
        <v>10706459.874</v>
      </c>
      <c r="C135" s="302">
        <v>16326442.922</v>
      </c>
      <c r="D135" s="170">
        <f t="shared" si="33"/>
        <v>52.5</v>
      </c>
      <c r="E135" s="11">
        <f>IFERROR(100/'Skjema total MA'!C135*C135,0)</f>
        <v>2.2076133251321557</v>
      </c>
      <c r="F135" s="232"/>
      <c r="G135" s="302"/>
      <c r="H135" s="418"/>
      <c r="I135" s="24"/>
      <c r="J135" s="301">
        <f t="shared" si="34"/>
        <v>10706459.874</v>
      </c>
      <c r="K135" s="301">
        <f t="shared" si="34"/>
        <v>16326442.922</v>
      </c>
      <c r="L135" s="414">
        <f t="shared" si="35"/>
        <v>52.5</v>
      </c>
      <c r="M135" s="11">
        <f>IFERROR(100/'Skjema total MA'!I135*K135,0)</f>
        <v>2.1991464480215517</v>
      </c>
      <c r="N135" s="148"/>
    </row>
    <row r="136" spans="1:14" s="3" customFormat="1" ht="15.75" x14ac:dyDescent="0.2">
      <c r="A136" s="13" t="s">
        <v>383</v>
      </c>
      <c r="B136" s="232">
        <v>7005645.1660000002</v>
      </c>
      <c r="C136" s="302">
        <v>3131923.139</v>
      </c>
      <c r="D136" s="170">
        <f t="shared" si="33"/>
        <v>-55.3</v>
      </c>
      <c r="E136" s="11">
        <f>IFERROR(100/'Skjema total MA'!C136*C136,0)</f>
        <v>100.00000000000001</v>
      </c>
      <c r="F136" s="232"/>
      <c r="G136" s="302"/>
      <c r="H136" s="418"/>
      <c r="I136" s="24"/>
      <c r="J136" s="301">
        <f t="shared" si="34"/>
        <v>7005645.1660000002</v>
      </c>
      <c r="K136" s="301">
        <f t="shared" si="34"/>
        <v>3131923.139</v>
      </c>
      <c r="L136" s="414">
        <f t="shared" si="35"/>
        <v>-55.3</v>
      </c>
      <c r="M136" s="11">
        <f>IFERROR(100/'Skjema total MA'!I136*K136,0)</f>
        <v>89.270196461286574</v>
      </c>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272" priority="12">
      <formula>kvartal &lt; 4</formula>
    </cfRule>
  </conditionalFormatting>
  <conditionalFormatting sqref="A69:A74">
    <cfRule type="expression" dxfId="271" priority="10">
      <formula>kvartal &lt; 4</formula>
    </cfRule>
  </conditionalFormatting>
  <conditionalFormatting sqref="A80:A85">
    <cfRule type="expression" dxfId="270" priority="9">
      <formula>kvartal &lt; 4</formula>
    </cfRule>
  </conditionalFormatting>
  <conditionalFormatting sqref="A90:A95">
    <cfRule type="expression" dxfId="269" priority="6">
      <formula>kvartal &lt; 4</formula>
    </cfRule>
  </conditionalFormatting>
  <conditionalFormatting sqref="A101:A106">
    <cfRule type="expression" dxfId="268" priority="5">
      <formula>kvartal &lt; 4</formula>
    </cfRule>
  </conditionalFormatting>
  <conditionalFormatting sqref="A115">
    <cfRule type="expression" dxfId="267" priority="4">
      <formula>kvartal &lt; 4</formula>
    </cfRule>
  </conditionalFormatting>
  <conditionalFormatting sqref="A123">
    <cfRule type="expression" dxfId="266" priority="3">
      <formula>kvartal &lt; 4</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76"/>
  <sheetViews>
    <sheetView showGridLines="0" showZeros="0" zoomScale="90" zoomScaleNormal="90" workbookViewId="0">
      <selection activeCell="A4" sqref="A4"/>
    </sheetView>
  </sheetViews>
  <sheetFormatPr baseColWidth="10" defaultColWidth="11.42578125" defaultRowHeight="18.75" x14ac:dyDescent="0.3"/>
  <cols>
    <col min="10" max="11" width="16.7109375" customWidth="1"/>
    <col min="12" max="12" width="20.7109375" style="74" customWidth="1"/>
    <col min="13" max="14" width="15.7109375" style="74" bestFit="1" customWidth="1"/>
    <col min="15" max="15" width="22.7109375" customWidth="1"/>
    <col min="16" max="16" width="13.42578125" customWidth="1"/>
    <col min="17" max="17" width="13.7109375" customWidth="1"/>
  </cols>
  <sheetData>
    <row r="1" spans="1:15" x14ac:dyDescent="0.3">
      <c r="A1" s="73" t="s">
        <v>52</v>
      </c>
    </row>
    <row r="2" spans="1:15" x14ac:dyDescent="0.3">
      <c r="A2" s="75"/>
      <c r="B2" s="74"/>
      <c r="C2" s="74"/>
      <c r="D2" s="74"/>
      <c r="E2" s="74"/>
      <c r="F2" s="74"/>
      <c r="G2" s="74"/>
      <c r="H2" s="74"/>
      <c r="I2" s="74"/>
      <c r="J2" s="74"/>
      <c r="K2" s="74"/>
      <c r="O2" s="74"/>
    </row>
    <row r="3" spans="1:15" x14ac:dyDescent="0.3">
      <c r="A3" s="75" t="s">
        <v>32</v>
      </c>
      <c r="B3" s="74"/>
      <c r="C3" s="74"/>
      <c r="D3" s="74"/>
      <c r="E3" s="74"/>
      <c r="F3" s="74"/>
      <c r="G3" s="74"/>
      <c r="H3" s="74"/>
      <c r="I3" s="74"/>
      <c r="J3" s="74"/>
      <c r="K3" s="74"/>
      <c r="O3" s="74"/>
    </row>
    <row r="4" spans="1:15" x14ac:dyDescent="0.3">
      <c r="A4" s="74"/>
      <c r="B4" s="74"/>
      <c r="C4" s="74"/>
      <c r="D4" s="74"/>
      <c r="E4" s="74"/>
      <c r="F4" s="74"/>
      <c r="G4" s="74"/>
      <c r="H4" s="74"/>
      <c r="I4" s="74"/>
      <c r="J4" s="74"/>
      <c r="K4" s="74"/>
      <c r="L4" s="76"/>
      <c r="O4" s="74"/>
    </row>
    <row r="5" spans="1:15" x14ac:dyDescent="0.3">
      <c r="A5" s="75" t="s">
        <v>414</v>
      </c>
      <c r="B5" s="74"/>
      <c r="C5" s="74"/>
      <c r="D5" s="74"/>
      <c r="E5" s="74"/>
      <c r="F5" s="74"/>
      <c r="G5" s="74"/>
      <c r="H5" s="74"/>
      <c r="I5" s="79"/>
      <c r="J5" s="74"/>
      <c r="K5" s="74"/>
      <c r="L5" s="74" t="s">
        <v>53</v>
      </c>
      <c r="O5" s="74"/>
    </row>
    <row r="6" spans="1:15" x14ac:dyDescent="0.3">
      <c r="A6" s="74"/>
      <c r="B6" s="74"/>
      <c r="C6" s="74"/>
      <c r="D6" s="74"/>
      <c r="E6" s="74"/>
      <c r="F6" s="74"/>
      <c r="G6" s="74"/>
      <c r="H6" s="74"/>
      <c r="I6" s="74"/>
      <c r="J6" s="74"/>
      <c r="K6" s="74"/>
      <c r="L6" s="74" t="s">
        <v>0</v>
      </c>
      <c r="O6" s="74"/>
    </row>
    <row r="7" spans="1:15" x14ac:dyDescent="0.3">
      <c r="A7" s="74"/>
      <c r="B7" s="74"/>
      <c r="C7" s="74"/>
      <c r="D7" s="74"/>
      <c r="E7" s="74"/>
      <c r="F7" s="74"/>
      <c r="G7" s="74"/>
      <c r="H7" s="74"/>
      <c r="I7" s="74"/>
      <c r="J7" s="74"/>
      <c r="K7" s="74"/>
      <c r="M7" s="74">
        <v>2021</v>
      </c>
      <c r="N7" s="74">
        <v>2022</v>
      </c>
      <c r="O7" s="74"/>
    </row>
    <row r="8" spans="1:15" x14ac:dyDescent="0.3">
      <c r="A8" s="74"/>
      <c r="B8" s="74"/>
      <c r="C8" s="74"/>
      <c r="D8" s="74"/>
      <c r="E8" s="74"/>
      <c r="F8" s="74"/>
      <c r="G8" s="74"/>
      <c r="H8" s="74"/>
      <c r="I8" s="74"/>
      <c r="J8" s="74"/>
      <c r="K8" s="74"/>
      <c r="L8" s="74" t="s">
        <v>411</v>
      </c>
      <c r="M8" s="77">
        <f>'Tabel 1.1'!B9</f>
        <v>47791</v>
      </c>
      <c r="N8" s="77">
        <f>'Tabel 1.1'!C9</f>
        <v>49378</v>
      </c>
      <c r="O8" s="74"/>
    </row>
    <row r="9" spans="1:15" x14ac:dyDescent="0.3">
      <c r="A9" s="74"/>
      <c r="B9" s="74"/>
      <c r="C9" s="74"/>
      <c r="D9" s="74"/>
      <c r="E9" s="74"/>
      <c r="F9" s="74"/>
      <c r="G9" s="74"/>
      <c r="H9" s="74"/>
      <c r="I9" s="74"/>
      <c r="J9" s="74"/>
      <c r="K9" s="74"/>
      <c r="L9" s="74" t="s">
        <v>54</v>
      </c>
      <c r="M9" s="77">
        <f>'Tabel 1.1'!B10</f>
        <v>105984.141</v>
      </c>
      <c r="N9" s="77">
        <f>'Tabel 1.1'!C10</f>
        <v>112892.864</v>
      </c>
      <c r="O9" s="74"/>
    </row>
    <row r="10" spans="1:15" x14ac:dyDescent="0.3">
      <c r="A10" s="74"/>
      <c r="B10" s="74"/>
      <c r="C10" s="74"/>
      <c r="D10" s="74"/>
      <c r="E10" s="74"/>
      <c r="F10" s="74"/>
      <c r="G10" s="74"/>
      <c r="H10" s="74"/>
      <c r="I10" s="74"/>
      <c r="J10" s="74"/>
      <c r="K10" s="74"/>
      <c r="L10" s="74" t="s">
        <v>55</v>
      </c>
      <c r="M10" s="77">
        <f>'Tabel 1.1'!B11</f>
        <v>1343575.8687400001</v>
      </c>
      <c r="N10" s="77">
        <f>'Tabel 1.1'!C11</f>
        <v>1241691.2704</v>
      </c>
      <c r="O10" s="74"/>
    </row>
    <row r="11" spans="1:15" x14ac:dyDescent="0.3">
      <c r="A11" s="74"/>
      <c r="B11" s="74"/>
      <c r="C11" s="74"/>
      <c r="D11" s="74"/>
      <c r="E11" s="74"/>
      <c r="F11" s="74"/>
      <c r="G11" s="74"/>
      <c r="H11" s="74"/>
      <c r="I11" s="74"/>
      <c r="J11" s="74"/>
      <c r="K11" s="74"/>
      <c r="L11" s="74" t="s">
        <v>56</v>
      </c>
      <c r="M11" s="77">
        <f>'Tabel 1.1'!B12</f>
        <v>86830</v>
      </c>
      <c r="N11" s="77">
        <f>'Tabel 1.1'!C12</f>
        <v>116603</v>
      </c>
      <c r="O11" s="74"/>
    </row>
    <row r="12" spans="1:15" x14ac:dyDescent="0.3">
      <c r="A12" s="74"/>
      <c r="B12" s="74"/>
      <c r="C12" s="74"/>
      <c r="D12" s="74"/>
      <c r="E12" s="74"/>
      <c r="F12" s="74"/>
      <c r="G12" s="74"/>
      <c r="H12" s="74"/>
      <c r="I12" s="74"/>
      <c r="J12" s="74"/>
      <c r="K12" s="74"/>
      <c r="L12" s="74" t="s">
        <v>412</v>
      </c>
      <c r="M12" s="77">
        <f>'Tabel 1.1'!B13</f>
        <v>8328</v>
      </c>
      <c r="N12" s="77">
        <f>'Tabel 1.1'!C13</f>
        <v>22472</v>
      </c>
      <c r="O12" s="74"/>
    </row>
    <row r="13" spans="1:15" x14ac:dyDescent="0.3">
      <c r="A13" s="74"/>
      <c r="B13" s="74"/>
      <c r="C13" s="74"/>
      <c r="D13" s="74"/>
      <c r="E13" s="74"/>
      <c r="F13" s="74"/>
      <c r="G13" s="74"/>
      <c r="H13" s="74"/>
      <c r="I13" s="74"/>
      <c r="J13" s="74"/>
      <c r="K13" s="74"/>
      <c r="L13" s="74" t="s">
        <v>397</v>
      </c>
      <c r="M13" s="77">
        <f>'Tabel 1.1'!B14</f>
        <v>846741.58648000006</v>
      </c>
      <c r="N13" s="77">
        <f>'Tabel 1.1'!C14</f>
        <v>867620.14841999998</v>
      </c>
      <c r="O13" s="74"/>
    </row>
    <row r="14" spans="1:15" x14ac:dyDescent="0.3">
      <c r="A14" s="74"/>
      <c r="B14" s="74"/>
      <c r="C14" s="74"/>
      <c r="D14" s="74"/>
      <c r="E14" s="74"/>
      <c r="F14" s="74"/>
      <c r="G14" s="74"/>
      <c r="H14" s="74"/>
      <c r="I14" s="74"/>
      <c r="J14" s="74"/>
      <c r="K14" s="74"/>
      <c r="L14" s="74" t="s">
        <v>57</v>
      </c>
      <c r="M14" s="77">
        <f>'Tabel 1.1'!B15</f>
        <v>462024</v>
      </c>
      <c r="N14" s="77">
        <f>'Tabel 1.1'!C15</f>
        <v>509672</v>
      </c>
      <c r="O14" s="74"/>
    </row>
    <row r="15" spans="1:15" x14ac:dyDescent="0.3">
      <c r="A15" s="74"/>
      <c r="B15" s="74"/>
      <c r="C15" s="74"/>
      <c r="D15" s="74"/>
      <c r="E15" s="74"/>
      <c r="F15" s="74"/>
      <c r="G15" s="74"/>
      <c r="H15" s="74"/>
      <c r="I15" s="74"/>
      <c r="J15" s="74"/>
      <c r="K15" s="74"/>
      <c r="L15" s="74" t="s">
        <v>58</v>
      </c>
      <c r="M15" s="77">
        <f>'Tabel 1.1'!B16</f>
        <v>5032.16</v>
      </c>
      <c r="N15" s="77">
        <f>'Tabel 1.1'!C16</f>
        <v>6055.442</v>
      </c>
      <c r="O15" s="74"/>
    </row>
    <row r="16" spans="1:15" x14ac:dyDescent="0.3">
      <c r="A16" s="74"/>
      <c r="B16" s="74"/>
      <c r="C16" s="74"/>
      <c r="D16" s="74"/>
      <c r="E16" s="74"/>
      <c r="F16" s="74"/>
      <c r="G16" s="74"/>
      <c r="H16" s="74"/>
      <c r="I16" s="74"/>
      <c r="J16" s="74"/>
      <c r="K16" s="74"/>
      <c r="L16" s="74" t="s">
        <v>59</v>
      </c>
      <c r="M16" s="77">
        <f>'Tabel 1.1'!B17</f>
        <v>1275735.1170000001</v>
      </c>
      <c r="N16" s="77">
        <f>'Tabel 1.1'!C17</f>
        <v>1381871.2850000001</v>
      </c>
      <c r="O16" s="74"/>
    </row>
    <row r="17" spans="1:15" x14ac:dyDescent="0.3">
      <c r="A17" s="74"/>
      <c r="B17" s="74"/>
      <c r="C17" s="74"/>
      <c r="D17" s="74"/>
      <c r="E17" s="74"/>
      <c r="F17" s="74"/>
      <c r="G17" s="74"/>
      <c r="H17" s="74"/>
      <c r="I17" s="74"/>
      <c r="J17" s="74"/>
      <c r="K17" s="74"/>
      <c r="L17" s="74" t="s">
        <v>60</v>
      </c>
      <c r="M17" s="77">
        <f>'Tabel 1.1'!B18</f>
        <v>228732</v>
      </c>
      <c r="N17" s="77">
        <f>'Tabel 1.1'!C18</f>
        <v>254783</v>
      </c>
      <c r="O17" s="74"/>
    </row>
    <row r="18" spans="1:15" x14ac:dyDescent="0.3">
      <c r="A18" s="74"/>
      <c r="B18" s="74"/>
      <c r="C18" s="74"/>
      <c r="D18" s="74"/>
      <c r="E18" s="74"/>
      <c r="F18" s="74"/>
      <c r="G18" s="74"/>
      <c r="H18" s="74"/>
      <c r="I18" s="74"/>
      <c r="J18" s="74"/>
      <c r="K18" s="74"/>
      <c r="L18" s="74" t="s">
        <v>61</v>
      </c>
      <c r="M18" s="77">
        <f>'Tabel 1.1'!B19</f>
        <v>8840.2157599999991</v>
      </c>
      <c r="N18" s="77">
        <f>'Tabel 1.1'!C19</f>
        <v>8764.5190000000002</v>
      </c>
      <c r="O18" s="74"/>
    </row>
    <row r="19" spans="1:15" x14ac:dyDescent="0.3">
      <c r="A19" s="74"/>
      <c r="B19" s="74"/>
      <c r="C19" s="74"/>
      <c r="D19" s="74"/>
      <c r="E19" s="74"/>
      <c r="F19" s="74"/>
      <c r="G19" s="74"/>
      <c r="H19" s="74"/>
      <c r="I19" s="74"/>
      <c r="J19" s="74"/>
      <c r="K19" s="74"/>
      <c r="L19" s="74" t="s">
        <v>62</v>
      </c>
      <c r="M19" s="77">
        <f>'Tabel 1.1'!B20</f>
        <v>170115.003490506</v>
      </c>
      <c r="N19" s="77">
        <f>'Tabel 1.1'!C20</f>
        <v>195617.65438259998</v>
      </c>
      <c r="O19" s="74"/>
    </row>
    <row r="20" spans="1:15" x14ac:dyDescent="0.3">
      <c r="A20" s="74"/>
      <c r="B20" s="74"/>
      <c r="C20" s="74"/>
      <c r="D20" s="74"/>
      <c r="E20" s="74"/>
      <c r="F20" s="74"/>
      <c r="G20" s="74"/>
      <c r="H20" s="74"/>
      <c r="I20" s="74"/>
      <c r="J20" s="74"/>
      <c r="K20" s="74"/>
      <c r="L20" s="74" t="s">
        <v>63</v>
      </c>
      <c r="M20" s="77">
        <f>'Tabel 1.1'!B22</f>
        <v>7029637.7149999999</v>
      </c>
      <c r="N20" s="77">
        <f>'Tabel 1.1'!C22</f>
        <v>7118708.5350500001</v>
      </c>
      <c r="O20" s="74"/>
    </row>
    <row r="21" spans="1:15" x14ac:dyDescent="0.3">
      <c r="A21" s="74"/>
      <c r="B21" s="74"/>
      <c r="C21" s="74"/>
      <c r="D21" s="74"/>
      <c r="E21" s="74"/>
      <c r="F21" s="74"/>
      <c r="G21" s="74"/>
      <c r="H21" s="74"/>
      <c r="I21" s="74"/>
      <c r="J21" s="74"/>
      <c r="K21" s="74"/>
      <c r="L21" s="74" t="s">
        <v>64</v>
      </c>
      <c r="M21" s="77">
        <f>'Tabel 1.1'!B23</f>
        <v>181165.234</v>
      </c>
      <c r="N21" s="77">
        <f>'Tabel 1.1'!C23</f>
        <v>182893.26199999999</v>
      </c>
      <c r="O21" s="74"/>
    </row>
    <row r="22" spans="1:15" x14ac:dyDescent="0.3">
      <c r="A22" s="74"/>
      <c r="B22" s="74"/>
      <c r="C22" s="74"/>
      <c r="D22" s="74"/>
      <c r="E22" s="74"/>
      <c r="F22" s="74"/>
      <c r="G22" s="74"/>
      <c r="H22" s="74"/>
      <c r="I22" s="74"/>
      <c r="J22" s="74"/>
      <c r="K22" s="74"/>
      <c r="L22" s="74" t="s">
        <v>398</v>
      </c>
      <c r="M22" s="77">
        <f>'Tabel 1.1'!B24</f>
        <v>32788</v>
      </c>
      <c r="N22" s="77">
        <f>'Tabel 1.1'!C24</f>
        <v>18594</v>
      </c>
      <c r="O22" s="74"/>
    </row>
    <row r="23" spans="1:15" x14ac:dyDescent="0.3">
      <c r="A23" s="74"/>
      <c r="B23" s="74"/>
      <c r="C23" s="74"/>
      <c r="D23" s="74"/>
      <c r="E23" s="74"/>
      <c r="F23" s="74"/>
      <c r="G23" s="74"/>
      <c r="H23" s="74"/>
      <c r="I23" s="74"/>
      <c r="J23" s="74"/>
      <c r="K23" s="74"/>
      <c r="L23" s="74" t="s">
        <v>399</v>
      </c>
      <c r="M23" s="77">
        <f>'Tabel 1.1'!B21</f>
        <v>9365</v>
      </c>
      <c r="N23" s="77"/>
      <c r="O23" s="74"/>
    </row>
    <row r="24" spans="1:15" x14ac:dyDescent="0.3">
      <c r="A24" s="74"/>
      <c r="B24" s="74"/>
      <c r="C24" s="74"/>
      <c r="D24" s="74"/>
      <c r="E24" s="74"/>
      <c r="F24" s="74"/>
      <c r="G24" s="74"/>
      <c r="H24" s="74"/>
      <c r="I24" s="74"/>
      <c r="J24" s="74"/>
      <c r="K24" s="74"/>
      <c r="L24" s="74" t="s">
        <v>65</v>
      </c>
      <c r="M24" s="77">
        <f>'Tabel 1.1'!B25</f>
        <v>640623</v>
      </c>
      <c r="N24" s="77">
        <f>'Tabel 1.1'!C25</f>
        <v>636134.2522279151</v>
      </c>
      <c r="O24" s="74"/>
    </row>
    <row r="25" spans="1:15" x14ac:dyDescent="0.3">
      <c r="A25" s="74"/>
      <c r="B25" s="74"/>
      <c r="C25" s="74"/>
      <c r="D25" s="74"/>
      <c r="E25" s="74"/>
      <c r="F25" s="74"/>
      <c r="G25" s="74"/>
      <c r="H25" s="74"/>
      <c r="I25" s="74"/>
      <c r="J25" s="74"/>
      <c r="K25" s="74"/>
      <c r="L25" s="74" t="s">
        <v>66</v>
      </c>
      <c r="M25" s="77">
        <f>'Tabel 1.1'!B26</f>
        <v>823365</v>
      </c>
      <c r="N25" s="77">
        <f>'Tabel 1.1'!C26</f>
        <v>1184750</v>
      </c>
      <c r="O25" s="74"/>
    </row>
    <row r="26" spans="1:15" s="141" customFormat="1" x14ac:dyDescent="0.3">
      <c r="A26" s="74"/>
      <c r="B26" s="74"/>
      <c r="C26" s="74"/>
      <c r="D26" s="74"/>
      <c r="E26" s="74"/>
      <c r="F26" s="74"/>
      <c r="G26" s="74"/>
      <c r="H26" s="74"/>
      <c r="I26" s="74"/>
      <c r="J26" s="74"/>
      <c r="K26" s="74"/>
      <c r="L26" s="74" t="s">
        <v>388</v>
      </c>
      <c r="M26" s="77">
        <f>'Tabel 1.1'!B27</f>
        <v>212752.66328546518</v>
      </c>
      <c r="N26" s="77">
        <f>'Tabel 1.1'!C27</f>
        <v>216669.42148958714</v>
      </c>
      <c r="O26" s="74"/>
    </row>
    <row r="27" spans="1:15" x14ac:dyDescent="0.3">
      <c r="A27" s="74"/>
      <c r="B27" s="74"/>
      <c r="C27" s="74"/>
      <c r="D27" s="74"/>
      <c r="E27" s="74"/>
      <c r="F27" s="74"/>
      <c r="G27" s="74"/>
      <c r="H27" s="74"/>
      <c r="I27" s="74"/>
      <c r="J27" s="74"/>
      <c r="K27" s="74"/>
      <c r="L27" s="74" t="s">
        <v>67</v>
      </c>
      <c r="M27" s="77">
        <f>'Tabel 1.1'!B28</f>
        <v>267941.32840000006</v>
      </c>
      <c r="N27" s="77">
        <f>'Tabel 1.1'!C28</f>
        <v>264029.16310000001</v>
      </c>
      <c r="O27" s="74"/>
    </row>
    <row r="28" spans="1:15" x14ac:dyDescent="0.3">
      <c r="A28" s="74"/>
      <c r="B28" s="74"/>
      <c r="C28" s="74"/>
      <c r="D28" s="74"/>
      <c r="E28" s="74"/>
      <c r="F28" s="74"/>
      <c r="G28" s="74"/>
      <c r="H28" s="74"/>
      <c r="I28" s="74"/>
      <c r="J28" s="74"/>
      <c r="K28" s="74"/>
      <c r="L28" s="74" t="s">
        <v>68</v>
      </c>
      <c r="M28" s="77">
        <f>'Tabel 1.1'!B29</f>
        <v>2282188.585</v>
      </c>
      <c r="N28" s="77">
        <f>'Tabel 1.1'!C29</f>
        <v>2162321.1750000003</v>
      </c>
    </row>
    <row r="29" spans="1:15" x14ac:dyDescent="0.3">
      <c r="A29" s="74"/>
      <c r="B29" s="74"/>
      <c r="C29" s="74"/>
      <c r="D29" s="74"/>
      <c r="E29" s="74"/>
      <c r="F29" s="74"/>
      <c r="G29" s="74"/>
      <c r="H29" s="74"/>
      <c r="I29" s="74"/>
      <c r="J29" s="74"/>
      <c r="K29" s="74"/>
      <c r="L29" s="74" t="s">
        <v>69</v>
      </c>
      <c r="M29" s="77">
        <f>'Tabel 1.1'!B30</f>
        <v>364</v>
      </c>
      <c r="N29" s="77">
        <f>'Tabel 1.1'!C30</f>
        <v>319</v>
      </c>
    </row>
    <row r="30" spans="1:15" x14ac:dyDescent="0.3">
      <c r="A30" s="74"/>
      <c r="B30" s="74"/>
      <c r="C30" s="74"/>
      <c r="D30" s="74"/>
      <c r="E30" s="74"/>
      <c r="F30" s="74"/>
      <c r="G30" s="74"/>
      <c r="H30" s="74"/>
      <c r="I30" s="74"/>
      <c r="J30" s="74"/>
      <c r="K30" s="74"/>
      <c r="L30" s="74" t="s">
        <v>70</v>
      </c>
      <c r="M30" s="77">
        <f>'Tabel 1.1'!B31</f>
        <v>519007.69999999995</v>
      </c>
      <c r="N30" s="77">
        <f>'Tabel 1.1'!C31</f>
        <v>546669.5</v>
      </c>
    </row>
    <row r="31" spans="1:15" x14ac:dyDescent="0.3">
      <c r="A31" s="75" t="s">
        <v>415</v>
      </c>
      <c r="B31" s="74"/>
      <c r="C31" s="74"/>
      <c r="D31" s="74"/>
      <c r="E31" s="74"/>
      <c r="F31" s="74"/>
      <c r="G31" s="74"/>
      <c r="H31" s="74"/>
      <c r="I31" s="79"/>
      <c r="J31" s="74"/>
      <c r="K31" s="74"/>
      <c r="L31" s="74" t="s">
        <v>407</v>
      </c>
      <c r="M31" s="77">
        <f>'Tabel 1.1'!B32</f>
        <v>1478</v>
      </c>
      <c r="N31" s="77">
        <f>'Tabel 1.1'!C32</f>
        <v>2114</v>
      </c>
    </row>
    <row r="32" spans="1:15" x14ac:dyDescent="0.3">
      <c r="B32" s="74"/>
      <c r="C32" s="74"/>
      <c r="D32" s="74"/>
      <c r="E32" s="74"/>
      <c r="F32" s="74"/>
      <c r="G32" s="74"/>
      <c r="H32" s="74"/>
      <c r="I32" s="74"/>
      <c r="J32" s="74"/>
      <c r="K32" s="74"/>
      <c r="L32" s="74" t="s">
        <v>424</v>
      </c>
      <c r="M32" s="77"/>
      <c r="N32" s="77">
        <f>'Tabel 1.1'!C33</f>
        <v>868</v>
      </c>
    </row>
    <row r="33" spans="1:15" x14ac:dyDescent="0.3">
      <c r="B33" s="74"/>
      <c r="C33" s="74"/>
      <c r="D33" s="74"/>
      <c r="E33" s="74"/>
      <c r="F33" s="74"/>
      <c r="G33" s="74"/>
      <c r="H33" s="74"/>
      <c r="I33" s="74"/>
      <c r="J33" s="74"/>
      <c r="K33" s="74"/>
    </row>
    <row r="34" spans="1:15" x14ac:dyDescent="0.3">
      <c r="A34" s="74"/>
      <c r="B34" s="74"/>
      <c r="C34" s="74"/>
      <c r="D34" s="74"/>
      <c r="E34" s="74"/>
      <c r="F34" s="74"/>
      <c r="G34" s="74"/>
      <c r="H34" s="74"/>
      <c r="I34" s="74"/>
      <c r="J34" s="74"/>
      <c r="K34" s="74"/>
      <c r="L34" s="74" t="s">
        <v>53</v>
      </c>
    </row>
    <row r="35" spans="1:15" x14ac:dyDescent="0.3">
      <c r="A35" s="74"/>
      <c r="B35" s="74"/>
      <c r="C35" s="74"/>
      <c r="D35" s="74"/>
      <c r="E35" s="74"/>
      <c r="F35" s="74"/>
      <c r="G35" s="74"/>
      <c r="H35" s="74"/>
      <c r="I35" s="74"/>
      <c r="J35" s="74"/>
      <c r="K35" s="74"/>
      <c r="L35" s="74" t="s">
        <v>1</v>
      </c>
    </row>
    <row r="36" spans="1:15" x14ac:dyDescent="0.3">
      <c r="A36" s="74"/>
      <c r="B36" s="74"/>
      <c r="C36" s="74"/>
      <c r="D36" s="74"/>
      <c r="E36" s="74"/>
      <c r="F36" s="74"/>
      <c r="G36" s="74"/>
      <c r="H36" s="74"/>
      <c r="I36" s="74"/>
      <c r="J36" s="74"/>
      <c r="K36" s="74"/>
      <c r="M36" s="74">
        <f>M7</f>
        <v>2021</v>
      </c>
      <c r="N36" s="74">
        <f>N7</f>
        <v>2022</v>
      </c>
    </row>
    <row r="37" spans="1:15" x14ac:dyDescent="0.3">
      <c r="A37" s="74"/>
      <c r="B37" s="74"/>
      <c r="C37" s="74"/>
      <c r="D37" s="74"/>
      <c r="E37" s="74"/>
      <c r="F37" s="74"/>
      <c r="G37" s="74"/>
      <c r="H37" s="74"/>
      <c r="I37" s="74"/>
      <c r="J37" s="74"/>
      <c r="K37" s="74"/>
      <c r="L37" s="79" t="s">
        <v>54</v>
      </c>
      <c r="M37" s="78">
        <f>'Tabel 1.1'!B37</f>
        <v>605624.35699999996</v>
      </c>
      <c r="N37" s="78">
        <f>'Tabel 1.1'!C37</f>
        <v>614205.69200000004</v>
      </c>
    </row>
    <row r="38" spans="1:15" x14ac:dyDescent="0.3">
      <c r="A38" s="74"/>
      <c r="B38" s="74"/>
      <c r="C38" s="74"/>
      <c r="D38" s="74"/>
      <c r="E38" s="74"/>
      <c r="F38" s="74"/>
      <c r="G38" s="74"/>
      <c r="H38" s="74"/>
      <c r="I38" s="74"/>
      <c r="J38" s="74"/>
      <c r="K38" s="74"/>
      <c r="L38" s="74" t="s">
        <v>55</v>
      </c>
      <c r="M38" s="78">
        <f>'Tabel 1.1'!B38</f>
        <v>2864053.5292500001</v>
      </c>
      <c r="N38" s="78">
        <f>'Tabel 1.1'!C38</f>
        <v>2905848.0100999996</v>
      </c>
    </row>
    <row r="39" spans="1:15" x14ac:dyDescent="0.3">
      <c r="A39" s="74"/>
      <c r="B39" s="74"/>
      <c r="C39" s="74"/>
      <c r="D39" s="74"/>
      <c r="E39" s="74"/>
      <c r="F39" s="74"/>
      <c r="G39" s="74"/>
      <c r="H39" s="74"/>
      <c r="I39" s="74"/>
      <c r="J39" s="74"/>
      <c r="K39" s="74"/>
      <c r="L39" s="74" t="s">
        <v>57</v>
      </c>
      <c r="M39" s="78">
        <f>'Tabel 1.1'!B39</f>
        <v>0</v>
      </c>
      <c r="N39" s="78">
        <f>'Tabel 1.1'!C39</f>
        <v>0</v>
      </c>
    </row>
    <row r="40" spans="1:15" x14ac:dyDescent="0.3">
      <c r="A40" s="74"/>
      <c r="B40" s="74"/>
      <c r="C40" s="74"/>
      <c r="D40" s="74"/>
      <c r="E40" s="74"/>
      <c r="F40" s="74"/>
      <c r="G40" s="74"/>
      <c r="H40" s="74"/>
      <c r="I40" s="74"/>
      <c r="J40" s="74"/>
      <c r="K40" s="74"/>
      <c r="L40" s="79" t="s">
        <v>60</v>
      </c>
      <c r="M40" s="78">
        <f>'Tabel 1.1'!B40</f>
        <v>917875</v>
      </c>
      <c r="N40" s="78">
        <f>'Tabel 1.1'!C40</f>
        <v>1002999</v>
      </c>
    </row>
    <row r="41" spans="1:15" x14ac:dyDescent="0.3">
      <c r="A41" s="74"/>
      <c r="B41" s="74"/>
      <c r="C41" s="74"/>
      <c r="D41" s="74"/>
      <c r="E41" s="74"/>
      <c r="F41" s="74"/>
      <c r="G41" s="74"/>
      <c r="H41" s="74"/>
      <c r="I41" s="74"/>
      <c r="J41" s="74"/>
      <c r="K41" s="74"/>
      <c r="L41" s="74" t="s">
        <v>63</v>
      </c>
      <c r="M41" s="78">
        <f>'Tabel 1.1'!B41</f>
        <v>13768.486000000001</v>
      </c>
      <c r="N41" s="78">
        <f>'Tabel 1.1'!C41</f>
        <v>7778.8180000000002</v>
      </c>
      <c r="O41" s="74"/>
    </row>
    <row r="42" spans="1:15" x14ac:dyDescent="0.3">
      <c r="A42" s="74"/>
      <c r="B42" s="74"/>
      <c r="C42" s="74"/>
      <c r="D42" s="74"/>
      <c r="E42" s="74"/>
      <c r="F42" s="74"/>
      <c r="G42" s="74"/>
      <c r="H42" s="74"/>
      <c r="I42" s="74"/>
      <c r="J42" s="74"/>
      <c r="K42" s="74"/>
      <c r="L42" s="79" t="s">
        <v>65</v>
      </c>
      <c r="M42" s="78">
        <f>'Tabel 1.1'!B42</f>
        <v>4591987.8017199999</v>
      </c>
      <c r="N42" s="78">
        <f>'Tabel 1.1'!C42</f>
        <v>4270850.2935300004</v>
      </c>
      <c r="O42" s="74"/>
    </row>
    <row r="43" spans="1:15" x14ac:dyDescent="0.3">
      <c r="A43" s="74"/>
      <c r="B43" s="74"/>
      <c r="C43" s="74"/>
      <c r="D43" s="74"/>
      <c r="E43" s="74"/>
      <c r="F43" s="74"/>
      <c r="G43" s="74"/>
      <c r="H43" s="74"/>
      <c r="I43" s="74"/>
      <c r="J43" s="74"/>
      <c r="K43" s="74"/>
      <c r="L43" s="79" t="s">
        <v>71</v>
      </c>
      <c r="M43" s="78">
        <f>'Tabel 1.1'!B43</f>
        <v>43468.250899999999</v>
      </c>
      <c r="N43" s="78">
        <f>'Tabel 1.1'!C43</f>
        <v>31910.574619999999</v>
      </c>
      <c r="O43" s="74"/>
    </row>
    <row r="44" spans="1:15" x14ac:dyDescent="0.3">
      <c r="A44" s="74"/>
      <c r="B44" s="74"/>
      <c r="C44" s="74"/>
      <c r="D44" s="74"/>
      <c r="E44" s="74"/>
      <c r="F44" s="74"/>
      <c r="G44" s="74"/>
      <c r="H44" s="74"/>
      <c r="I44" s="74"/>
      <c r="J44" s="74"/>
      <c r="K44" s="74"/>
      <c r="L44" s="79" t="s">
        <v>67</v>
      </c>
      <c r="M44" s="78">
        <f>'Tabel 1.1'!B44</f>
        <v>1354315.19411</v>
      </c>
      <c r="N44" s="78">
        <f>'Tabel 1.1'!C44</f>
        <v>1509638.1021500002</v>
      </c>
      <c r="O44" s="74"/>
    </row>
    <row r="45" spans="1:15" x14ac:dyDescent="0.3">
      <c r="A45" s="74"/>
      <c r="B45" s="74"/>
      <c r="C45" s="74"/>
      <c r="D45" s="74"/>
      <c r="E45" s="74"/>
      <c r="F45" s="74"/>
      <c r="G45" s="74"/>
      <c r="H45" s="74"/>
      <c r="I45" s="74"/>
      <c r="J45" s="74"/>
      <c r="K45" s="74"/>
      <c r="L45" s="79" t="s">
        <v>72</v>
      </c>
      <c r="M45" s="78">
        <f>'Tabel 1.1'!B45</f>
        <v>3478515.0109999999</v>
      </c>
      <c r="N45" s="78">
        <f>'Tabel 1.1'!C45</f>
        <v>3267123.5039999997</v>
      </c>
      <c r="O45" s="74"/>
    </row>
    <row r="46" spans="1:15" x14ac:dyDescent="0.3">
      <c r="A46" s="74"/>
      <c r="B46" s="74"/>
      <c r="C46" s="74"/>
      <c r="D46" s="74"/>
      <c r="E46" s="74"/>
      <c r="F46" s="74"/>
      <c r="G46" s="74"/>
      <c r="H46" s="74"/>
      <c r="I46" s="74"/>
      <c r="J46" s="74"/>
      <c r="K46" s="74"/>
      <c r="L46" s="79"/>
      <c r="M46" s="78"/>
      <c r="N46" s="78"/>
      <c r="O46" s="74"/>
    </row>
    <row r="47" spans="1:15" x14ac:dyDescent="0.3">
      <c r="A47" s="74"/>
      <c r="B47" s="74"/>
      <c r="C47" s="74"/>
      <c r="D47" s="74"/>
      <c r="E47" s="74"/>
      <c r="F47" s="74"/>
      <c r="G47" s="74"/>
      <c r="H47" s="74"/>
      <c r="I47" s="74"/>
      <c r="J47" s="74"/>
      <c r="K47" s="74"/>
      <c r="M47" s="77"/>
      <c r="N47" s="77"/>
      <c r="O47" s="74"/>
    </row>
    <row r="48" spans="1:15" x14ac:dyDescent="0.3">
      <c r="A48" s="74"/>
      <c r="B48" s="74"/>
      <c r="C48" s="74"/>
      <c r="D48" s="74"/>
      <c r="E48" s="74"/>
      <c r="F48" s="74"/>
      <c r="G48" s="74"/>
      <c r="H48" s="74"/>
      <c r="I48" s="74"/>
      <c r="J48" s="74"/>
      <c r="K48" s="74"/>
      <c r="M48" s="77"/>
      <c r="N48" s="77"/>
      <c r="O48" s="74"/>
    </row>
    <row r="49" spans="1:15" x14ac:dyDescent="0.3">
      <c r="A49" s="74"/>
      <c r="B49" s="74"/>
      <c r="C49" s="74"/>
      <c r="D49" s="74"/>
      <c r="E49" s="74"/>
      <c r="F49" s="74"/>
      <c r="G49" s="74"/>
      <c r="H49" s="74"/>
      <c r="I49" s="74"/>
      <c r="J49" s="74"/>
      <c r="K49" s="74"/>
      <c r="M49" s="77"/>
      <c r="N49" s="77"/>
      <c r="O49" s="74"/>
    </row>
    <row r="50" spans="1:15" x14ac:dyDescent="0.3">
      <c r="A50" s="74"/>
      <c r="B50" s="74"/>
      <c r="C50" s="74"/>
      <c r="D50" s="74"/>
      <c r="E50" s="74"/>
      <c r="F50" s="74"/>
      <c r="G50" s="74"/>
      <c r="H50" s="74"/>
      <c r="I50" s="74"/>
      <c r="J50" s="74"/>
      <c r="K50" s="74"/>
      <c r="M50" s="77"/>
      <c r="N50" s="77"/>
      <c r="O50" s="74"/>
    </row>
    <row r="51" spans="1:15" x14ac:dyDescent="0.3">
      <c r="A51" s="74"/>
      <c r="B51" s="74"/>
      <c r="C51" s="74"/>
      <c r="D51" s="74"/>
      <c r="E51" s="74"/>
      <c r="F51" s="74"/>
      <c r="G51" s="74"/>
      <c r="H51" s="74"/>
      <c r="I51" s="74"/>
      <c r="J51" s="74"/>
      <c r="K51" s="74"/>
      <c r="O51" s="74"/>
    </row>
    <row r="52" spans="1:15" x14ac:dyDescent="0.3">
      <c r="A52" s="74"/>
      <c r="B52" s="74"/>
      <c r="C52" s="74"/>
      <c r="D52" s="74"/>
      <c r="E52" s="74"/>
      <c r="F52" s="74"/>
      <c r="G52" s="74"/>
      <c r="H52" s="74"/>
      <c r="I52" s="74"/>
      <c r="J52" s="74"/>
      <c r="K52" s="74"/>
      <c r="O52" s="74"/>
    </row>
    <row r="53" spans="1:15" x14ac:dyDescent="0.3">
      <c r="A53" s="74"/>
      <c r="B53" s="74"/>
      <c r="C53" s="74"/>
      <c r="D53" s="74"/>
      <c r="E53" s="74"/>
      <c r="F53" s="74"/>
      <c r="G53" s="74"/>
      <c r="H53" s="74"/>
      <c r="I53" s="74"/>
      <c r="J53" s="74"/>
      <c r="K53" s="74"/>
      <c r="O53" s="74"/>
    </row>
    <row r="54" spans="1:15" x14ac:dyDescent="0.3">
      <c r="A54" s="74"/>
      <c r="B54" s="74"/>
      <c r="C54" s="74"/>
      <c r="D54" s="74"/>
      <c r="E54" s="74"/>
      <c r="F54" s="74"/>
      <c r="G54" s="74"/>
      <c r="H54" s="74"/>
      <c r="I54" s="74"/>
      <c r="J54" s="74"/>
      <c r="K54" s="74"/>
      <c r="L54" s="74" t="s">
        <v>73</v>
      </c>
      <c r="O54" s="74"/>
    </row>
    <row r="55" spans="1:15" x14ac:dyDescent="0.3">
      <c r="A55" s="74"/>
      <c r="B55" s="74"/>
      <c r="C55" s="74"/>
      <c r="D55" s="74"/>
      <c r="E55" s="74"/>
      <c r="F55" s="74"/>
      <c r="G55" s="74"/>
      <c r="H55" s="74"/>
      <c r="I55" s="74"/>
      <c r="J55" s="74"/>
      <c r="K55" s="74"/>
      <c r="L55" s="74" t="s">
        <v>0</v>
      </c>
      <c r="O55" s="74"/>
    </row>
    <row r="56" spans="1:15" x14ac:dyDescent="0.3">
      <c r="A56" s="75" t="s">
        <v>416</v>
      </c>
      <c r="B56" s="74"/>
      <c r="C56" s="74"/>
      <c r="D56" s="74"/>
      <c r="E56" s="74"/>
      <c r="F56" s="74"/>
      <c r="G56" s="74"/>
      <c r="H56" s="74"/>
      <c r="I56" s="79"/>
      <c r="J56" s="74"/>
      <c r="K56" s="74"/>
      <c r="M56" s="74">
        <f>M7</f>
        <v>2021</v>
      </c>
      <c r="N56" s="74">
        <f>N7</f>
        <v>2022</v>
      </c>
      <c r="O56" s="74"/>
    </row>
    <row r="57" spans="1:15" x14ac:dyDescent="0.3">
      <c r="A57" s="74"/>
      <c r="B57" s="74"/>
      <c r="C57" s="74"/>
      <c r="D57" s="74"/>
      <c r="E57" s="74"/>
      <c r="F57" s="74"/>
      <c r="G57" s="74"/>
      <c r="H57" s="74"/>
      <c r="I57" s="74"/>
      <c r="J57" s="74"/>
      <c r="K57" s="74"/>
      <c r="L57" s="74" t="s">
        <v>411</v>
      </c>
      <c r="M57" s="77">
        <f>'Tabel 1.1'!G9</f>
        <v>0</v>
      </c>
      <c r="N57" s="77">
        <f>'Tabel 1.1'!H9</f>
        <v>0</v>
      </c>
      <c r="O57" s="74"/>
    </row>
    <row r="58" spans="1:15" x14ac:dyDescent="0.3">
      <c r="A58" s="74"/>
      <c r="B58" s="74"/>
      <c r="C58" s="74"/>
      <c r="D58" s="74"/>
      <c r="E58" s="74"/>
      <c r="F58" s="74"/>
      <c r="G58" s="74"/>
      <c r="H58" s="74"/>
      <c r="I58" s="74"/>
      <c r="J58" s="74"/>
      <c r="K58" s="74"/>
      <c r="L58" s="74" t="s">
        <v>54</v>
      </c>
      <c r="M58" s="77">
        <f>'Tabel 1.1'!G10</f>
        <v>1351956.0279999999</v>
      </c>
      <c r="N58" s="77">
        <f>'Tabel 1.1'!H10</f>
        <v>1381543.8390000002</v>
      </c>
      <c r="O58" s="74"/>
    </row>
    <row r="59" spans="1:15" x14ac:dyDescent="0.3">
      <c r="A59" s="74"/>
      <c r="B59" s="74"/>
      <c r="C59" s="74"/>
      <c r="D59" s="74"/>
      <c r="E59" s="74"/>
      <c r="F59" s="74"/>
      <c r="G59" s="74"/>
      <c r="H59" s="74"/>
      <c r="I59" s="74"/>
      <c r="J59" s="74"/>
      <c r="K59" s="74"/>
      <c r="L59" s="74" t="s">
        <v>55</v>
      </c>
      <c r="M59" s="77">
        <f>'Tabel 1.1'!G11</f>
        <v>196590138.16999999</v>
      </c>
      <c r="N59" s="77">
        <f>'Tabel 1.1'!H11</f>
        <v>192614629.3415657</v>
      </c>
      <c r="O59" s="74"/>
    </row>
    <row r="60" spans="1:15" x14ac:dyDescent="0.3">
      <c r="A60" s="74"/>
      <c r="B60" s="74"/>
      <c r="C60" s="74"/>
      <c r="D60" s="74"/>
      <c r="E60" s="74"/>
      <c r="F60" s="74"/>
      <c r="G60" s="74"/>
      <c r="H60" s="74"/>
      <c r="I60" s="74"/>
      <c r="J60" s="74"/>
      <c r="K60" s="74"/>
      <c r="L60" s="74" t="s">
        <v>56</v>
      </c>
      <c r="M60" s="77">
        <f>'Tabel 1.1'!G12</f>
        <v>0</v>
      </c>
      <c r="N60" s="77">
        <f>'Tabel 1.1'!H12</f>
        <v>0</v>
      </c>
      <c r="O60" s="74"/>
    </row>
    <row r="61" spans="1:15" x14ac:dyDescent="0.3">
      <c r="A61" s="74"/>
      <c r="B61" s="74"/>
      <c r="C61" s="74"/>
      <c r="D61" s="74"/>
      <c r="E61" s="74"/>
      <c r="F61" s="74"/>
      <c r="G61" s="74"/>
      <c r="H61" s="74"/>
      <c r="I61" s="74"/>
      <c r="J61" s="74"/>
      <c r="K61" s="74"/>
      <c r="L61" s="74" t="s">
        <v>412</v>
      </c>
      <c r="M61" s="77">
        <f>'Tabel 1.1'!G13</f>
        <v>0</v>
      </c>
      <c r="N61" s="77">
        <f>'Tabel 1.1'!H13</f>
        <v>0</v>
      </c>
      <c r="O61" s="74"/>
    </row>
    <row r="62" spans="1:15" x14ac:dyDescent="0.3">
      <c r="A62" s="74"/>
      <c r="B62" s="74"/>
      <c r="C62" s="74"/>
      <c r="D62" s="74"/>
      <c r="E62" s="74"/>
      <c r="F62" s="74"/>
      <c r="G62" s="74"/>
      <c r="H62" s="74"/>
      <c r="I62" s="74"/>
      <c r="J62" s="74"/>
      <c r="K62" s="74"/>
      <c r="L62" s="74" t="s">
        <v>397</v>
      </c>
      <c r="M62" s="77">
        <f>'Tabel 1.1'!G14</f>
        <v>3914911.94576</v>
      </c>
      <c r="N62" s="77">
        <f>'Tabel 1.1'!H14</f>
        <v>4438692.9528400004</v>
      </c>
      <c r="O62" s="74"/>
    </row>
    <row r="63" spans="1:15" x14ac:dyDescent="0.3">
      <c r="A63" s="74"/>
      <c r="B63" s="74"/>
      <c r="C63" s="74"/>
      <c r="D63" s="74"/>
      <c r="E63" s="74"/>
      <c r="F63" s="74"/>
      <c r="G63" s="74"/>
      <c r="H63" s="74"/>
      <c r="I63" s="74"/>
      <c r="J63" s="74"/>
      <c r="K63" s="74"/>
      <c r="L63" s="74" t="s">
        <v>57</v>
      </c>
      <c r="M63" s="77">
        <f>'Tabel 1.1'!G15</f>
        <v>1220716</v>
      </c>
      <c r="N63" s="77">
        <f>'Tabel 1.1'!H15</f>
        <v>1439347</v>
      </c>
      <c r="O63" s="74"/>
    </row>
    <row r="64" spans="1:15" x14ac:dyDescent="0.3">
      <c r="A64" s="74"/>
      <c r="B64" s="74"/>
      <c r="C64" s="74"/>
      <c r="D64" s="74"/>
      <c r="E64" s="74"/>
      <c r="F64" s="74"/>
      <c r="G64" s="74"/>
      <c r="H64" s="74"/>
      <c r="I64" s="74"/>
      <c r="J64" s="74"/>
      <c r="K64" s="74"/>
      <c r="L64" s="74" t="s">
        <v>59</v>
      </c>
      <c r="M64" s="77">
        <f>'Tabel 1.1'!G16</f>
        <v>0</v>
      </c>
      <c r="N64" s="77">
        <f>'Tabel 1.1'!H16</f>
        <v>0</v>
      </c>
      <c r="O64" s="74"/>
    </row>
    <row r="65" spans="1:15" x14ac:dyDescent="0.3">
      <c r="A65" s="74"/>
      <c r="B65" s="74"/>
      <c r="C65" s="74"/>
      <c r="D65" s="74"/>
      <c r="E65" s="74"/>
      <c r="F65" s="74"/>
      <c r="G65" s="74"/>
      <c r="H65" s="74"/>
      <c r="I65" s="74"/>
      <c r="J65" s="74"/>
      <c r="K65" s="74"/>
      <c r="L65" s="74" t="s">
        <v>60</v>
      </c>
      <c r="M65" s="77">
        <f>'Tabel 1.1'!G18</f>
        <v>7864328</v>
      </c>
      <c r="N65" s="77">
        <f>'Tabel 1.1'!H18</f>
        <v>8469814</v>
      </c>
      <c r="O65" s="74"/>
    </row>
    <row r="66" spans="1:15" x14ac:dyDescent="0.3">
      <c r="A66" s="74"/>
      <c r="B66" s="74"/>
      <c r="C66" s="74"/>
      <c r="D66" s="74"/>
      <c r="E66" s="74"/>
      <c r="F66" s="74"/>
      <c r="G66" s="74"/>
      <c r="H66" s="74"/>
      <c r="I66" s="74"/>
      <c r="J66" s="74"/>
      <c r="K66" s="74"/>
      <c r="L66" s="74" t="s">
        <v>61</v>
      </c>
      <c r="M66" s="77">
        <f>'Tabel 1.1'!G19</f>
        <v>18807.375</v>
      </c>
      <c r="N66" s="77">
        <f>'Tabel 1.1'!H19</f>
        <v>22760.624</v>
      </c>
      <c r="O66" s="74"/>
    </row>
    <row r="67" spans="1:15" x14ac:dyDescent="0.3">
      <c r="A67" s="74"/>
      <c r="B67" s="74"/>
      <c r="C67" s="74"/>
      <c r="D67" s="74"/>
      <c r="E67" s="74"/>
      <c r="F67" s="74"/>
      <c r="G67" s="74"/>
      <c r="H67" s="74"/>
      <c r="I67" s="74"/>
      <c r="J67" s="74"/>
      <c r="K67" s="74"/>
      <c r="L67" s="74" t="s">
        <v>62</v>
      </c>
      <c r="M67" s="77">
        <f>'Tabel 1.1'!G20</f>
        <v>0</v>
      </c>
      <c r="N67" s="77">
        <f>'Tabel 1.1'!H20</f>
        <v>0</v>
      </c>
      <c r="O67" s="74"/>
    </row>
    <row r="68" spans="1:15" x14ac:dyDescent="0.3">
      <c r="A68" s="74"/>
      <c r="B68" s="74"/>
      <c r="C68" s="74"/>
      <c r="D68" s="74"/>
      <c r="E68" s="74"/>
      <c r="F68" s="74"/>
      <c r="G68" s="74"/>
      <c r="H68" s="74"/>
      <c r="I68" s="74"/>
      <c r="J68" s="74"/>
      <c r="K68" s="74"/>
      <c r="L68" s="74" t="s">
        <v>399</v>
      </c>
      <c r="M68" s="77">
        <f>'Tabel 1.1'!G21</f>
        <v>0</v>
      </c>
      <c r="N68" s="77"/>
      <c r="O68" s="74"/>
    </row>
    <row r="69" spans="1:15" x14ac:dyDescent="0.3">
      <c r="A69" s="74"/>
      <c r="B69" s="74"/>
      <c r="C69" s="74"/>
      <c r="D69" s="74"/>
      <c r="E69" s="74"/>
      <c r="F69" s="74"/>
      <c r="G69" s="74"/>
      <c r="H69" s="74"/>
      <c r="I69" s="74"/>
      <c r="J69" s="74"/>
      <c r="K69" s="74"/>
      <c r="L69" s="74" t="s">
        <v>63</v>
      </c>
      <c r="M69" s="77">
        <f>'Tabel 1.1'!G22</f>
        <v>532252570.11264002</v>
      </c>
      <c r="N69" s="77">
        <f>'Tabel 1.1'!H22</f>
        <v>641185711.48478997</v>
      </c>
      <c r="O69" s="74"/>
    </row>
    <row r="70" spans="1:15" x14ac:dyDescent="0.3">
      <c r="A70" s="74"/>
      <c r="B70" s="74"/>
      <c r="C70" s="74"/>
      <c r="D70" s="74"/>
      <c r="E70" s="74"/>
      <c r="F70" s="74"/>
      <c r="G70" s="74"/>
      <c r="H70" s="74"/>
      <c r="I70" s="74"/>
      <c r="J70" s="74"/>
      <c r="K70" s="74"/>
      <c r="L70" s="74" t="s">
        <v>64</v>
      </c>
      <c r="M70" s="77">
        <f>'Tabel 1.1'!G23</f>
        <v>61664.775000000001</v>
      </c>
      <c r="N70" s="77">
        <f>'Tabel 1.1'!H23</f>
        <v>84130.56700000001</v>
      </c>
      <c r="O70" s="74"/>
    </row>
    <row r="71" spans="1:15" x14ac:dyDescent="0.3">
      <c r="A71" s="74"/>
      <c r="B71" s="74"/>
      <c r="C71" s="74"/>
      <c r="D71" s="74"/>
      <c r="E71" s="74"/>
      <c r="F71" s="74"/>
      <c r="G71" s="74"/>
      <c r="H71" s="74"/>
      <c r="I71" s="74"/>
      <c r="J71" s="74"/>
      <c r="K71" s="74"/>
      <c r="L71" s="74" t="s">
        <v>410</v>
      </c>
      <c r="M71" s="77">
        <f>'Tabel 1.1'!G24</f>
        <v>0</v>
      </c>
      <c r="N71" s="77">
        <f>'Tabel 1.1'!H24</f>
        <v>0</v>
      </c>
      <c r="O71" s="74"/>
    </row>
    <row r="72" spans="1:15" x14ac:dyDescent="0.3">
      <c r="A72" s="74"/>
      <c r="B72" s="74"/>
      <c r="C72" s="74"/>
      <c r="D72" s="74"/>
      <c r="E72" s="74"/>
      <c r="F72" s="74"/>
      <c r="G72" s="74"/>
      <c r="H72" s="74"/>
      <c r="I72" s="74"/>
      <c r="J72" s="74"/>
      <c r="K72" s="74"/>
      <c r="L72" s="74" t="s">
        <v>65</v>
      </c>
      <c r="M72" s="77">
        <f>'Tabel 1.1'!G25</f>
        <v>54236300.000061981</v>
      </c>
      <c r="N72" s="77">
        <f>'Tabel 1.1'!H25</f>
        <v>56075290.000025906</v>
      </c>
      <c r="O72" s="74"/>
    </row>
    <row r="73" spans="1:15" x14ac:dyDescent="0.3">
      <c r="A73" s="74"/>
      <c r="B73" s="74"/>
      <c r="C73" s="74"/>
      <c r="D73" s="74"/>
      <c r="E73" s="74"/>
      <c r="F73" s="74"/>
      <c r="G73" s="74"/>
      <c r="H73" s="74"/>
      <c r="I73" s="74"/>
      <c r="J73" s="74"/>
      <c r="K73" s="74"/>
      <c r="L73" s="74" t="s">
        <v>66</v>
      </c>
      <c r="M73" s="77">
        <f>'Tabel 1.1'!G26</f>
        <v>84956302</v>
      </c>
      <c r="N73" s="77">
        <f>'Tabel 1.1'!H26</f>
        <v>82039593</v>
      </c>
      <c r="O73" s="74"/>
    </row>
    <row r="74" spans="1:15" x14ac:dyDescent="0.3">
      <c r="A74" s="74"/>
      <c r="B74" s="74"/>
      <c r="C74" s="74"/>
      <c r="D74" s="74"/>
      <c r="E74" s="74"/>
      <c r="F74" s="74"/>
      <c r="G74" s="74"/>
      <c r="H74" s="74"/>
      <c r="I74" s="74"/>
      <c r="J74" s="74"/>
      <c r="K74" s="74"/>
      <c r="L74" s="74" t="s">
        <v>67</v>
      </c>
      <c r="M74" s="77">
        <f>'Tabel 1.1'!G28</f>
        <v>19627923.643070001</v>
      </c>
      <c r="N74" s="77">
        <f>'Tabel 1.1'!H28</f>
        <v>20731745.61747</v>
      </c>
      <c r="O74" s="74"/>
    </row>
    <row r="75" spans="1:15" x14ac:dyDescent="0.3">
      <c r="A75" s="74"/>
      <c r="B75" s="74"/>
      <c r="C75" s="74"/>
      <c r="D75" s="74"/>
      <c r="E75" s="74"/>
      <c r="F75" s="74"/>
      <c r="G75" s="74"/>
      <c r="H75" s="74"/>
      <c r="I75" s="74"/>
      <c r="J75" s="74"/>
      <c r="K75" s="74"/>
      <c r="L75" s="74" t="s">
        <v>68</v>
      </c>
      <c r="M75" s="77">
        <f>'Tabel 1.1'!G29</f>
        <v>191597306.794</v>
      </c>
      <c r="N75" s="77">
        <f>'Tabel 1.1'!H29</f>
        <v>200579203.15599999</v>
      </c>
      <c r="O75" s="74"/>
    </row>
    <row r="76" spans="1:15" x14ac:dyDescent="0.3">
      <c r="A76" s="74"/>
      <c r="B76" s="74"/>
      <c r="C76" s="74"/>
      <c r="D76" s="74"/>
      <c r="E76" s="74"/>
      <c r="F76" s="74"/>
      <c r="G76" s="74"/>
      <c r="H76" s="74"/>
      <c r="I76" s="74"/>
      <c r="J76" s="74"/>
      <c r="K76" s="74"/>
      <c r="L76" s="74" t="s">
        <v>96</v>
      </c>
      <c r="M76" s="77">
        <f>'Tabel 1.1'!G30</f>
        <v>0</v>
      </c>
      <c r="N76" s="77">
        <f>'Tabel 1.1'!H30</f>
        <v>0</v>
      </c>
      <c r="O76" s="74"/>
    </row>
    <row r="77" spans="1:15" x14ac:dyDescent="0.3">
      <c r="A77" s="74"/>
      <c r="B77" s="74"/>
      <c r="C77" s="74"/>
      <c r="D77" s="74"/>
      <c r="E77" s="74"/>
      <c r="F77" s="74"/>
      <c r="G77" s="74"/>
      <c r="H77" s="74"/>
      <c r="I77" s="74"/>
      <c r="J77" s="74"/>
      <c r="K77" s="74"/>
      <c r="L77" s="74" t="s">
        <v>97</v>
      </c>
      <c r="M77" s="77">
        <f>'Tabel 1.1'!G31</f>
        <v>0</v>
      </c>
      <c r="N77" s="77">
        <f>'Tabel 1.1'!H31</f>
        <v>0</v>
      </c>
      <c r="O77" s="74"/>
    </row>
    <row r="78" spans="1:15" x14ac:dyDescent="0.3">
      <c r="A78" s="74"/>
      <c r="B78" s="74"/>
      <c r="C78" s="74"/>
      <c r="D78" s="74"/>
      <c r="E78" s="74"/>
      <c r="F78" s="74"/>
      <c r="G78" s="74"/>
      <c r="H78" s="74"/>
      <c r="I78" s="74"/>
      <c r="J78" s="74"/>
      <c r="K78" s="74"/>
      <c r="L78" s="74" t="s">
        <v>408</v>
      </c>
      <c r="M78" s="77">
        <f>'Tabel 1.1'!G32</f>
        <v>0</v>
      </c>
      <c r="N78" s="77">
        <f>'Tabel 1.1'!H32</f>
        <v>0</v>
      </c>
      <c r="O78" s="74"/>
    </row>
    <row r="79" spans="1:15" x14ac:dyDescent="0.3">
      <c r="A79" s="74"/>
      <c r="B79" s="74"/>
      <c r="C79" s="74"/>
      <c r="D79" s="74"/>
      <c r="E79" s="74"/>
      <c r="F79" s="74"/>
      <c r="G79" s="74"/>
      <c r="H79" s="74"/>
      <c r="I79" s="74"/>
      <c r="J79" s="74"/>
      <c r="K79" s="74"/>
      <c r="L79" s="74" t="s">
        <v>424</v>
      </c>
      <c r="M79" s="77"/>
      <c r="N79" s="77">
        <f>'Tabel 1.1'!H33</f>
        <v>837</v>
      </c>
      <c r="O79" s="74"/>
    </row>
    <row r="80" spans="1:15" x14ac:dyDescent="0.3">
      <c r="A80" s="75" t="s">
        <v>417</v>
      </c>
      <c r="B80" s="74"/>
      <c r="C80" s="74"/>
      <c r="D80" s="74"/>
      <c r="E80" s="74"/>
      <c r="F80" s="74"/>
      <c r="G80" s="74"/>
      <c r="H80" s="74"/>
      <c r="I80" s="79"/>
      <c r="J80" s="74"/>
      <c r="K80" s="74"/>
      <c r="O80" s="74"/>
    </row>
    <row r="81" spans="1:15" x14ac:dyDescent="0.3">
      <c r="B81" s="74"/>
      <c r="C81" s="74"/>
      <c r="D81" s="74"/>
      <c r="E81" s="74"/>
      <c r="F81" s="74"/>
      <c r="G81" s="74"/>
      <c r="H81" s="74"/>
      <c r="I81" s="74"/>
      <c r="J81" s="74"/>
      <c r="K81" s="74"/>
      <c r="L81" s="74" t="s">
        <v>73</v>
      </c>
      <c r="O81" s="74"/>
    </row>
    <row r="82" spans="1:15" x14ac:dyDescent="0.3">
      <c r="A82" s="74"/>
      <c r="B82" s="74"/>
      <c r="C82" s="74"/>
      <c r="D82" s="74"/>
      <c r="E82" s="74"/>
      <c r="F82" s="74"/>
      <c r="G82" s="74"/>
      <c r="H82" s="74"/>
      <c r="I82" s="74"/>
      <c r="J82" s="74"/>
      <c r="K82" s="74"/>
      <c r="L82" s="74" t="s">
        <v>1</v>
      </c>
      <c r="O82" s="74"/>
    </row>
    <row r="83" spans="1:15" x14ac:dyDescent="0.3">
      <c r="A83" s="74"/>
      <c r="B83" s="74"/>
      <c r="C83" s="74"/>
      <c r="D83" s="74"/>
      <c r="E83" s="74"/>
      <c r="F83" s="74"/>
      <c r="G83" s="74"/>
      <c r="H83" s="74"/>
      <c r="I83" s="74"/>
      <c r="J83" s="74"/>
      <c r="K83" s="74"/>
      <c r="M83" s="74">
        <f>M7</f>
        <v>2021</v>
      </c>
      <c r="N83" s="74">
        <f>N7</f>
        <v>2022</v>
      </c>
      <c r="O83" s="74"/>
    </row>
    <row r="84" spans="1:15" x14ac:dyDescent="0.3">
      <c r="A84" s="74"/>
      <c r="B84" s="74"/>
      <c r="C84" s="74"/>
      <c r="D84" s="74"/>
      <c r="E84" s="74"/>
      <c r="F84" s="74"/>
      <c r="G84" s="74"/>
      <c r="H84" s="74"/>
      <c r="I84" s="74"/>
      <c r="J84" s="74"/>
      <c r="K84" s="74"/>
      <c r="L84" s="74" t="s">
        <v>54</v>
      </c>
      <c r="M84" s="77">
        <f>'Tabel 1.1'!G37</f>
        <v>25191577.335999999</v>
      </c>
      <c r="N84" s="77">
        <f>'Tabel 1.1'!H37</f>
        <v>28240109.531000003</v>
      </c>
      <c r="O84" s="74"/>
    </row>
    <row r="85" spans="1:15" x14ac:dyDescent="0.3">
      <c r="B85" s="74"/>
      <c r="C85" s="74"/>
      <c r="D85" s="74"/>
      <c r="E85" s="74"/>
      <c r="F85" s="74"/>
      <c r="G85" s="74"/>
      <c r="H85" s="74"/>
      <c r="I85" s="74"/>
      <c r="J85" s="74"/>
      <c r="K85" s="74"/>
      <c r="L85" s="74" t="s">
        <v>55</v>
      </c>
      <c r="M85" s="77">
        <f>'Tabel 1.1'!G38</f>
        <v>122659439.22629599</v>
      </c>
      <c r="N85" s="77">
        <f>'Tabel 1.1'!H38</f>
        <v>137360760.34</v>
      </c>
      <c r="O85" s="74"/>
    </row>
    <row r="86" spans="1:15" x14ac:dyDescent="0.3">
      <c r="B86" s="74"/>
      <c r="C86" s="74"/>
      <c r="D86" s="74"/>
      <c r="E86" s="74"/>
      <c r="F86" s="74"/>
      <c r="G86" s="74"/>
      <c r="H86" s="74"/>
      <c r="I86" s="74"/>
      <c r="J86" s="74"/>
      <c r="K86" s="74"/>
      <c r="L86" s="74" t="s">
        <v>57</v>
      </c>
      <c r="M86" s="77">
        <f>'Tabel 1.1'!G39</f>
        <v>0</v>
      </c>
      <c r="N86" s="77">
        <f>'Tabel 1.1'!H39</f>
        <v>0</v>
      </c>
      <c r="O86" s="74"/>
    </row>
    <row r="87" spans="1:15" x14ac:dyDescent="0.3">
      <c r="B87" s="74"/>
      <c r="C87" s="74"/>
      <c r="D87" s="74"/>
      <c r="E87" s="74"/>
      <c r="F87" s="74"/>
      <c r="G87" s="74"/>
      <c r="H87" s="74"/>
      <c r="I87" s="74"/>
      <c r="J87" s="74"/>
      <c r="K87" s="74"/>
      <c r="L87" s="79" t="s">
        <v>60</v>
      </c>
      <c r="M87" s="77">
        <f>'Tabel 1.1'!G40</f>
        <v>36333371</v>
      </c>
      <c r="N87" s="77">
        <f>'Tabel 1.1'!H40</f>
        <v>42719338</v>
      </c>
      <c r="O87" s="74"/>
    </row>
    <row r="88" spans="1:15" x14ac:dyDescent="0.3">
      <c r="B88" s="74"/>
      <c r="C88" s="74"/>
      <c r="D88" s="74"/>
      <c r="E88" s="74"/>
      <c r="F88" s="74"/>
      <c r="G88" s="74"/>
      <c r="H88" s="74"/>
      <c r="I88" s="74"/>
      <c r="J88" s="74"/>
      <c r="K88" s="74"/>
      <c r="L88" s="74" t="s">
        <v>63</v>
      </c>
      <c r="M88" s="77">
        <f>'Tabel 1.1'!G41</f>
        <v>2073544.89796</v>
      </c>
      <c r="N88" s="77">
        <f>'Tabel 1.1'!H41</f>
        <v>2847329.1389299999</v>
      </c>
      <c r="O88" s="74"/>
    </row>
    <row r="89" spans="1:15" x14ac:dyDescent="0.3">
      <c r="B89" s="74"/>
      <c r="C89" s="74"/>
      <c r="D89" s="74"/>
      <c r="E89" s="74"/>
      <c r="F89" s="74"/>
      <c r="G89" s="74"/>
      <c r="H89" s="74"/>
      <c r="I89" s="74"/>
      <c r="J89" s="74"/>
      <c r="K89" s="74"/>
      <c r="L89" s="74" t="s">
        <v>65</v>
      </c>
      <c r="M89" s="77">
        <f>'Tabel 1.1'!G42</f>
        <v>105547000</v>
      </c>
      <c r="N89" s="77">
        <f>'Tabel 1.1'!H42</f>
        <v>122540880</v>
      </c>
      <c r="O89" s="74"/>
    </row>
    <row r="90" spans="1:15" x14ac:dyDescent="0.3">
      <c r="B90" s="74"/>
      <c r="C90" s="74"/>
      <c r="D90" s="74"/>
      <c r="E90" s="74"/>
      <c r="F90" s="74"/>
      <c r="G90" s="74"/>
      <c r="H90" s="74"/>
      <c r="I90" s="74"/>
      <c r="J90" s="74"/>
      <c r="K90" s="74"/>
      <c r="L90" s="74" t="s">
        <v>71</v>
      </c>
      <c r="M90" s="77">
        <f>'Tabel 1.1'!G43</f>
        <v>3051253.7135600001</v>
      </c>
      <c r="N90" s="77">
        <f>'Tabel 1.1'!H43</f>
        <v>2929926.8749500001</v>
      </c>
      <c r="O90" s="74"/>
    </row>
    <row r="91" spans="1:15" x14ac:dyDescent="0.3">
      <c r="A91" s="74"/>
      <c r="B91" s="74"/>
      <c r="C91" s="74"/>
      <c r="D91" s="74"/>
      <c r="E91" s="74"/>
      <c r="F91" s="74"/>
      <c r="G91" s="74"/>
      <c r="H91" s="74"/>
      <c r="I91" s="74"/>
      <c r="J91" s="74"/>
      <c r="K91" s="74"/>
      <c r="L91" s="74" t="s">
        <v>67</v>
      </c>
      <c r="M91" s="77">
        <f>'Tabel 1.1'!G44</f>
        <v>47144820.956519999</v>
      </c>
      <c r="N91" s="77">
        <f>'Tabel 1.1'!H44</f>
        <v>55349782.673019998</v>
      </c>
      <c r="O91" s="74"/>
    </row>
    <row r="92" spans="1:15" ht="18.75" customHeight="1" x14ac:dyDescent="0.3">
      <c r="A92" s="74"/>
      <c r="B92" s="74"/>
      <c r="C92" s="74"/>
      <c r="D92" s="74"/>
      <c r="E92" s="74"/>
      <c r="F92" s="74"/>
      <c r="G92" s="74"/>
      <c r="H92" s="74"/>
      <c r="I92" s="74"/>
      <c r="J92" s="74"/>
      <c r="K92" s="74"/>
      <c r="L92" s="74" t="s">
        <v>72</v>
      </c>
      <c r="M92" s="77">
        <f>'Tabel 1.1'!G45</f>
        <v>144290948.79499999</v>
      </c>
      <c r="N92" s="77">
        <f>'Tabel 1.1'!H45</f>
        <v>154175707.56736001</v>
      </c>
      <c r="O92" s="74"/>
    </row>
    <row r="93" spans="1:15" ht="18.75" customHeight="1" x14ac:dyDescent="0.3">
      <c r="A93" s="74"/>
      <c r="B93" s="74"/>
      <c r="C93" s="74"/>
      <c r="D93" s="74"/>
      <c r="E93" s="74"/>
      <c r="F93" s="74"/>
      <c r="G93" s="74"/>
      <c r="H93" s="74"/>
      <c r="I93" s="74"/>
      <c r="J93" s="74"/>
      <c r="K93" s="74"/>
      <c r="M93" s="77"/>
      <c r="O93" s="74"/>
    </row>
    <row r="94" spans="1:15" ht="18.75" customHeight="1" x14ac:dyDescent="0.3">
      <c r="A94" s="74"/>
      <c r="B94" s="74"/>
      <c r="C94" s="74"/>
      <c r="D94" s="74"/>
      <c r="E94" s="74"/>
      <c r="F94" s="74"/>
      <c r="G94" s="74"/>
      <c r="H94" s="74"/>
      <c r="I94" s="74"/>
      <c r="J94" s="74"/>
      <c r="K94" s="74"/>
      <c r="O94" s="74"/>
    </row>
    <row r="95" spans="1:15" ht="18.75" customHeight="1" x14ac:dyDescent="0.3">
      <c r="A95" s="74"/>
      <c r="B95" s="74"/>
      <c r="C95" s="74"/>
      <c r="D95" s="74"/>
      <c r="E95" s="74"/>
      <c r="F95" s="74"/>
      <c r="G95" s="74"/>
      <c r="H95" s="74"/>
      <c r="I95" s="74"/>
      <c r="J95" s="74"/>
      <c r="K95" s="74"/>
      <c r="O95" s="74"/>
    </row>
    <row r="96" spans="1:15" ht="18.75" customHeight="1" x14ac:dyDescent="0.3">
      <c r="A96" s="74"/>
      <c r="B96" s="74"/>
      <c r="C96" s="74"/>
      <c r="D96" s="74"/>
      <c r="E96" s="74"/>
      <c r="F96" s="74"/>
      <c r="G96" s="74"/>
      <c r="H96" s="74"/>
      <c r="I96" s="74"/>
      <c r="J96" s="74"/>
      <c r="K96" s="74"/>
      <c r="O96" s="74"/>
    </row>
    <row r="97" spans="1:17" ht="18.75" customHeight="1" x14ac:dyDescent="0.3">
      <c r="A97" s="74"/>
      <c r="B97" s="74"/>
      <c r="C97" s="74"/>
      <c r="D97" s="74"/>
      <c r="E97" s="74"/>
      <c r="F97" s="74"/>
      <c r="G97" s="74"/>
      <c r="H97" s="74"/>
      <c r="I97" s="74"/>
      <c r="J97" s="74"/>
      <c r="K97" s="74"/>
      <c r="O97" s="74"/>
      <c r="Q97" s="74"/>
    </row>
    <row r="98" spans="1:17" ht="18.75" customHeight="1" x14ac:dyDescent="0.3">
      <c r="A98" s="74"/>
      <c r="B98" s="74"/>
      <c r="C98" s="74"/>
      <c r="D98" s="74"/>
      <c r="E98" s="74"/>
      <c r="F98" s="74"/>
      <c r="G98" s="74"/>
      <c r="H98" s="74"/>
      <c r="I98" s="74"/>
      <c r="J98" s="74"/>
      <c r="K98" s="74"/>
      <c r="O98" s="74"/>
      <c r="Q98" s="74"/>
    </row>
    <row r="99" spans="1:17" ht="18.75" customHeight="1" x14ac:dyDescent="0.3">
      <c r="A99" s="74"/>
      <c r="B99" s="74"/>
      <c r="C99" s="74"/>
      <c r="D99" s="74"/>
      <c r="E99" s="74"/>
      <c r="F99" s="74"/>
      <c r="G99" s="74"/>
      <c r="H99" s="74"/>
      <c r="I99" s="74"/>
      <c r="J99" s="74"/>
      <c r="K99" s="74"/>
      <c r="O99" s="74"/>
      <c r="Q99" s="74"/>
    </row>
    <row r="100" spans="1:17" ht="18.75" customHeight="1" x14ac:dyDescent="0.3">
      <c r="A100" s="74"/>
      <c r="B100" s="74"/>
      <c r="C100" s="74"/>
      <c r="D100" s="74"/>
      <c r="E100" s="74"/>
      <c r="F100" s="74"/>
      <c r="G100" s="74"/>
      <c r="H100" s="74"/>
      <c r="I100" s="74"/>
      <c r="J100" s="74"/>
      <c r="K100" s="74"/>
      <c r="O100" s="74"/>
      <c r="Q100" s="74"/>
    </row>
    <row r="101" spans="1:17" ht="18.75" customHeight="1" x14ac:dyDescent="0.3">
      <c r="A101" s="74"/>
      <c r="B101" s="74"/>
      <c r="C101" s="74"/>
      <c r="D101" s="74"/>
      <c r="E101" s="74"/>
      <c r="F101" s="74"/>
      <c r="G101" s="74"/>
      <c r="H101" s="74"/>
      <c r="I101" s="74"/>
      <c r="J101" s="74"/>
      <c r="K101" s="74"/>
      <c r="O101" s="74"/>
      <c r="Q101" s="74"/>
    </row>
    <row r="102" spans="1:17" ht="18.75" customHeight="1" x14ac:dyDescent="0.3">
      <c r="A102" s="74"/>
      <c r="B102" s="74"/>
      <c r="C102" s="74"/>
      <c r="D102" s="74"/>
      <c r="E102" s="74"/>
      <c r="F102" s="74"/>
      <c r="G102" s="74"/>
      <c r="H102" s="74"/>
      <c r="I102" s="74"/>
      <c r="J102" s="74"/>
      <c r="K102" s="74"/>
      <c r="O102" s="74"/>
      <c r="Q102" s="74"/>
    </row>
    <row r="103" spans="1:17" ht="18.75" customHeight="1" x14ac:dyDescent="0.3">
      <c r="A103" s="74"/>
      <c r="B103" s="74"/>
      <c r="C103" s="74"/>
      <c r="D103" s="74"/>
      <c r="E103" s="74"/>
      <c r="F103" s="74"/>
      <c r="G103" s="74"/>
      <c r="H103" s="74"/>
      <c r="I103" s="74"/>
      <c r="J103" s="74"/>
      <c r="K103" s="74"/>
      <c r="O103" s="74"/>
      <c r="Q103" s="74"/>
    </row>
    <row r="104" spans="1:17" ht="18.75" customHeight="1" x14ac:dyDescent="0.3">
      <c r="A104" s="74"/>
      <c r="B104" s="74"/>
      <c r="C104" s="74"/>
      <c r="D104" s="74"/>
      <c r="E104" s="74"/>
      <c r="F104" s="74"/>
      <c r="G104" s="74"/>
      <c r="H104" s="74"/>
      <c r="I104" s="74"/>
      <c r="J104" s="74"/>
      <c r="K104" s="74"/>
      <c r="O104" s="74"/>
      <c r="Q104" s="74"/>
    </row>
    <row r="105" spans="1:17" ht="18.75" customHeight="1" x14ac:dyDescent="0.3">
      <c r="A105" s="74"/>
      <c r="B105" s="74"/>
      <c r="C105" s="74"/>
      <c r="D105" s="74"/>
      <c r="E105" s="74"/>
      <c r="F105" s="74"/>
      <c r="G105" s="74"/>
      <c r="H105" s="74"/>
      <c r="I105" s="74"/>
      <c r="J105" s="74"/>
      <c r="K105" s="74"/>
      <c r="O105" s="74"/>
      <c r="Q105" s="74"/>
    </row>
    <row r="106" spans="1:17" ht="18.75" customHeight="1" x14ac:dyDescent="0.3">
      <c r="A106" s="75" t="s">
        <v>418</v>
      </c>
      <c r="B106" s="74"/>
      <c r="C106" s="74"/>
      <c r="D106" s="74"/>
      <c r="E106" s="74"/>
      <c r="F106" s="74"/>
      <c r="G106" s="74"/>
      <c r="H106" s="79"/>
      <c r="I106" s="74"/>
      <c r="J106" s="74"/>
      <c r="K106" s="74"/>
      <c r="L106" s="79" t="s">
        <v>74</v>
      </c>
      <c r="O106" s="74"/>
      <c r="Q106" s="74"/>
    </row>
    <row r="107" spans="1:17" ht="18.75" customHeight="1" x14ac:dyDescent="0.3">
      <c r="A107" s="74"/>
      <c r="B107" s="74"/>
      <c r="C107" s="74"/>
      <c r="D107" s="74"/>
      <c r="E107" s="74"/>
      <c r="F107" s="74"/>
      <c r="G107" s="74"/>
      <c r="H107" s="74"/>
      <c r="I107" s="74"/>
      <c r="J107" s="74"/>
      <c r="K107" s="74"/>
      <c r="L107" s="74" t="s">
        <v>0</v>
      </c>
      <c r="O107" s="74"/>
      <c r="Q107" s="74"/>
    </row>
    <row r="108" spans="1:17" ht="18.75" customHeight="1" x14ac:dyDescent="0.3">
      <c r="A108" s="74"/>
      <c r="B108" s="74"/>
      <c r="C108" s="74"/>
      <c r="D108" s="74"/>
      <c r="E108" s="74"/>
      <c r="F108" s="74"/>
      <c r="G108" s="74"/>
      <c r="H108" s="74"/>
      <c r="I108" s="74"/>
      <c r="J108" s="74"/>
      <c r="K108" s="74"/>
      <c r="M108" s="74">
        <f>M7</f>
        <v>2021</v>
      </c>
      <c r="N108" s="74">
        <f>N7</f>
        <v>2022</v>
      </c>
      <c r="O108" s="74"/>
      <c r="Q108" s="74"/>
    </row>
    <row r="109" spans="1:17" ht="18.75" customHeight="1" x14ac:dyDescent="0.3">
      <c r="A109" s="74"/>
      <c r="B109" s="74"/>
      <c r="C109" s="74"/>
      <c r="D109" s="74"/>
      <c r="E109" s="74"/>
      <c r="F109" s="74"/>
      <c r="G109" s="74"/>
      <c r="H109" s="74"/>
      <c r="I109" s="74"/>
      <c r="J109" s="74"/>
      <c r="K109" s="74"/>
      <c r="L109" s="74" t="s">
        <v>54</v>
      </c>
      <c r="M109" s="77">
        <f>'Danica Pensjonsforsikring'!B11-'Danica Pensjonsforsikring'!B12+'Danica Pensjonsforsikring'!B34-'Danica Pensjonsforsikring'!B35+'Danica Pensjonsforsikring'!B38-'Danica Pensjonsforsikring'!B39+'Danica Pensjonsforsikring'!B111-'Danica Pensjonsforsikring'!B119+'Danica Pensjonsforsikring'!B136-'Danica Pensjonsforsikring'!B137</f>
        <v>6173.4510000000009</v>
      </c>
      <c r="N109" s="77">
        <f>'Danica Pensjonsforsikring'!C11-'Danica Pensjonsforsikring'!C12+'Danica Pensjonsforsikring'!C34-'Danica Pensjonsforsikring'!C35+'Danica Pensjonsforsikring'!C38-'Danica Pensjonsforsikring'!C39+'Danica Pensjonsforsikring'!C111-'Danica Pensjonsforsikring'!C119+'Danica Pensjonsforsikring'!C136-'Danica Pensjonsforsikring'!C137</f>
        <v>-3752.9429999999998</v>
      </c>
      <c r="O109" s="74"/>
      <c r="Q109" s="74"/>
    </row>
    <row r="110" spans="1:17" ht="18.75" customHeight="1" x14ac:dyDescent="0.3">
      <c r="A110" s="74"/>
      <c r="B110" s="74"/>
      <c r="C110" s="74"/>
      <c r="D110" s="74"/>
      <c r="E110" s="74"/>
      <c r="F110" s="74"/>
      <c r="G110" s="74"/>
      <c r="H110" s="74"/>
      <c r="I110" s="74"/>
      <c r="J110" s="74"/>
      <c r="K110" s="74"/>
      <c r="L110" s="74" t="s">
        <v>55</v>
      </c>
      <c r="M110" s="77">
        <f>'DNB Livsforsikring'!B11-'DNB Livsforsikring'!B12+'DNB Livsforsikring'!B34-'DNB Livsforsikring'!B35+'DNB Livsforsikring'!B38-'DNB Livsforsikring'!B39+'DNB Livsforsikring'!B111-'DNB Livsforsikring'!B119+'DNB Livsforsikring'!B136-'DNB Livsforsikring'!B137</f>
        <v>588558</v>
      </c>
      <c r="N110" s="77">
        <f>'DNB Livsforsikring'!C11-'DNB Livsforsikring'!C12+'DNB Livsforsikring'!C34-'DNB Livsforsikring'!C35+'DNB Livsforsikring'!C38-'DNB Livsforsikring'!C39+'DNB Livsforsikring'!C111-'DNB Livsforsikring'!C119+'DNB Livsforsikring'!C136-'DNB Livsforsikring'!C137</f>
        <v>47572.901669999992</v>
      </c>
      <c r="O110" s="74"/>
      <c r="Q110" s="74"/>
    </row>
    <row r="111" spans="1:17" ht="18.75" customHeight="1" x14ac:dyDescent="0.3">
      <c r="A111" s="74"/>
      <c r="B111" s="74"/>
      <c r="C111" s="74"/>
      <c r="D111" s="74"/>
      <c r="E111" s="74"/>
      <c r="F111" s="74"/>
      <c r="G111" s="74"/>
      <c r="H111" s="74"/>
      <c r="I111" s="74"/>
      <c r="J111" s="74"/>
      <c r="K111" s="74"/>
      <c r="L111" s="79" t="s">
        <v>60</v>
      </c>
      <c r="M111" s="77">
        <f>'Gjensidige Pensjon'!B11-'Gjensidige Pensjon'!B12+'Gjensidige Pensjon'!B34-'Gjensidige Pensjon'!B35+'Gjensidige Pensjon'!B38-'Gjensidige Pensjon'!B39+'Gjensidige Pensjon'!B111-'Gjensidige Pensjon'!B119+'Gjensidige Pensjon'!B136-'Gjensidige Pensjon'!B137</f>
        <v>6474</v>
      </c>
      <c r="N111" s="77">
        <f>'Gjensidige Pensjon'!C11-'Gjensidige Pensjon'!C12+'Gjensidige Pensjon'!C34-'Gjensidige Pensjon'!C35+'Gjensidige Pensjon'!C38-'Gjensidige Pensjon'!C39+'Gjensidige Pensjon'!C111-'Gjensidige Pensjon'!C119+'Gjensidige Pensjon'!C136-'Gjensidige Pensjon'!C137</f>
        <v>24480</v>
      </c>
      <c r="O111" s="74"/>
      <c r="Q111" s="74"/>
    </row>
    <row r="112" spans="1:17" ht="18.75" customHeight="1" x14ac:dyDescent="0.3">
      <c r="A112" s="74"/>
      <c r="B112" s="74"/>
      <c r="C112" s="74"/>
      <c r="D112" s="74"/>
      <c r="E112" s="74"/>
      <c r="F112" s="74"/>
      <c r="G112" s="74"/>
      <c r="H112" s="74"/>
      <c r="I112" s="74"/>
      <c r="J112" s="74"/>
      <c r="K112" s="74"/>
      <c r="L112" s="79" t="s">
        <v>63</v>
      </c>
      <c r="M112" s="77">
        <f>KLP!B11-KLP!B12+KLP!B34-KLP!B35+KLP!B38-KLP!B39+KLP!B111-KLP!B119+KLP!B136-KLP!B137</f>
        <v>-8418803.5179999992</v>
      </c>
      <c r="N112" s="77">
        <f>KLP!C11-KLP!C12+KLP!C34-KLP!C35+KLP!C38-KLP!C39+KLP!C111-KLP!C119+KLP!C136-KLP!C137</f>
        <v>-4875400.2249999996</v>
      </c>
      <c r="O112" s="74"/>
      <c r="Q112" s="74"/>
    </row>
    <row r="113" spans="1:17" ht="18.75" customHeight="1" x14ac:dyDescent="0.3">
      <c r="A113" s="74"/>
      <c r="B113" s="74"/>
      <c r="C113" s="74"/>
      <c r="D113" s="74"/>
      <c r="E113" s="74"/>
      <c r="F113" s="74"/>
      <c r="G113" s="74"/>
      <c r="H113" s="74"/>
      <c r="I113" s="74"/>
      <c r="J113" s="74"/>
      <c r="K113" s="74"/>
      <c r="L113" s="74" t="s">
        <v>65</v>
      </c>
      <c r="M113" s="77">
        <f>'Nordea Liv '!B11-'Nordea Liv '!B12+'Nordea Liv '!B34-'Nordea Liv '!B35+'Nordea Liv '!B38-'Nordea Liv '!B39+'Nordea Liv '!B111-'Nordea Liv '!B119+'Nordea Liv '!B136-'Nordea Liv '!B137</f>
        <v>-1770</v>
      </c>
      <c r="N113" s="77">
        <f>'Nordea Liv '!C11-'Nordea Liv '!C12+'Nordea Liv '!C34-'Nordea Liv '!C35+'Nordea Liv '!C38-'Nordea Liv '!C39+'Nordea Liv '!C111-'Nordea Liv '!C119+'Nordea Liv '!C136-'Nordea Liv '!C137</f>
        <v>-700.25171000010005</v>
      </c>
      <c r="O113" s="74"/>
      <c r="Q113" s="74"/>
    </row>
    <row r="114" spans="1:17" ht="18.75" customHeight="1" x14ac:dyDescent="0.3">
      <c r="A114" s="74"/>
      <c r="B114" s="74"/>
      <c r="C114" s="74"/>
      <c r="D114" s="74"/>
      <c r="E114" s="74"/>
      <c r="F114" s="74"/>
      <c r="G114" s="74"/>
      <c r="H114" s="74"/>
      <c r="I114" s="74"/>
      <c r="J114" s="74"/>
      <c r="K114" s="74"/>
      <c r="L114" s="74" t="s">
        <v>67</v>
      </c>
      <c r="M114" s="77">
        <f>'Sparebank 1'!B11-'Sparebank 1'!B12+'Sparebank 1'!B34-'Sparebank 1'!B35+'Sparebank 1'!B38-'Sparebank 1'!B39+'Sparebank 1'!B111-'Sparebank 1'!B119+'Sparebank 1'!B136-'Sparebank 1'!B137</f>
        <v>-11830.833309999998</v>
      </c>
      <c r="N114" s="77">
        <f>'Sparebank 1'!C11-'Sparebank 1'!C12+'Sparebank 1'!C34-'Sparebank 1'!C35+'Sparebank 1'!C38-'Sparebank 1'!C39+'Sparebank 1'!C111-'Sparebank 1'!C119+'Sparebank 1'!C136-'Sparebank 1'!C137</f>
        <v>-188515.81315</v>
      </c>
      <c r="O114" s="74"/>
      <c r="Q114" s="74"/>
    </row>
    <row r="115" spans="1:17" ht="18.75" customHeight="1" x14ac:dyDescent="0.3">
      <c r="A115" s="74"/>
      <c r="B115" s="74"/>
      <c r="C115" s="74"/>
      <c r="D115" s="74"/>
      <c r="E115" s="74"/>
      <c r="F115" s="74"/>
      <c r="G115" s="74"/>
      <c r="H115" s="74"/>
      <c r="I115" s="74"/>
      <c r="J115" s="74"/>
      <c r="K115" s="74"/>
      <c r="L115" s="74" t="s">
        <v>68</v>
      </c>
      <c r="M115" s="77">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7017389.9980000006</v>
      </c>
      <c r="N115" s="77">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3263672.068</v>
      </c>
      <c r="O115" s="74"/>
      <c r="Q115" s="74"/>
    </row>
    <row r="116" spans="1:17" ht="18.75" customHeight="1" x14ac:dyDescent="0.3">
      <c r="A116" s="74"/>
      <c r="B116" s="74"/>
      <c r="C116" s="74"/>
      <c r="D116" s="74"/>
      <c r="E116" s="74"/>
      <c r="F116" s="74"/>
      <c r="G116" s="74"/>
      <c r="H116" s="74"/>
      <c r="I116" s="74"/>
      <c r="J116" s="74"/>
      <c r="K116" s="74"/>
      <c r="M116" s="77"/>
      <c r="N116" s="77"/>
      <c r="O116" s="74"/>
      <c r="Q116" s="74"/>
    </row>
    <row r="117" spans="1:17" ht="18.75" customHeight="1" x14ac:dyDescent="0.3">
      <c r="A117" s="74"/>
      <c r="B117" s="74"/>
      <c r="C117" s="74"/>
      <c r="D117" s="74"/>
      <c r="E117" s="74"/>
      <c r="F117" s="74"/>
      <c r="G117" s="74"/>
      <c r="H117" s="74"/>
      <c r="I117" s="74"/>
      <c r="J117" s="74"/>
      <c r="K117" s="74"/>
      <c r="M117" s="77"/>
      <c r="N117" s="77"/>
      <c r="O117" s="74"/>
    </row>
    <row r="118" spans="1:17" ht="18.75" customHeight="1" x14ac:dyDescent="0.3">
      <c r="A118" s="74"/>
      <c r="B118" s="74"/>
      <c r="C118" s="74"/>
      <c r="D118" s="74"/>
      <c r="E118" s="74"/>
      <c r="F118" s="74"/>
      <c r="G118" s="74"/>
      <c r="H118" s="74"/>
      <c r="I118" s="74"/>
      <c r="J118" s="74"/>
      <c r="K118" s="74"/>
      <c r="M118" s="77"/>
      <c r="N118" s="77"/>
      <c r="O118" s="74"/>
    </row>
    <row r="119" spans="1:17" ht="18.75" customHeight="1" x14ac:dyDescent="0.3">
      <c r="A119" s="74"/>
      <c r="B119" s="74"/>
      <c r="C119" s="74"/>
      <c r="D119" s="74"/>
      <c r="E119" s="74"/>
      <c r="F119" s="74"/>
      <c r="G119" s="74"/>
      <c r="H119" s="74"/>
      <c r="I119" s="74"/>
      <c r="J119" s="74"/>
      <c r="K119" s="74"/>
      <c r="M119" s="77"/>
      <c r="N119" s="77"/>
      <c r="O119" s="74"/>
    </row>
    <row r="120" spans="1:17" ht="18.75" customHeight="1" x14ac:dyDescent="0.3">
      <c r="A120" s="74"/>
      <c r="B120" s="74"/>
      <c r="C120" s="74"/>
      <c r="D120" s="74"/>
      <c r="E120" s="74"/>
      <c r="F120" s="74"/>
      <c r="G120" s="74"/>
      <c r="H120" s="74"/>
      <c r="I120" s="74"/>
      <c r="J120" s="74"/>
      <c r="K120" s="74"/>
      <c r="M120" s="77"/>
      <c r="N120" s="77"/>
      <c r="O120" s="74"/>
    </row>
    <row r="121" spans="1:17" ht="18.75" customHeight="1" x14ac:dyDescent="0.3">
      <c r="A121" s="74"/>
      <c r="B121" s="74"/>
      <c r="C121" s="74"/>
      <c r="D121" s="74"/>
      <c r="E121" s="74"/>
      <c r="F121" s="74"/>
      <c r="G121" s="74"/>
      <c r="H121" s="74"/>
      <c r="I121" s="74"/>
      <c r="J121" s="74"/>
      <c r="K121" s="74"/>
      <c r="M121" s="77"/>
      <c r="N121" s="77"/>
      <c r="O121" s="74"/>
    </row>
    <row r="122" spans="1:17" ht="18.75" customHeight="1" x14ac:dyDescent="0.3">
      <c r="A122" s="74"/>
      <c r="B122" s="74"/>
      <c r="C122" s="74"/>
      <c r="D122" s="74"/>
      <c r="E122" s="74"/>
      <c r="F122" s="74"/>
      <c r="G122" s="74"/>
      <c r="H122" s="74"/>
      <c r="I122" s="74"/>
      <c r="J122" s="74"/>
      <c r="K122" s="74"/>
      <c r="M122" s="77"/>
      <c r="N122" s="77"/>
      <c r="O122" s="74"/>
    </row>
    <row r="123" spans="1:17" x14ac:dyDescent="0.3">
      <c r="A123" s="74"/>
      <c r="B123" s="74"/>
      <c r="C123" s="74"/>
      <c r="D123" s="74"/>
      <c r="E123" s="74"/>
      <c r="F123" s="74"/>
      <c r="G123" s="74"/>
      <c r="H123" s="74"/>
      <c r="I123" s="74"/>
      <c r="J123" s="74"/>
      <c r="K123" s="74"/>
      <c r="O123" s="74"/>
    </row>
    <row r="124" spans="1:17" x14ac:dyDescent="0.3">
      <c r="A124" s="74"/>
      <c r="B124" s="74"/>
      <c r="C124" s="74"/>
      <c r="D124" s="74"/>
      <c r="E124" s="74"/>
      <c r="F124" s="74"/>
      <c r="G124" s="74"/>
      <c r="H124" s="74"/>
      <c r="I124" s="74"/>
      <c r="J124" s="74"/>
      <c r="K124" s="74"/>
      <c r="O124" s="74"/>
    </row>
    <row r="125" spans="1:17" x14ac:dyDescent="0.3">
      <c r="A125" s="74"/>
      <c r="B125" s="74"/>
      <c r="C125" s="74"/>
      <c r="D125" s="74"/>
      <c r="E125" s="74"/>
      <c r="F125" s="74"/>
      <c r="G125" s="74"/>
      <c r="H125" s="74"/>
      <c r="I125" s="74"/>
      <c r="J125" s="74"/>
      <c r="K125" s="74"/>
      <c r="O125" s="74"/>
    </row>
    <row r="126" spans="1:17" x14ac:dyDescent="0.3">
      <c r="A126" s="74"/>
      <c r="B126" s="74"/>
      <c r="C126" s="74"/>
      <c r="D126" s="74"/>
      <c r="E126" s="74"/>
      <c r="F126" s="74"/>
      <c r="G126" s="74"/>
      <c r="H126" s="74"/>
      <c r="I126" s="74"/>
      <c r="J126" s="74"/>
      <c r="K126" s="74"/>
      <c r="O126" s="74"/>
    </row>
    <row r="127" spans="1:17" x14ac:dyDescent="0.3">
      <c r="A127" s="74"/>
      <c r="B127" s="74"/>
      <c r="C127" s="74"/>
      <c r="D127" s="74"/>
      <c r="E127" s="74"/>
      <c r="F127" s="74"/>
      <c r="G127" s="74"/>
      <c r="H127" s="74"/>
      <c r="I127" s="74"/>
      <c r="J127" s="74"/>
      <c r="K127" s="74"/>
      <c r="O127" s="74"/>
    </row>
    <row r="128" spans="1:17" x14ac:dyDescent="0.3">
      <c r="A128" s="74"/>
      <c r="B128" s="74"/>
      <c r="C128" s="74"/>
      <c r="D128" s="74"/>
      <c r="E128" s="74"/>
      <c r="F128" s="74"/>
      <c r="G128" s="74"/>
      <c r="H128" s="74"/>
      <c r="I128" s="74"/>
      <c r="J128" s="74"/>
      <c r="K128" s="74"/>
      <c r="O128" s="74"/>
    </row>
    <row r="129" spans="1:15" x14ac:dyDescent="0.3">
      <c r="A129" s="74"/>
      <c r="B129" s="74"/>
      <c r="C129" s="74"/>
      <c r="D129" s="74"/>
      <c r="E129" s="74"/>
      <c r="F129" s="74"/>
      <c r="G129" s="74"/>
      <c r="H129" s="74"/>
      <c r="I129" s="74"/>
      <c r="J129" s="74"/>
      <c r="K129" s="74"/>
      <c r="L129" s="79" t="s">
        <v>75</v>
      </c>
      <c r="O129" s="74"/>
    </row>
    <row r="130" spans="1:15" x14ac:dyDescent="0.3">
      <c r="A130" s="75" t="s">
        <v>419</v>
      </c>
      <c r="B130" s="74"/>
      <c r="C130" s="74"/>
      <c r="D130" s="74"/>
      <c r="E130" s="74"/>
      <c r="F130" s="74"/>
      <c r="G130" s="74"/>
      <c r="H130" s="79"/>
      <c r="I130" s="74"/>
      <c r="J130" s="74"/>
      <c r="K130" s="74"/>
      <c r="L130" s="74" t="s">
        <v>1</v>
      </c>
      <c r="O130" s="74"/>
    </row>
    <row r="131" spans="1:15" x14ac:dyDescent="0.3">
      <c r="B131" s="74"/>
      <c r="C131" s="74"/>
      <c r="D131" s="74"/>
      <c r="E131" s="74"/>
      <c r="F131" s="74"/>
      <c r="G131" s="74"/>
      <c r="H131" s="74"/>
      <c r="I131" s="74"/>
      <c r="J131" s="74"/>
      <c r="K131" s="74"/>
      <c r="M131" s="74">
        <f>M7</f>
        <v>2021</v>
      </c>
      <c r="N131" s="74">
        <f>N7</f>
        <v>2022</v>
      </c>
      <c r="O131" s="74"/>
    </row>
    <row r="132" spans="1:15" x14ac:dyDescent="0.3">
      <c r="A132" s="74"/>
      <c r="B132" s="74"/>
      <c r="C132" s="74"/>
      <c r="D132" s="74"/>
      <c r="E132" s="74"/>
      <c r="F132" s="74"/>
      <c r="G132" s="74"/>
      <c r="H132" s="74"/>
      <c r="I132" s="74"/>
      <c r="J132" s="74"/>
      <c r="K132" s="74"/>
      <c r="L132" s="74" t="s">
        <v>54</v>
      </c>
      <c r="M132" s="77">
        <f>'Danica Pensjonsforsikring'!F11-'Danica Pensjonsforsikring'!F12+'Danica Pensjonsforsikring'!F34-'Danica Pensjonsforsikring'!F35+'Danica Pensjonsforsikring'!F38-'Danica Pensjonsforsikring'!F39+'Danica Pensjonsforsikring'!F111-'Danica Pensjonsforsikring'!F119+'Danica Pensjonsforsikring'!F136-'Danica Pensjonsforsikring'!F137</f>
        <v>-78093.287000000069</v>
      </c>
      <c r="N132" s="77">
        <f>'Danica Pensjonsforsikring'!G11-'Danica Pensjonsforsikring'!G12+'Danica Pensjonsforsikring'!G34-'Danica Pensjonsforsikring'!G35+'Danica Pensjonsforsikring'!G38-'Danica Pensjonsforsikring'!G39+'Danica Pensjonsforsikring'!G111-'Danica Pensjonsforsikring'!G119+'Danica Pensjonsforsikring'!G136-'Danica Pensjonsforsikring'!G137</f>
        <v>-126546.37900000007</v>
      </c>
      <c r="O132" s="74"/>
    </row>
    <row r="133" spans="1:15" x14ac:dyDescent="0.3">
      <c r="A133" s="74"/>
      <c r="B133" s="74"/>
      <c r="C133" s="74"/>
      <c r="D133" s="74"/>
      <c r="E133" s="74"/>
      <c r="F133" s="74"/>
      <c r="G133" s="74"/>
      <c r="H133" s="74"/>
      <c r="I133" s="74"/>
      <c r="J133" s="74"/>
      <c r="K133" s="74"/>
      <c r="L133" s="74" t="s">
        <v>55</v>
      </c>
      <c r="M133" s="77">
        <f>'DNB Livsforsikring'!F11-'DNB Livsforsikring'!F12+'DNB Livsforsikring'!F34-'DNB Livsforsikring'!F35+'DNB Livsforsikring'!F38-'DNB Livsforsikring'!F39+'DNB Livsforsikring'!F111-'DNB Livsforsikring'!F119+'DNB Livsforsikring'!F136-'DNB Livsforsikring'!F137</f>
        <v>-694987</v>
      </c>
      <c r="N133" s="77">
        <f>'DNB Livsforsikring'!G11-'DNB Livsforsikring'!G12+'DNB Livsforsikring'!G34-'DNB Livsforsikring'!G35+'DNB Livsforsikring'!G38-'DNB Livsforsikring'!G39+'DNB Livsforsikring'!G111-'DNB Livsforsikring'!G119+'DNB Livsforsikring'!G136-'DNB Livsforsikring'!G137</f>
        <v>102521.86899999995</v>
      </c>
      <c r="O133" s="74"/>
    </row>
    <row r="134" spans="1:15" x14ac:dyDescent="0.3">
      <c r="A134" s="74"/>
      <c r="B134" s="74"/>
      <c r="C134" s="74"/>
      <c r="D134" s="74"/>
      <c r="E134" s="74"/>
      <c r="F134" s="74"/>
      <c r="G134" s="74"/>
      <c r="H134" s="74"/>
      <c r="I134" s="74"/>
      <c r="J134" s="74"/>
      <c r="K134" s="74"/>
      <c r="L134" s="74" t="s">
        <v>57</v>
      </c>
      <c r="M134" s="77">
        <f>'Frende Livsforsikring'!F11-'Frende Livsforsikring'!F12+'Frende Livsforsikring'!F34-'Frende Livsforsikring'!F35+'Frende Livsforsikring'!F38-'Frende Livsforsikring'!F39+'Frende Livsforsikring'!F111-'Frende Livsforsikring'!F119+'Frende Livsforsikring'!F136-'Frende Livsforsikring'!F137</f>
        <v>0</v>
      </c>
      <c r="N134" s="77">
        <f>'Frende Livsforsikring'!G11-'Frende Livsforsikring'!G12+'Frende Livsforsikring'!G34-'Frende Livsforsikring'!G35+'Frende Livsforsikring'!G38-'Frende Livsforsikring'!G39+'Frende Livsforsikring'!G111-'Frende Livsforsikring'!G119+'Frende Livsforsikring'!G136-'Frende Livsforsikring'!G137</f>
        <v>0</v>
      </c>
      <c r="O134" s="74"/>
    </row>
    <row r="135" spans="1:15" x14ac:dyDescent="0.3">
      <c r="A135" s="74"/>
      <c r="B135" s="74"/>
      <c r="C135" s="74"/>
      <c r="D135" s="74"/>
      <c r="E135" s="74"/>
      <c r="F135" s="74"/>
      <c r="G135" s="74"/>
      <c r="H135" s="74"/>
      <c r="I135" s="74"/>
      <c r="J135" s="74"/>
      <c r="K135" s="74"/>
      <c r="L135" s="79" t="s">
        <v>60</v>
      </c>
      <c r="M135" s="77">
        <f>'Gjensidige Pensjon'!F11-'Gjensidige Pensjon'!F12+'Gjensidige Pensjon'!F34-'Gjensidige Pensjon'!F35+'Gjensidige Pensjon'!F38-'Gjensidige Pensjon'!F39+'Gjensidige Pensjon'!F111-'Gjensidige Pensjon'!F119+'Gjensidige Pensjon'!F136-'Gjensidige Pensjon'!F137</f>
        <v>-241966</v>
      </c>
      <c r="N135" s="77">
        <f>'Gjensidige Pensjon'!G11-'Gjensidige Pensjon'!G12+'Gjensidige Pensjon'!G34-'Gjensidige Pensjon'!G35+'Gjensidige Pensjon'!G38-'Gjensidige Pensjon'!G39+'Gjensidige Pensjon'!G111-'Gjensidige Pensjon'!G119+'Gjensidige Pensjon'!G136-'Gjensidige Pensjon'!G137</f>
        <v>455446</v>
      </c>
      <c r="O135" s="74"/>
    </row>
    <row r="136" spans="1:15" x14ac:dyDescent="0.3">
      <c r="A136" s="74"/>
      <c r="B136" s="74"/>
      <c r="C136" s="74"/>
      <c r="D136" s="74"/>
      <c r="E136" s="74"/>
      <c r="F136" s="74"/>
      <c r="G136" s="74"/>
      <c r="H136" s="74"/>
      <c r="I136" s="74"/>
      <c r="J136" s="74"/>
      <c r="K136" s="74"/>
      <c r="L136" s="74" t="s">
        <v>63</v>
      </c>
      <c r="M136" s="77">
        <f>KLP!F11-KLP!F12+KLP!F34-KLP!F35+KLP!F38-KLP!F39+KLP!F111-KLP!F119+KLP!F136-KLP!F137</f>
        <v>0</v>
      </c>
      <c r="N136" s="77">
        <f>KLP!G11-KLP!G12+KLP!G34-KLP!G35+KLP!G38-KLP!G39+KLP!G111-KLP!G119+KLP!G136-KLP!G137</f>
        <v>376440.52899999998</v>
      </c>
      <c r="O136" s="74"/>
    </row>
    <row r="137" spans="1:15" x14ac:dyDescent="0.3">
      <c r="A137" s="74"/>
      <c r="B137" s="74"/>
      <c r="C137" s="74"/>
      <c r="D137" s="74"/>
      <c r="E137" s="74"/>
      <c r="F137" s="74"/>
      <c r="G137" s="74"/>
      <c r="H137" s="74"/>
      <c r="I137" s="74"/>
      <c r="J137" s="74"/>
      <c r="K137" s="74"/>
      <c r="L137" s="74" t="s">
        <v>65</v>
      </c>
      <c r="M137" s="77">
        <f>'Nordea Liv '!F11-'Nordea Liv '!F12+'Nordea Liv '!F34-'Nordea Liv '!F35+'Nordea Liv '!F38-'Nordea Liv '!F39+'Nordea Liv '!F111-'Nordea Liv '!F119+'Nordea Liv '!F136-'Nordea Liv '!F137</f>
        <v>-239181.3700900001</v>
      </c>
      <c r="N137" s="77">
        <f>'Nordea Liv '!G11-'Nordea Liv '!G12+'Nordea Liv '!G34-'Nordea Liv '!G35+'Nordea Liv '!G38-'Nordea Liv '!G39+'Nordea Liv '!G111-'Nordea Liv '!G119+'Nordea Liv '!G136-'Nordea Liv '!G137</f>
        <v>571331.03287999984</v>
      </c>
      <c r="O137" s="74"/>
    </row>
    <row r="138" spans="1:15" x14ac:dyDescent="0.3">
      <c r="A138" s="74"/>
      <c r="B138" s="74"/>
      <c r="C138" s="74"/>
      <c r="D138" s="74"/>
      <c r="E138" s="74"/>
      <c r="F138" s="74"/>
      <c r="G138" s="74"/>
      <c r="H138" s="74"/>
      <c r="I138" s="74"/>
      <c r="J138" s="74"/>
      <c r="K138" s="74"/>
      <c r="L138" s="74" t="s">
        <v>71</v>
      </c>
      <c r="M138" s="77">
        <f>'SHB Liv'!F11-'SHB Liv'!F12+'SHB Liv'!F34-'SHB Liv'!F35+'SHB Liv'!F38-'SHB Liv'!F39+'SHB Liv'!F111-'SHB Liv'!F119+'SHB Liv'!F136-'SHB Liv'!F137</f>
        <v>20557.492599999998</v>
      </c>
      <c r="N138" s="77">
        <f>'SHB Liv'!G11-'SHB Liv'!G12+'SHB Liv'!G34-'SHB Liv'!G35+'SHB Liv'!G38-'SHB Liv'!G39+'SHB Liv'!G111-'SHB Liv'!G119+'SHB Liv'!G136-'SHB Liv'!G137</f>
        <v>-13926.680469999999</v>
      </c>
      <c r="O138" s="74"/>
    </row>
    <row r="139" spans="1:15" x14ac:dyDescent="0.3">
      <c r="A139" s="74"/>
      <c r="B139" s="74"/>
      <c r="C139" s="74"/>
      <c r="D139" s="74"/>
      <c r="E139" s="74"/>
      <c r="F139" s="74"/>
      <c r="G139" s="74"/>
      <c r="H139" s="74"/>
      <c r="I139" s="74"/>
      <c r="J139" s="74"/>
      <c r="K139" s="74"/>
      <c r="L139" s="74" t="s">
        <v>67</v>
      </c>
      <c r="M139" s="77">
        <f>'Sparebank 1'!F11-'Sparebank 1'!F12+'Sparebank 1'!F34-'Sparebank 1'!F35+'Sparebank 1'!F38-'Sparebank 1'!F39+'Sparebank 1'!F111-'Sparebank 1'!F119+'Sparebank 1'!F136-'Sparebank 1'!F137</f>
        <v>228488.24684000015</v>
      </c>
      <c r="N139" s="77">
        <f>'Sparebank 1'!G11-'Sparebank 1'!G12+'Sparebank 1'!G34-'Sparebank 1'!G35+'Sparebank 1'!G38-'Sparebank 1'!G39+'Sparebank 1'!G111-'Sparebank 1'!G119+'Sparebank 1'!G136-'Sparebank 1'!G137</f>
        <v>219966.44219000009</v>
      </c>
      <c r="O139" s="74"/>
    </row>
    <row r="140" spans="1:15" x14ac:dyDescent="0.3">
      <c r="A140" s="74"/>
      <c r="B140" s="74"/>
      <c r="C140" s="74"/>
      <c r="D140" s="74"/>
      <c r="E140" s="74"/>
      <c r="F140" s="74"/>
      <c r="G140" s="74"/>
      <c r="H140" s="74"/>
      <c r="I140" s="74"/>
      <c r="J140" s="74"/>
      <c r="K140" s="74"/>
      <c r="L140" s="74" t="s">
        <v>72</v>
      </c>
      <c r="M140" s="77">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-1480369.2999999996</v>
      </c>
      <c r="N140" s="77">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-1778807.6339999996</v>
      </c>
      <c r="O140" s="74"/>
    </row>
    <row r="141" spans="1:15" x14ac:dyDescent="0.3">
      <c r="A141" s="74"/>
      <c r="B141" s="74"/>
      <c r="C141" s="74"/>
      <c r="D141" s="74"/>
      <c r="E141" s="74"/>
      <c r="F141" s="74"/>
      <c r="G141" s="74"/>
      <c r="H141" s="74"/>
      <c r="I141" s="74"/>
      <c r="J141" s="74"/>
      <c r="K141" s="74"/>
      <c r="O141" s="74"/>
    </row>
    <row r="142" spans="1:15" x14ac:dyDescent="0.3">
      <c r="A142" s="74"/>
      <c r="B142" s="74"/>
      <c r="C142" s="74"/>
      <c r="D142" s="74"/>
      <c r="E142" s="74"/>
      <c r="F142" s="74"/>
      <c r="G142" s="74"/>
      <c r="H142" s="74"/>
      <c r="I142" s="74"/>
      <c r="J142" s="74"/>
      <c r="K142" s="74"/>
      <c r="O142" s="74"/>
    </row>
    <row r="143" spans="1:15" x14ac:dyDescent="0.3">
      <c r="A143" s="74"/>
      <c r="B143" s="74"/>
      <c r="C143" s="74"/>
      <c r="D143" s="74"/>
      <c r="E143" s="74"/>
      <c r="F143" s="74"/>
      <c r="G143" s="74"/>
      <c r="H143" s="74"/>
      <c r="I143" s="74"/>
      <c r="J143" s="74"/>
      <c r="K143" s="74"/>
      <c r="O143" s="74"/>
    </row>
    <row r="144" spans="1:15" x14ac:dyDescent="0.3">
      <c r="A144" s="74"/>
      <c r="B144" s="74"/>
      <c r="C144" s="74"/>
      <c r="D144" s="74"/>
      <c r="E144" s="74"/>
      <c r="F144" s="74"/>
      <c r="G144" s="74"/>
      <c r="H144" s="74"/>
      <c r="I144" s="74"/>
      <c r="J144" s="74"/>
      <c r="K144" s="74"/>
      <c r="O144" s="74"/>
    </row>
    <row r="145" spans="1:15" x14ac:dyDescent="0.3">
      <c r="A145" s="74"/>
      <c r="B145" s="74"/>
      <c r="C145" s="74"/>
      <c r="D145" s="74"/>
      <c r="E145" s="74"/>
      <c r="F145" s="74"/>
      <c r="G145" s="74"/>
      <c r="H145" s="74"/>
      <c r="I145" s="74"/>
      <c r="J145" s="74"/>
      <c r="K145" s="74"/>
      <c r="O145" s="74"/>
    </row>
    <row r="146" spans="1:15" x14ac:dyDescent="0.3">
      <c r="A146" s="74"/>
      <c r="B146" s="74"/>
      <c r="C146" s="74"/>
      <c r="D146" s="74"/>
      <c r="E146" s="74"/>
      <c r="F146" s="74"/>
      <c r="G146" s="74"/>
      <c r="H146" s="74"/>
      <c r="I146" s="74"/>
      <c r="J146" s="74"/>
      <c r="K146" s="74"/>
      <c r="O146" s="74"/>
    </row>
    <row r="147" spans="1:15" x14ac:dyDescent="0.3">
      <c r="A147" s="74"/>
      <c r="B147" s="74"/>
      <c r="C147" s="74"/>
      <c r="D147" s="74"/>
      <c r="E147" s="74"/>
      <c r="F147" s="74"/>
      <c r="G147" s="74"/>
      <c r="H147" s="74"/>
      <c r="I147" s="74"/>
      <c r="J147" s="74"/>
      <c r="K147" s="74"/>
      <c r="O147" s="74"/>
    </row>
    <row r="148" spans="1:15" x14ac:dyDescent="0.3">
      <c r="A148" s="74"/>
      <c r="B148" s="74"/>
      <c r="C148" s="74"/>
      <c r="D148" s="74"/>
      <c r="E148" s="74"/>
      <c r="F148" s="74"/>
      <c r="G148" s="74"/>
      <c r="H148" s="74"/>
      <c r="I148" s="74"/>
      <c r="J148" s="74"/>
      <c r="K148" s="74"/>
      <c r="O148" s="74"/>
    </row>
    <row r="149" spans="1:15" x14ac:dyDescent="0.3">
      <c r="A149" s="74"/>
      <c r="B149" s="74"/>
      <c r="C149" s="74"/>
      <c r="D149" s="74"/>
      <c r="E149" s="74"/>
      <c r="F149" s="74"/>
      <c r="G149" s="74"/>
      <c r="H149" s="74"/>
      <c r="I149" s="74"/>
      <c r="J149" s="74"/>
      <c r="K149" s="74"/>
      <c r="O149" s="74"/>
    </row>
    <row r="150" spans="1:15" x14ac:dyDescent="0.3">
      <c r="A150" s="74"/>
      <c r="B150" s="74"/>
      <c r="C150" s="74"/>
      <c r="D150" s="74"/>
      <c r="E150" s="74"/>
      <c r="F150" s="74"/>
      <c r="G150" s="74"/>
      <c r="H150" s="74"/>
      <c r="I150" s="74"/>
      <c r="J150" s="74"/>
      <c r="K150" s="74"/>
      <c r="O150" s="74"/>
    </row>
    <row r="151" spans="1:15" x14ac:dyDescent="0.3">
      <c r="A151" s="74"/>
      <c r="B151" s="74"/>
      <c r="C151" s="74"/>
      <c r="D151" s="74"/>
      <c r="E151" s="74"/>
      <c r="F151" s="74"/>
      <c r="G151" s="74"/>
      <c r="H151" s="74"/>
      <c r="I151" s="74"/>
      <c r="J151" s="74"/>
      <c r="K151" s="74"/>
      <c r="O151" s="74"/>
    </row>
    <row r="152" spans="1:15" x14ac:dyDescent="0.3">
      <c r="A152" s="74"/>
      <c r="B152" s="74"/>
      <c r="C152" s="74"/>
      <c r="D152" s="74"/>
      <c r="E152" s="74"/>
      <c r="F152" s="74"/>
      <c r="G152" s="74"/>
      <c r="H152" s="74"/>
      <c r="I152" s="74"/>
      <c r="J152" s="74"/>
      <c r="K152" s="74"/>
      <c r="O152" s="74"/>
    </row>
    <row r="153" spans="1:15" x14ac:dyDescent="0.3">
      <c r="A153" s="74"/>
      <c r="B153" s="74"/>
      <c r="C153" s="74"/>
      <c r="D153" s="74"/>
      <c r="E153" s="74"/>
      <c r="F153" s="74"/>
      <c r="G153" s="74"/>
      <c r="H153" s="74"/>
      <c r="I153" s="74"/>
      <c r="J153" s="74"/>
      <c r="K153" s="74"/>
      <c r="O153" s="74"/>
    </row>
    <row r="154" spans="1:15" x14ac:dyDescent="0.3">
      <c r="O154" s="74"/>
    </row>
    <row r="155" spans="1:15" x14ac:dyDescent="0.3">
      <c r="O155" s="74"/>
    </row>
    <row r="156" spans="1:15" x14ac:dyDescent="0.3">
      <c r="O156" s="74"/>
    </row>
    <row r="157" spans="1:15" x14ac:dyDescent="0.3">
      <c r="O157" s="74"/>
    </row>
    <row r="158" spans="1:15" x14ac:dyDescent="0.3">
      <c r="O158" s="74"/>
    </row>
    <row r="159" spans="1:15" x14ac:dyDescent="0.3">
      <c r="O159" s="74"/>
    </row>
    <row r="160" spans="1:15" x14ac:dyDescent="0.3">
      <c r="O160" s="74"/>
    </row>
    <row r="161" spans="1:15" x14ac:dyDescent="0.3">
      <c r="O161" s="74"/>
    </row>
    <row r="162" spans="1:15" x14ac:dyDescent="0.3">
      <c r="O162" s="74"/>
    </row>
    <row r="163" spans="1:15" x14ac:dyDescent="0.3">
      <c r="O163" s="74"/>
    </row>
    <row r="164" spans="1:15" x14ac:dyDescent="0.3">
      <c r="O164" s="74"/>
    </row>
    <row r="165" spans="1:15" x14ac:dyDescent="0.3">
      <c r="O165" s="74"/>
    </row>
    <row r="166" spans="1:15" x14ac:dyDescent="0.3">
      <c r="O166" s="74"/>
    </row>
    <row r="167" spans="1:15" x14ac:dyDescent="0.3">
      <c r="O167" s="74"/>
    </row>
    <row r="168" spans="1:15" x14ac:dyDescent="0.3">
      <c r="O168" s="74"/>
    </row>
    <row r="169" spans="1:15" x14ac:dyDescent="0.3">
      <c r="O169" s="74"/>
    </row>
    <row r="170" spans="1:15" x14ac:dyDescent="0.3">
      <c r="A170" s="74"/>
      <c r="B170" s="74"/>
      <c r="C170" s="74"/>
      <c r="D170" s="74"/>
      <c r="E170" s="74"/>
      <c r="F170" s="74"/>
      <c r="G170" s="74"/>
      <c r="H170" s="74"/>
      <c r="I170" s="74"/>
      <c r="J170" s="74"/>
      <c r="K170" s="74"/>
      <c r="O170" s="74"/>
    </row>
    <row r="171" spans="1:15" x14ac:dyDescent="0.3">
      <c r="A171" s="74"/>
      <c r="B171" s="74"/>
      <c r="C171" s="74"/>
      <c r="D171" s="74"/>
      <c r="E171" s="74"/>
      <c r="F171" s="74"/>
      <c r="G171" s="74"/>
      <c r="H171" s="74"/>
      <c r="I171" s="74"/>
      <c r="J171" s="74"/>
      <c r="K171" s="74"/>
      <c r="O171" s="74"/>
    </row>
    <row r="172" spans="1:15" x14ac:dyDescent="0.3">
      <c r="A172" s="74"/>
      <c r="B172" s="74"/>
      <c r="C172" s="74"/>
      <c r="D172" s="74"/>
      <c r="E172" s="74"/>
      <c r="F172" s="74"/>
      <c r="G172" s="74"/>
      <c r="H172" s="74"/>
      <c r="I172" s="74"/>
      <c r="J172" s="74"/>
      <c r="K172" s="74"/>
      <c r="O172" s="74"/>
    </row>
    <row r="173" spans="1:15" x14ac:dyDescent="0.3">
      <c r="A173" s="74"/>
      <c r="B173" s="74"/>
      <c r="C173" s="74"/>
      <c r="D173" s="74"/>
      <c r="E173" s="74"/>
      <c r="F173" s="74"/>
      <c r="G173" s="74"/>
      <c r="H173" s="74"/>
      <c r="I173" s="74"/>
      <c r="J173" s="74"/>
      <c r="K173" s="74"/>
      <c r="O173" s="74"/>
    </row>
    <row r="174" spans="1:15" x14ac:dyDescent="0.3">
      <c r="A174" s="74"/>
      <c r="B174" s="74"/>
      <c r="C174" s="74"/>
      <c r="D174" s="74"/>
      <c r="E174" s="74"/>
      <c r="F174" s="74"/>
      <c r="G174" s="74"/>
      <c r="H174" s="74"/>
      <c r="I174" s="74"/>
      <c r="J174" s="74"/>
      <c r="K174" s="74"/>
      <c r="O174" s="74"/>
    </row>
    <row r="175" spans="1:15" x14ac:dyDescent="0.3">
      <c r="A175" s="74"/>
      <c r="B175" s="74"/>
      <c r="C175" s="74"/>
      <c r="D175" s="74"/>
      <c r="E175" s="74"/>
      <c r="F175" s="74"/>
      <c r="G175" s="74"/>
      <c r="H175" s="74"/>
      <c r="I175" s="74"/>
      <c r="J175" s="74"/>
      <c r="K175" s="74"/>
      <c r="O175" s="74"/>
    </row>
    <row r="176" spans="1:15" x14ac:dyDescent="0.3">
      <c r="A176" s="74"/>
      <c r="B176" s="74"/>
      <c r="C176" s="74"/>
      <c r="D176" s="74"/>
      <c r="E176" s="74"/>
      <c r="F176" s="74"/>
      <c r="G176" s="74"/>
      <c r="H176" s="74"/>
      <c r="I176" s="74"/>
      <c r="J176" s="74"/>
      <c r="K176" s="74"/>
      <c r="O176" s="74"/>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N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244" t="s">
        <v>128</v>
      </c>
      <c r="D1" s="26"/>
      <c r="E1" s="26"/>
      <c r="F1" s="26"/>
      <c r="G1" s="26"/>
      <c r="H1" s="26"/>
      <c r="I1" s="26"/>
      <c r="J1" s="26"/>
      <c r="K1" s="26"/>
      <c r="L1" s="26"/>
      <c r="M1" s="26"/>
    </row>
    <row r="2" spans="1:14" ht="15.75" x14ac:dyDescent="0.25">
      <c r="A2" s="164" t="s">
        <v>28</v>
      </c>
      <c r="B2" s="729"/>
      <c r="C2" s="729"/>
      <c r="D2" s="729"/>
      <c r="E2" s="292"/>
      <c r="F2" s="729"/>
      <c r="G2" s="729"/>
      <c r="H2" s="729"/>
      <c r="I2" s="292"/>
      <c r="J2" s="729"/>
      <c r="K2" s="729"/>
      <c r="L2" s="729"/>
      <c r="M2" s="292"/>
    </row>
    <row r="3" spans="1:14" ht="15.75" x14ac:dyDescent="0.25">
      <c r="A3" s="162"/>
      <c r="B3" s="292"/>
      <c r="C3" s="292"/>
      <c r="D3" s="292"/>
      <c r="E3" s="292"/>
      <c r="F3" s="292"/>
      <c r="G3" s="292"/>
      <c r="H3" s="292"/>
      <c r="I3" s="292"/>
      <c r="J3" s="292"/>
      <c r="K3" s="292"/>
      <c r="L3" s="292"/>
      <c r="M3" s="292"/>
    </row>
    <row r="4" spans="1:14" x14ac:dyDescent="0.2">
      <c r="A4" s="144"/>
      <c r="B4" s="725" t="s">
        <v>0</v>
      </c>
      <c r="C4" s="726"/>
      <c r="D4" s="726"/>
      <c r="E4" s="294"/>
      <c r="F4" s="725" t="s">
        <v>1</v>
      </c>
      <c r="G4" s="726"/>
      <c r="H4" s="726"/>
      <c r="I4" s="297"/>
      <c r="J4" s="725" t="s">
        <v>2</v>
      </c>
      <c r="K4" s="726"/>
      <c r="L4" s="726"/>
      <c r="M4" s="297"/>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c r="C7" s="300"/>
      <c r="D7" s="340"/>
      <c r="E7" s="11"/>
      <c r="F7" s="299"/>
      <c r="G7" s="300"/>
      <c r="H7" s="340"/>
      <c r="I7" s="159"/>
      <c r="J7" s="301"/>
      <c r="K7" s="302"/>
      <c r="L7" s="413"/>
      <c r="M7" s="11"/>
    </row>
    <row r="8" spans="1:14" ht="15.75" x14ac:dyDescent="0.2">
      <c r="A8" s="21" t="s">
        <v>25</v>
      </c>
      <c r="B8" s="277"/>
      <c r="C8" s="278"/>
      <c r="D8" s="165"/>
      <c r="E8" s="27"/>
      <c r="F8" s="281"/>
      <c r="G8" s="282"/>
      <c r="H8" s="165"/>
      <c r="I8" s="174"/>
      <c r="J8" s="230"/>
      <c r="K8" s="283"/>
      <c r="L8" s="414"/>
      <c r="M8" s="27"/>
    </row>
    <row r="9" spans="1:14" ht="15.75" x14ac:dyDescent="0.2">
      <c r="A9" s="21" t="s">
        <v>24</v>
      </c>
      <c r="B9" s="277"/>
      <c r="C9" s="278"/>
      <c r="D9" s="165"/>
      <c r="E9" s="27"/>
      <c r="F9" s="281"/>
      <c r="G9" s="282"/>
      <c r="H9" s="165"/>
      <c r="I9" s="174"/>
      <c r="J9" s="230"/>
      <c r="K9" s="283"/>
      <c r="L9" s="414"/>
      <c r="M9" s="27"/>
    </row>
    <row r="10" spans="1:14" ht="15.75" x14ac:dyDescent="0.2">
      <c r="A10" s="13" t="s">
        <v>359</v>
      </c>
      <c r="B10" s="303"/>
      <c r="C10" s="304"/>
      <c r="D10" s="170"/>
      <c r="E10" s="11"/>
      <c r="F10" s="303"/>
      <c r="G10" s="304"/>
      <c r="H10" s="170"/>
      <c r="I10" s="159"/>
      <c r="J10" s="301"/>
      <c r="K10" s="302"/>
      <c r="L10" s="414"/>
      <c r="M10" s="11"/>
    </row>
    <row r="11" spans="1:14" s="43" customFormat="1" ht="15.75" x14ac:dyDescent="0.2">
      <c r="A11" s="13" t="s">
        <v>360</v>
      </c>
      <c r="B11" s="303"/>
      <c r="C11" s="304"/>
      <c r="D11" s="170"/>
      <c r="E11" s="11"/>
      <c r="F11" s="303"/>
      <c r="G11" s="304"/>
      <c r="H11" s="170"/>
      <c r="I11" s="159"/>
      <c r="J11" s="301"/>
      <c r="K11" s="302"/>
      <c r="L11" s="414"/>
      <c r="M11" s="11"/>
      <c r="N11" s="143"/>
    </row>
    <row r="12" spans="1:14" s="43" customFormat="1" ht="15.75" x14ac:dyDescent="0.2">
      <c r="A12" s="41" t="s">
        <v>361</v>
      </c>
      <c r="B12" s="305"/>
      <c r="C12" s="306"/>
      <c r="D12" s="168"/>
      <c r="E12" s="36"/>
      <c r="F12" s="305"/>
      <c r="G12" s="306"/>
      <c r="H12" s="168"/>
      <c r="I12" s="168"/>
      <c r="J12" s="307"/>
      <c r="K12" s="308"/>
      <c r="L12" s="415"/>
      <c r="M12" s="36"/>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292"/>
      <c r="F18" s="724"/>
      <c r="G18" s="724"/>
      <c r="H18" s="724"/>
      <c r="I18" s="292"/>
      <c r="J18" s="724"/>
      <c r="K18" s="724"/>
      <c r="L18" s="724"/>
      <c r="M18" s="292"/>
    </row>
    <row r="19" spans="1:14" x14ac:dyDescent="0.2">
      <c r="A19" s="144"/>
      <c r="B19" s="725" t="s">
        <v>0</v>
      </c>
      <c r="C19" s="726"/>
      <c r="D19" s="726"/>
      <c r="E19" s="294"/>
      <c r="F19" s="725" t="s">
        <v>1</v>
      </c>
      <c r="G19" s="726"/>
      <c r="H19" s="726"/>
      <c r="I19" s="297"/>
      <c r="J19" s="725" t="s">
        <v>2</v>
      </c>
      <c r="K19" s="726"/>
      <c r="L19" s="726"/>
      <c r="M19" s="297"/>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303"/>
      <c r="C22" s="303"/>
      <c r="D22" s="340"/>
      <c r="E22" s="11"/>
      <c r="F22" s="311"/>
      <c r="G22" s="311"/>
      <c r="H22" s="340"/>
      <c r="I22" s="11"/>
      <c r="J22" s="309"/>
      <c r="K22" s="309"/>
      <c r="L22" s="413"/>
      <c r="M22" s="24"/>
    </row>
    <row r="23" spans="1:14" ht="15.75" x14ac:dyDescent="0.2">
      <c r="A23" s="555" t="s">
        <v>362</v>
      </c>
      <c r="B23" s="277"/>
      <c r="C23" s="277"/>
      <c r="D23" s="165"/>
      <c r="E23" s="11"/>
      <c r="F23" s="286"/>
      <c r="G23" s="286"/>
      <c r="H23" s="165"/>
      <c r="I23" s="403"/>
      <c r="J23" s="286"/>
      <c r="K23" s="286"/>
      <c r="L23" s="165"/>
      <c r="M23" s="23"/>
    </row>
    <row r="24" spans="1:14" ht="15.75" x14ac:dyDescent="0.2">
      <c r="A24" s="555" t="s">
        <v>363</v>
      </c>
      <c r="B24" s="277"/>
      <c r="C24" s="277"/>
      <c r="D24" s="165"/>
      <c r="E24" s="11"/>
      <c r="F24" s="286"/>
      <c r="G24" s="286"/>
      <c r="H24" s="165"/>
      <c r="I24" s="403"/>
      <c r="J24" s="286"/>
      <c r="K24" s="286"/>
      <c r="L24" s="165"/>
      <c r="M24" s="23"/>
    </row>
    <row r="25" spans="1:14" ht="15.75" x14ac:dyDescent="0.2">
      <c r="A25" s="555" t="s">
        <v>364</v>
      </c>
      <c r="B25" s="277"/>
      <c r="C25" s="277"/>
      <c r="D25" s="165"/>
      <c r="E25" s="11"/>
      <c r="F25" s="286"/>
      <c r="G25" s="286"/>
      <c r="H25" s="165"/>
      <c r="I25" s="403"/>
      <c r="J25" s="286"/>
      <c r="K25" s="286"/>
      <c r="L25" s="165"/>
      <c r="M25" s="23"/>
    </row>
    <row r="26" spans="1:14" ht="15.75" x14ac:dyDescent="0.2">
      <c r="A26" s="555" t="s">
        <v>365</v>
      </c>
      <c r="B26" s="277"/>
      <c r="C26" s="277"/>
      <c r="D26" s="165"/>
      <c r="E26" s="11"/>
      <c r="F26" s="286"/>
      <c r="G26" s="286"/>
      <c r="H26" s="165"/>
      <c r="I26" s="403"/>
      <c r="J26" s="286"/>
      <c r="K26" s="286"/>
      <c r="L26" s="165"/>
      <c r="M26" s="23"/>
    </row>
    <row r="27" spans="1:14" x14ac:dyDescent="0.2">
      <c r="A27" s="555" t="s">
        <v>11</v>
      </c>
      <c r="B27" s="277"/>
      <c r="C27" s="277"/>
      <c r="D27" s="165"/>
      <c r="E27" s="11"/>
      <c r="F27" s="286"/>
      <c r="G27" s="286"/>
      <c r="H27" s="165"/>
      <c r="I27" s="403"/>
      <c r="J27" s="286"/>
      <c r="K27" s="286"/>
      <c r="L27" s="165"/>
      <c r="M27" s="23"/>
    </row>
    <row r="28" spans="1:14" ht="15.75" x14ac:dyDescent="0.2">
      <c r="A28" s="49" t="s">
        <v>270</v>
      </c>
      <c r="B28" s="44"/>
      <c r="C28" s="283"/>
      <c r="D28" s="165"/>
      <c r="E28" s="11"/>
      <c r="F28" s="230"/>
      <c r="G28" s="283"/>
      <c r="H28" s="165"/>
      <c r="I28" s="27"/>
      <c r="J28" s="44"/>
      <c r="K28" s="44"/>
      <c r="L28" s="250"/>
      <c r="M28" s="23"/>
    </row>
    <row r="29" spans="1:14" s="3" customFormat="1" ht="15.75" x14ac:dyDescent="0.2">
      <c r="A29" s="13" t="s">
        <v>359</v>
      </c>
      <c r="B29" s="232"/>
      <c r="C29" s="232"/>
      <c r="D29" s="170"/>
      <c r="E29" s="11"/>
      <c r="F29" s="301"/>
      <c r="G29" s="301"/>
      <c r="H29" s="170"/>
      <c r="I29" s="11"/>
      <c r="J29" s="232"/>
      <c r="K29" s="232"/>
      <c r="L29" s="414"/>
      <c r="M29" s="24"/>
      <c r="N29" s="148"/>
    </row>
    <row r="30" spans="1:14" s="3" customFormat="1" ht="15.75" x14ac:dyDescent="0.2">
      <c r="A30" s="555" t="s">
        <v>362</v>
      </c>
      <c r="B30" s="277"/>
      <c r="C30" s="277"/>
      <c r="D30" s="165"/>
      <c r="E30" s="11"/>
      <c r="F30" s="286"/>
      <c r="G30" s="286"/>
      <c r="H30" s="165"/>
      <c r="I30" s="403"/>
      <c r="J30" s="286"/>
      <c r="K30" s="286"/>
      <c r="L30" s="165"/>
      <c r="M30" s="23"/>
      <c r="N30" s="148"/>
    </row>
    <row r="31" spans="1:14" s="3" customFormat="1" ht="15.75" x14ac:dyDescent="0.2">
      <c r="A31" s="555" t="s">
        <v>363</v>
      </c>
      <c r="B31" s="277"/>
      <c r="C31" s="277"/>
      <c r="D31" s="165"/>
      <c r="E31" s="11"/>
      <c r="F31" s="286"/>
      <c r="G31" s="286"/>
      <c r="H31" s="165"/>
      <c r="I31" s="403"/>
      <c r="J31" s="286"/>
      <c r="K31" s="286"/>
      <c r="L31" s="165"/>
      <c r="M31" s="23"/>
      <c r="N31" s="148"/>
    </row>
    <row r="32" spans="1:14" ht="15.75" x14ac:dyDescent="0.2">
      <c r="A32" s="555" t="s">
        <v>364</v>
      </c>
      <c r="B32" s="277"/>
      <c r="C32" s="277"/>
      <c r="D32" s="165"/>
      <c r="E32" s="11"/>
      <c r="F32" s="286"/>
      <c r="G32" s="286"/>
      <c r="H32" s="165"/>
      <c r="I32" s="403"/>
      <c r="J32" s="286"/>
      <c r="K32" s="286"/>
      <c r="L32" s="165"/>
      <c r="M32" s="23"/>
    </row>
    <row r="33" spans="1:14" ht="15.75" x14ac:dyDescent="0.2">
      <c r="A33" s="555" t="s">
        <v>365</v>
      </c>
      <c r="B33" s="277"/>
      <c r="C33" s="277"/>
      <c r="D33" s="165"/>
      <c r="E33" s="11"/>
      <c r="F33" s="286"/>
      <c r="G33" s="286"/>
      <c r="H33" s="165"/>
      <c r="I33" s="403"/>
      <c r="J33" s="286"/>
      <c r="K33" s="286"/>
      <c r="L33" s="165"/>
      <c r="M33" s="23"/>
    </row>
    <row r="34" spans="1:14" ht="15.75" x14ac:dyDescent="0.2">
      <c r="A34" s="13" t="s">
        <v>360</v>
      </c>
      <c r="B34" s="232"/>
      <c r="C34" s="302"/>
      <c r="D34" s="170"/>
      <c r="E34" s="11"/>
      <c r="F34" s="301"/>
      <c r="G34" s="302"/>
      <c r="H34" s="170"/>
      <c r="I34" s="11"/>
      <c r="J34" s="232"/>
      <c r="K34" s="232"/>
      <c r="L34" s="414"/>
      <c r="M34" s="24"/>
    </row>
    <row r="35" spans="1:14" ht="15.75" x14ac:dyDescent="0.2">
      <c r="A35" s="13" t="s">
        <v>361</v>
      </c>
      <c r="B35" s="232"/>
      <c r="C35" s="302"/>
      <c r="D35" s="170"/>
      <c r="E35" s="11"/>
      <c r="F35" s="301"/>
      <c r="G35" s="302"/>
      <c r="H35" s="170"/>
      <c r="I35" s="11"/>
      <c r="J35" s="232"/>
      <c r="K35" s="232"/>
      <c r="L35" s="414"/>
      <c r="M35" s="24"/>
    </row>
    <row r="36" spans="1:14" ht="15.75" x14ac:dyDescent="0.2">
      <c r="A36" s="12" t="s">
        <v>278</v>
      </c>
      <c r="B36" s="232"/>
      <c r="C36" s="302"/>
      <c r="D36" s="170"/>
      <c r="E36" s="11"/>
      <c r="F36" s="312"/>
      <c r="G36" s="313"/>
      <c r="H36" s="170"/>
      <c r="I36" s="420"/>
      <c r="J36" s="232"/>
      <c r="K36" s="232"/>
      <c r="L36" s="414"/>
      <c r="M36" s="24"/>
    </row>
    <row r="37" spans="1:14" ht="15.75" x14ac:dyDescent="0.2">
      <c r="A37" s="12" t="s">
        <v>367</v>
      </c>
      <c r="B37" s="232"/>
      <c r="C37" s="302"/>
      <c r="D37" s="170"/>
      <c r="E37" s="11"/>
      <c r="F37" s="312"/>
      <c r="G37" s="314"/>
      <c r="H37" s="170"/>
      <c r="I37" s="420"/>
      <c r="J37" s="232"/>
      <c r="K37" s="232"/>
      <c r="L37" s="414"/>
      <c r="M37" s="24"/>
    </row>
    <row r="38" spans="1:14" ht="15.75" x14ac:dyDescent="0.2">
      <c r="A38" s="12" t="s">
        <v>368</v>
      </c>
      <c r="B38" s="232"/>
      <c r="C38" s="302"/>
      <c r="D38" s="170"/>
      <c r="E38" s="24"/>
      <c r="F38" s="312"/>
      <c r="G38" s="313"/>
      <c r="H38" s="170"/>
      <c r="I38" s="420"/>
      <c r="J38" s="232"/>
      <c r="K38" s="232"/>
      <c r="L38" s="414"/>
      <c r="M38" s="24"/>
    </row>
    <row r="39" spans="1:14" ht="15.75" x14ac:dyDescent="0.2">
      <c r="A39" s="18" t="s">
        <v>369</v>
      </c>
      <c r="B39" s="272"/>
      <c r="C39" s="308"/>
      <c r="D39" s="168"/>
      <c r="E39" s="36"/>
      <c r="F39" s="315"/>
      <c r="G39" s="316"/>
      <c r="H39" s="168"/>
      <c r="I39" s="36"/>
      <c r="J39" s="232"/>
      <c r="K39" s="232"/>
      <c r="L39" s="415"/>
      <c r="M39" s="36"/>
    </row>
    <row r="40" spans="1:14" ht="15.75" x14ac:dyDescent="0.25">
      <c r="A40" s="47"/>
      <c r="B40" s="249"/>
      <c r="C40" s="249"/>
      <c r="D40" s="728"/>
      <c r="E40" s="728"/>
      <c r="F40" s="728"/>
      <c r="G40" s="728"/>
      <c r="H40" s="728"/>
      <c r="I40" s="728"/>
      <c r="J40" s="728"/>
      <c r="K40" s="728"/>
      <c r="L40" s="728"/>
      <c r="M40" s="295"/>
    </row>
    <row r="41" spans="1:14" x14ac:dyDescent="0.2">
      <c r="A41" s="154"/>
    </row>
    <row r="42" spans="1:14" ht="15.75" x14ac:dyDescent="0.25">
      <c r="A42" s="147" t="s">
        <v>267</v>
      </c>
      <c r="B42" s="729"/>
      <c r="C42" s="729"/>
      <c r="D42" s="729"/>
      <c r="E42" s="292"/>
      <c r="F42" s="730"/>
      <c r="G42" s="730"/>
      <c r="H42" s="730"/>
      <c r="I42" s="295"/>
      <c r="J42" s="730"/>
      <c r="K42" s="730"/>
      <c r="L42" s="730"/>
      <c r="M42" s="295"/>
    </row>
    <row r="43" spans="1:14" ht="15.75" x14ac:dyDescent="0.25">
      <c r="A43" s="162"/>
      <c r="B43" s="296"/>
      <c r="C43" s="296"/>
      <c r="D43" s="296"/>
      <c r="E43" s="296"/>
      <c r="F43" s="295"/>
      <c r="G43" s="295"/>
      <c r="H43" s="295"/>
      <c r="I43" s="295"/>
      <c r="J43" s="295"/>
      <c r="K43" s="295"/>
      <c r="L43" s="295"/>
      <c r="M43" s="295"/>
    </row>
    <row r="44" spans="1:14" ht="15.75" x14ac:dyDescent="0.25">
      <c r="A44" s="243"/>
      <c r="B44" s="725" t="s">
        <v>0</v>
      </c>
      <c r="C44" s="726"/>
      <c r="D44" s="726"/>
      <c r="E44" s="239"/>
      <c r="F44" s="295"/>
      <c r="G44" s="295"/>
      <c r="H44" s="295"/>
      <c r="I44" s="295"/>
      <c r="J44" s="295"/>
      <c r="K44" s="295"/>
      <c r="L44" s="295"/>
      <c r="M44" s="295"/>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v>364</v>
      </c>
      <c r="C47" s="304">
        <v>319</v>
      </c>
      <c r="D47" s="413">
        <f t="shared" ref="D47:D48" si="0">IF(B47=0, "    ---- ", IF(ABS(ROUND(100/B47*C47-100,1))&lt;999,ROUND(100/B47*C47-100,1),IF(ROUND(100/B47*C47-100,1)&gt;999,999,-999)))</f>
        <v>-12.4</v>
      </c>
      <c r="E47" s="11">
        <f>IFERROR(100/'Skjema total MA'!C47*C47,0)</f>
        <v>9.2316835689974942E-3</v>
      </c>
      <c r="F47" s="145"/>
      <c r="G47" s="33"/>
      <c r="H47" s="158"/>
      <c r="I47" s="158"/>
      <c r="J47" s="37"/>
      <c r="K47" s="37"/>
      <c r="L47" s="158"/>
      <c r="M47" s="158"/>
      <c r="N47" s="148"/>
    </row>
    <row r="48" spans="1:14" s="3" customFormat="1" ht="15.75" x14ac:dyDescent="0.2">
      <c r="A48" s="38" t="s">
        <v>370</v>
      </c>
      <c r="B48" s="277">
        <v>364</v>
      </c>
      <c r="C48" s="278">
        <v>319</v>
      </c>
      <c r="D48" s="250">
        <f t="shared" si="0"/>
        <v>-12.4</v>
      </c>
      <c r="E48" s="27">
        <f>IFERROR(100/'Skjema total MA'!C48*C48,0)</f>
        <v>1.6880908500837712E-2</v>
      </c>
      <c r="F48" s="145"/>
      <c r="G48" s="33"/>
      <c r="H48" s="145"/>
      <c r="I48" s="145"/>
      <c r="J48" s="33"/>
      <c r="K48" s="33"/>
      <c r="L48" s="158"/>
      <c r="M48" s="158"/>
      <c r="N48" s="148"/>
    </row>
    <row r="49" spans="1:14" s="3" customFormat="1" ht="15.75" x14ac:dyDescent="0.2">
      <c r="A49" s="38" t="s">
        <v>371</v>
      </c>
      <c r="B49" s="44"/>
      <c r="C49" s="283"/>
      <c r="D49" s="250"/>
      <c r="E49" s="27"/>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c r="C53" s="304"/>
      <c r="D53" s="414"/>
      <c r="E53" s="11"/>
      <c r="F53" s="145"/>
      <c r="G53" s="33"/>
      <c r="H53" s="145"/>
      <c r="I53" s="145"/>
      <c r="J53" s="33"/>
      <c r="K53" s="33"/>
      <c r="L53" s="158"/>
      <c r="M53" s="158"/>
      <c r="N53" s="148"/>
    </row>
    <row r="54" spans="1:14" s="3" customFormat="1" ht="15.75" x14ac:dyDescent="0.2">
      <c r="A54" s="38" t="s">
        <v>370</v>
      </c>
      <c r="B54" s="277"/>
      <c r="C54" s="278"/>
      <c r="D54" s="250"/>
      <c r="E54" s="27"/>
      <c r="F54" s="145"/>
      <c r="G54" s="33"/>
      <c r="H54" s="145"/>
      <c r="I54" s="145"/>
      <c r="J54" s="33"/>
      <c r="K54" s="33"/>
      <c r="L54" s="158"/>
      <c r="M54" s="158"/>
      <c r="N54" s="148"/>
    </row>
    <row r="55" spans="1:14" s="3" customFormat="1" ht="15.75" x14ac:dyDescent="0.2">
      <c r="A55" s="38" t="s">
        <v>371</v>
      </c>
      <c r="B55" s="277"/>
      <c r="C55" s="278"/>
      <c r="D55" s="250"/>
      <c r="E55" s="27"/>
      <c r="F55" s="145"/>
      <c r="G55" s="33"/>
      <c r="H55" s="145"/>
      <c r="I55" s="145"/>
      <c r="J55" s="33"/>
      <c r="K55" s="33"/>
      <c r="L55" s="158"/>
      <c r="M55" s="158"/>
      <c r="N55" s="148"/>
    </row>
    <row r="56" spans="1:14" s="3" customFormat="1" ht="15.75" x14ac:dyDescent="0.2">
      <c r="A56" s="39" t="s">
        <v>373</v>
      </c>
      <c r="B56" s="303"/>
      <c r="C56" s="304"/>
      <c r="D56" s="414"/>
      <c r="E56" s="11"/>
      <c r="F56" s="145"/>
      <c r="G56" s="33"/>
      <c r="H56" s="145"/>
      <c r="I56" s="145"/>
      <c r="J56" s="33"/>
      <c r="K56" s="33"/>
      <c r="L56" s="158"/>
      <c r="M56" s="158"/>
      <c r="N56" s="148"/>
    </row>
    <row r="57" spans="1:14" s="3" customFormat="1" ht="15.75" x14ac:dyDescent="0.2">
      <c r="A57" s="38" t="s">
        <v>370</v>
      </c>
      <c r="B57" s="277"/>
      <c r="C57" s="278"/>
      <c r="D57" s="250"/>
      <c r="E57" s="27"/>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292"/>
      <c r="F62" s="724"/>
      <c r="G62" s="724"/>
      <c r="H62" s="724"/>
      <c r="I62" s="292"/>
      <c r="J62" s="724"/>
      <c r="K62" s="724"/>
      <c r="L62" s="724"/>
      <c r="M62" s="292"/>
    </row>
    <row r="63" spans="1:14" x14ac:dyDescent="0.2">
      <c r="A63" s="144"/>
      <c r="B63" s="725" t="s">
        <v>0</v>
      </c>
      <c r="C63" s="726"/>
      <c r="D63" s="727"/>
      <c r="E63" s="293"/>
      <c r="F63" s="726" t="s">
        <v>1</v>
      </c>
      <c r="G63" s="726"/>
      <c r="H63" s="726"/>
      <c r="I63" s="297"/>
      <c r="J63" s="725" t="s">
        <v>2</v>
      </c>
      <c r="K63" s="726"/>
      <c r="L63" s="726"/>
      <c r="M63" s="297"/>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c r="C66" s="343"/>
      <c r="D66" s="340"/>
      <c r="E66" s="11"/>
      <c r="F66" s="342"/>
      <c r="G66" s="342"/>
      <c r="H66" s="340"/>
      <c r="I66" s="11"/>
      <c r="J66" s="302"/>
      <c r="K66" s="309"/>
      <c r="L66" s="414"/>
      <c r="M66" s="11"/>
    </row>
    <row r="67" spans="1:14" x14ac:dyDescent="0.2">
      <c r="A67" s="405" t="s">
        <v>9</v>
      </c>
      <c r="B67" s="44"/>
      <c r="C67" s="145"/>
      <c r="D67" s="165"/>
      <c r="E67" s="27"/>
      <c r="F67" s="230"/>
      <c r="G67" s="145"/>
      <c r="H67" s="165"/>
      <c r="I67" s="27"/>
      <c r="J67" s="283"/>
      <c r="K67" s="44"/>
      <c r="L67" s="250"/>
      <c r="M67" s="27"/>
    </row>
    <row r="68" spans="1:14" x14ac:dyDescent="0.2">
      <c r="A68" s="21" t="s">
        <v>10</v>
      </c>
      <c r="B68" s="287"/>
      <c r="C68" s="288"/>
      <c r="D68" s="165"/>
      <c r="E68" s="27"/>
      <c r="F68" s="287"/>
      <c r="G68" s="288"/>
      <c r="H68" s="165"/>
      <c r="I68" s="27"/>
      <c r="J68" s="283"/>
      <c r="K68" s="44"/>
      <c r="L68" s="250"/>
      <c r="M68" s="27"/>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c r="C75" s="145"/>
      <c r="D75" s="165"/>
      <c r="E75" s="27"/>
      <c r="F75" s="230"/>
      <c r="G75" s="145"/>
      <c r="H75" s="165"/>
      <c r="I75" s="27"/>
      <c r="J75" s="283"/>
      <c r="K75" s="44"/>
      <c r="L75" s="250"/>
      <c r="M75" s="27"/>
      <c r="N75" s="148"/>
    </row>
    <row r="76" spans="1:14" s="3" customFormat="1" x14ac:dyDescent="0.2">
      <c r="A76" s="21" t="s">
        <v>343</v>
      </c>
      <c r="B76" s="230"/>
      <c r="C76" s="145"/>
      <c r="D76" s="165"/>
      <c r="E76" s="27"/>
      <c r="F76" s="230"/>
      <c r="G76" s="145"/>
      <c r="H76" s="165"/>
      <c r="I76" s="27"/>
      <c r="J76" s="283"/>
      <c r="K76" s="44"/>
      <c r="L76" s="250"/>
      <c r="M76" s="27"/>
      <c r="N76" s="148"/>
    </row>
    <row r="77" spans="1:14" ht="15.75" x14ac:dyDescent="0.2">
      <c r="A77" s="21" t="s">
        <v>376</v>
      </c>
      <c r="B77" s="230"/>
      <c r="C77" s="230"/>
      <c r="D77" s="165"/>
      <c r="E77" s="27"/>
      <c r="F77" s="230"/>
      <c r="G77" s="145"/>
      <c r="H77" s="165"/>
      <c r="I77" s="27"/>
      <c r="J77" s="283"/>
      <c r="K77" s="44"/>
      <c r="L77" s="250"/>
      <c r="M77" s="27"/>
    </row>
    <row r="78" spans="1:14" x14ac:dyDescent="0.2">
      <c r="A78" s="21" t="s">
        <v>9</v>
      </c>
      <c r="B78" s="230"/>
      <c r="C78" s="145"/>
      <c r="D78" s="165"/>
      <c r="E78" s="27"/>
      <c r="F78" s="230"/>
      <c r="G78" s="145"/>
      <c r="H78" s="165"/>
      <c r="I78" s="27"/>
      <c r="J78" s="283"/>
      <c r="K78" s="44"/>
      <c r="L78" s="250"/>
      <c r="M78" s="27"/>
    </row>
    <row r="79" spans="1:14" x14ac:dyDescent="0.2">
      <c r="A79" s="38" t="s">
        <v>413</v>
      </c>
      <c r="B79" s="287"/>
      <c r="C79" s="288"/>
      <c r="D79" s="165"/>
      <c r="E79" s="27"/>
      <c r="F79" s="287"/>
      <c r="G79" s="288"/>
      <c r="H79" s="165"/>
      <c r="I79" s="27"/>
      <c r="J79" s="283"/>
      <c r="K79" s="44"/>
      <c r="L79" s="250"/>
      <c r="M79" s="27"/>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c r="C86" s="145"/>
      <c r="D86" s="165"/>
      <c r="E86" s="27"/>
      <c r="F86" s="230"/>
      <c r="G86" s="145"/>
      <c r="H86" s="165"/>
      <c r="I86" s="27"/>
      <c r="J86" s="283"/>
      <c r="K86" s="44"/>
      <c r="L86" s="250"/>
      <c r="M86" s="27"/>
    </row>
    <row r="87" spans="1:13" ht="15.75" x14ac:dyDescent="0.2">
      <c r="A87" s="13" t="s">
        <v>359</v>
      </c>
      <c r="B87" s="343"/>
      <c r="C87" s="343"/>
      <c r="D87" s="170"/>
      <c r="E87" s="11"/>
      <c r="F87" s="342"/>
      <c r="G87" s="342"/>
      <c r="H87" s="170"/>
      <c r="I87" s="11"/>
      <c r="J87" s="302"/>
      <c r="K87" s="232"/>
      <c r="L87" s="414"/>
      <c r="M87" s="11"/>
    </row>
    <row r="88" spans="1:13" x14ac:dyDescent="0.2">
      <c r="A88" s="21" t="s">
        <v>9</v>
      </c>
      <c r="B88" s="230"/>
      <c r="C88" s="145"/>
      <c r="D88" s="165"/>
      <c r="E88" s="27"/>
      <c r="F88" s="230"/>
      <c r="G88" s="145"/>
      <c r="H88" s="165"/>
      <c r="I88" s="27"/>
      <c r="J88" s="283"/>
      <c r="K88" s="44"/>
      <c r="L88" s="250"/>
      <c r="M88" s="27"/>
    </row>
    <row r="89" spans="1:13" x14ac:dyDescent="0.2">
      <c r="A89" s="21" t="s">
        <v>10</v>
      </c>
      <c r="B89" s="230"/>
      <c r="C89" s="145"/>
      <c r="D89" s="165"/>
      <c r="E89" s="27"/>
      <c r="F89" s="230"/>
      <c r="G89" s="145"/>
      <c r="H89" s="165"/>
      <c r="I89" s="27"/>
      <c r="J89" s="283"/>
      <c r="K89" s="44"/>
      <c r="L89" s="250"/>
      <c r="M89" s="27"/>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c r="C97" s="145"/>
      <c r="D97" s="165"/>
      <c r="E97" s="27"/>
      <c r="F97" s="230"/>
      <c r="G97" s="145"/>
      <c r="H97" s="165"/>
      <c r="I97" s="27"/>
      <c r="J97" s="283"/>
      <c r="K97" s="44"/>
      <c r="L97" s="250"/>
      <c r="M97" s="27"/>
    </row>
    <row r="98" spans="1:13" ht="15.75" x14ac:dyDescent="0.2">
      <c r="A98" s="21" t="s">
        <v>376</v>
      </c>
      <c r="B98" s="230"/>
      <c r="C98" s="230"/>
      <c r="D98" s="165"/>
      <c r="E98" s="27"/>
      <c r="F98" s="287"/>
      <c r="G98" s="287"/>
      <c r="H98" s="165"/>
      <c r="I98" s="27"/>
      <c r="J98" s="283"/>
      <c r="K98" s="44"/>
      <c r="L98" s="250"/>
      <c r="M98" s="27"/>
    </row>
    <row r="99" spans="1:13" x14ac:dyDescent="0.2">
      <c r="A99" s="21" t="s">
        <v>9</v>
      </c>
      <c r="B99" s="287"/>
      <c r="C99" s="288"/>
      <c r="D99" s="165"/>
      <c r="E99" s="27"/>
      <c r="F99" s="230"/>
      <c r="G99" s="145"/>
      <c r="H99" s="165"/>
      <c r="I99" s="27"/>
      <c r="J99" s="283"/>
      <c r="K99" s="44"/>
      <c r="L99" s="250"/>
      <c r="M99" s="27"/>
    </row>
    <row r="100" spans="1:13" x14ac:dyDescent="0.2">
      <c r="A100" s="38" t="s">
        <v>413</v>
      </c>
      <c r="B100" s="287"/>
      <c r="C100" s="288"/>
      <c r="D100" s="165"/>
      <c r="E100" s="27"/>
      <c r="F100" s="230"/>
      <c r="G100" s="230"/>
      <c r="H100" s="165"/>
      <c r="I100" s="27"/>
      <c r="J100" s="283"/>
      <c r="K100" s="44"/>
      <c r="L100" s="250"/>
      <c r="M100" s="27"/>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c r="C107" s="145"/>
      <c r="D107" s="165"/>
      <c r="E107" s="27"/>
      <c r="F107" s="230"/>
      <c r="G107" s="145"/>
      <c r="H107" s="165"/>
      <c r="I107" s="27"/>
      <c r="J107" s="283"/>
      <c r="K107" s="44"/>
      <c r="L107" s="250"/>
      <c r="M107" s="27"/>
    </row>
    <row r="108" spans="1:13" ht="15.75" x14ac:dyDescent="0.2">
      <c r="A108" s="21" t="s">
        <v>378</v>
      </c>
      <c r="B108" s="230"/>
      <c r="C108" s="230"/>
      <c r="D108" s="165"/>
      <c r="E108" s="27"/>
      <c r="F108" s="230"/>
      <c r="G108" s="230"/>
      <c r="H108" s="165"/>
      <c r="I108" s="27"/>
      <c r="J108" s="283"/>
      <c r="K108" s="44"/>
      <c r="L108" s="250"/>
      <c r="M108" s="27"/>
    </row>
    <row r="109" spans="1:13" ht="15.6" customHeight="1" x14ac:dyDescent="0.2">
      <c r="A109" s="21" t="s">
        <v>430</v>
      </c>
      <c r="B109" s="230"/>
      <c r="C109" s="230"/>
      <c r="D109" s="165"/>
      <c r="E109" s="27"/>
      <c r="F109" s="230"/>
      <c r="G109" s="230"/>
      <c r="H109" s="165"/>
      <c r="I109" s="27"/>
      <c r="J109" s="283"/>
      <c r="K109" s="44"/>
      <c r="L109" s="250"/>
      <c r="M109" s="27"/>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c r="C111" s="158"/>
      <c r="D111" s="170"/>
      <c r="E111" s="11"/>
      <c r="F111" s="301"/>
      <c r="G111" s="158"/>
      <c r="H111" s="170"/>
      <c r="I111" s="11"/>
      <c r="J111" s="302"/>
      <c r="K111" s="232"/>
      <c r="L111" s="414"/>
      <c r="M111" s="11"/>
    </row>
    <row r="112" spans="1:13" x14ac:dyDescent="0.2">
      <c r="A112" s="21" t="s">
        <v>9</v>
      </c>
      <c r="B112" s="230"/>
      <c r="C112" s="145"/>
      <c r="D112" s="165"/>
      <c r="E112" s="27"/>
      <c r="F112" s="230"/>
      <c r="G112" s="145"/>
      <c r="H112" s="165"/>
      <c r="I112" s="27"/>
      <c r="J112" s="283"/>
      <c r="K112" s="44"/>
      <c r="L112" s="250"/>
      <c r="M112" s="27"/>
    </row>
    <row r="113" spans="1:14" x14ac:dyDescent="0.2">
      <c r="A113" s="21" t="s">
        <v>10</v>
      </c>
      <c r="B113" s="230"/>
      <c r="C113" s="145"/>
      <c r="D113" s="165"/>
      <c r="E113" s="27"/>
      <c r="F113" s="230"/>
      <c r="G113" s="145"/>
      <c r="H113" s="165"/>
      <c r="I113" s="27"/>
      <c r="J113" s="283"/>
      <c r="K113" s="44"/>
      <c r="L113" s="250"/>
      <c r="M113" s="27"/>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c r="C116" s="230"/>
      <c r="D116" s="165"/>
      <c r="E116" s="27"/>
      <c r="F116" s="230"/>
      <c r="G116" s="230"/>
      <c r="H116" s="165"/>
      <c r="I116" s="27"/>
      <c r="J116" s="283"/>
      <c r="K116" s="44"/>
      <c r="L116" s="250"/>
      <c r="M116" s="27"/>
    </row>
    <row r="117" spans="1:14" ht="15.6" customHeight="1" x14ac:dyDescent="0.2">
      <c r="A117" s="21" t="s">
        <v>430</v>
      </c>
      <c r="B117" s="230"/>
      <c r="C117" s="230"/>
      <c r="D117" s="165"/>
      <c r="E117" s="27"/>
      <c r="F117" s="230"/>
      <c r="G117" s="230"/>
      <c r="H117" s="165"/>
      <c r="I117" s="27"/>
      <c r="J117" s="283"/>
      <c r="K117" s="44"/>
      <c r="L117" s="250"/>
      <c r="M117" s="27"/>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c r="C119" s="158"/>
      <c r="D119" s="170"/>
      <c r="E119" s="11"/>
      <c r="F119" s="301"/>
      <c r="G119" s="158"/>
      <c r="H119" s="170"/>
      <c r="I119" s="11"/>
      <c r="J119" s="302"/>
      <c r="K119" s="232"/>
      <c r="L119" s="414"/>
      <c r="M119" s="11"/>
    </row>
    <row r="120" spans="1:14" x14ac:dyDescent="0.2">
      <c r="A120" s="21" t="s">
        <v>9</v>
      </c>
      <c r="B120" s="230"/>
      <c r="C120" s="145"/>
      <c r="D120" s="165"/>
      <c r="E120" s="27"/>
      <c r="F120" s="230"/>
      <c r="G120" s="145"/>
      <c r="H120" s="165"/>
      <c r="I120" s="27"/>
      <c r="J120" s="283"/>
      <c r="K120" s="44"/>
      <c r="L120" s="250"/>
      <c r="M120" s="27"/>
    </row>
    <row r="121" spans="1:14" x14ac:dyDescent="0.2">
      <c r="A121" s="21" t="s">
        <v>10</v>
      </c>
      <c r="B121" s="230"/>
      <c r="C121" s="145"/>
      <c r="D121" s="165"/>
      <c r="E121" s="27"/>
      <c r="F121" s="230"/>
      <c r="G121" s="145"/>
      <c r="H121" s="165"/>
      <c r="I121" s="27"/>
      <c r="J121" s="283"/>
      <c r="K121" s="44"/>
      <c r="L121" s="250"/>
      <c r="M121" s="27"/>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c r="C125" s="230"/>
      <c r="D125" s="165"/>
      <c r="E125" s="27"/>
      <c r="F125" s="230"/>
      <c r="G125" s="230"/>
      <c r="H125" s="165"/>
      <c r="I125" s="27"/>
      <c r="J125" s="283"/>
      <c r="K125" s="44"/>
      <c r="L125" s="250"/>
      <c r="M125" s="27"/>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292"/>
      <c r="F130" s="724"/>
      <c r="G130" s="724"/>
      <c r="H130" s="724"/>
      <c r="I130" s="292"/>
      <c r="J130" s="724"/>
      <c r="K130" s="724"/>
      <c r="L130" s="724"/>
      <c r="M130" s="292"/>
    </row>
    <row r="131" spans="1:14" s="3" customFormat="1" x14ac:dyDescent="0.2">
      <c r="A131" s="144"/>
      <c r="B131" s="725" t="s">
        <v>0</v>
      </c>
      <c r="C131" s="726"/>
      <c r="D131" s="726"/>
      <c r="E131" s="294"/>
      <c r="F131" s="725" t="s">
        <v>1</v>
      </c>
      <c r="G131" s="726"/>
      <c r="H131" s="726"/>
      <c r="I131" s="297"/>
      <c r="J131" s="725" t="s">
        <v>2</v>
      </c>
      <c r="K131" s="726"/>
      <c r="L131" s="726"/>
      <c r="M131" s="297"/>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c r="C134" s="302"/>
      <c r="D134" s="340"/>
      <c r="E134" s="11"/>
      <c r="F134" s="309"/>
      <c r="G134" s="310"/>
      <c r="H134" s="417"/>
      <c r="I134" s="24"/>
      <c r="J134" s="311"/>
      <c r="K134" s="311"/>
      <c r="L134" s="413"/>
      <c r="M134" s="11"/>
      <c r="N134" s="148"/>
    </row>
    <row r="135" spans="1:14" s="3" customFormat="1" ht="15.75" x14ac:dyDescent="0.2">
      <c r="A135" s="13" t="s">
        <v>386</v>
      </c>
      <c r="B135" s="232"/>
      <c r="C135" s="302"/>
      <c r="D135" s="170"/>
      <c r="E135" s="11"/>
      <c r="F135" s="232"/>
      <c r="G135" s="302"/>
      <c r="H135" s="418"/>
      <c r="I135" s="24"/>
      <c r="J135" s="301"/>
      <c r="K135" s="301"/>
      <c r="L135" s="414"/>
      <c r="M135" s="11"/>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265" priority="12">
      <formula>kvartal &lt; 4</formula>
    </cfRule>
  </conditionalFormatting>
  <conditionalFormatting sqref="A69:A74">
    <cfRule type="expression" dxfId="264" priority="10">
      <formula>kvartal &lt; 4</formula>
    </cfRule>
  </conditionalFormatting>
  <conditionalFormatting sqref="A80:A85">
    <cfRule type="expression" dxfId="263" priority="9">
      <formula>kvartal &lt; 4</formula>
    </cfRule>
  </conditionalFormatting>
  <conditionalFormatting sqref="A90:A95">
    <cfRule type="expression" dxfId="262" priority="6">
      <formula>kvartal &lt; 4</formula>
    </cfRule>
  </conditionalFormatting>
  <conditionalFormatting sqref="A101:A106">
    <cfRule type="expression" dxfId="261" priority="5">
      <formula>kvartal &lt; 4</formula>
    </cfRule>
  </conditionalFormatting>
  <conditionalFormatting sqref="A115">
    <cfRule type="expression" dxfId="260" priority="4">
      <formula>kvartal &lt; 4</formula>
    </cfRule>
  </conditionalFormatting>
  <conditionalFormatting sqref="A123">
    <cfRule type="expression" dxfId="259" priority="3">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N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244" t="s">
        <v>97</v>
      </c>
      <c r="D1" s="26"/>
      <c r="E1" s="26"/>
      <c r="F1" s="26"/>
      <c r="G1" s="26"/>
      <c r="H1" s="26"/>
      <c r="I1" s="26"/>
      <c r="J1" s="26"/>
      <c r="K1" s="26"/>
      <c r="L1" s="26"/>
      <c r="M1" s="26"/>
    </row>
    <row r="2" spans="1:14" ht="15.75" x14ac:dyDescent="0.25">
      <c r="A2" s="164" t="s">
        <v>28</v>
      </c>
      <c r="B2" s="729"/>
      <c r="C2" s="729"/>
      <c r="D2" s="729"/>
      <c r="E2" s="292"/>
      <c r="F2" s="729"/>
      <c r="G2" s="729"/>
      <c r="H2" s="729"/>
      <c r="I2" s="292"/>
      <c r="J2" s="729"/>
      <c r="K2" s="729"/>
      <c r="L2" s="729"/>
      <c r="M2" s="292"/>
    </row>
    <row r="3" spans="1:14" ht="15.75" x14ac:dyDescent="0.25">
      <c r="A3" s="162"/>
      <c r="B3" s="292"/>
      <c r="C3" s="292"/>
      <c r="D3" s="292"/>
      <c r="E3" s="292"/>
      <c r="F3" s="292"/>
      <c r="G3" s="292"/>
      <c r="H3" s="292"/>
      <c r="I3" s="292"/>
      <c r="J3" s="292"/>
      <c r="K3" s="292"/>
      <c r="L3" s="292"/>
      <c r="M3" s="292"/>
    </row>
    <row r="4" spans="1:14" x14ac:dyDescent="0.2">
      <c r="A4" s="144"/>
      <c r="B4" s="725" t="s">
        <v>0</v>
      </c>
      <c r="C4" s="726"/>
      <c r="D4" s="726"/>
      <c r="E4" s="294"/>
      <c r="F4" s="725" t="s">
        <v>1</v>
      </c>
      <c r="G4" s="726"/>
      <c r="H4" s="726"/>
      <c r="I4" s="297"/>
      <c r="J4" s="725" t="s">
        <v>2</v>
      </c>
      <c r="K4" s="726"/>
      <c r="L4" s="726"/>
      <c r="M4" s="297"/>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c r="C7" s="300"/>
      <c r="D7" s="340"/>
      <c r="E7" s="11"/>
      <c r="F7" s="299"/>
      <c r="G7" s="300"/>
      <c r="H7" s="340"/>
      <c r="I7" s="159"/>
      <c r="J7" s="301"/>
      <c r="K7" s="302"/>
      <c r="L7" s="413"/>
      <c r="M7" s="11"/>
    </row>
    <row r="8" spans="1:14" ht="15.75" x14ac:dyDescent="0.2">
      <c r="A8" s="21" t="s">
        <v>25</v>
      </c>
      <c r="B8" s="277"/>
      <c r="C8" s="278"/>
      <c r="D8" s="165"/>
      <c r="E8" s="27"/>
      <c r="F8" s="281"/>
      <c r="G8" s="282"/>
      <c r="H8" s="165"/>
      <c r="I8" s="174"/>
      <c r="J8" s="230"/>
      <c r="K8" s="283"/>
      <c r="L8" s="250"/>
      <c r="M8" s="27"/>
    </row>
    <row r="9" spans="1:14" ht="15.75" x14ac:dyDescent="0.2">
      <c r="A9" s="21" t="s">
        <v>24</v>
      </c>
      <c r="B9" s="277"/>
      <c r="C9" s="278"/>
      <c r="D9" s="165"/>
      <c r="E9" s="27"/>
      <c r="F9" s="281"/>
      <c r="G9" s="282"/>
      <c r="H9" s="165"/>
      <c r="I9" s="174"/>
      <c r="J9" s="230"/>
      <c r="K9" s="283"/>
      <c r="L9" s="250"/>
      <c r="M9" s="27"/>
    </row>
    <row r="10" spans="1:14" ht="15.75" x14ac:dyDescent="0.2">
      <c r="A10" s="13" t="s">
        <v>359</v>
      </c>
      <c r="B10" s="303"/>
      <c r="C10" s="304"/>
      <c r="D10" s="170"/>
      <c r="E10" s="11"/>
      <c r="F10" s="303"/>
      <c r="G10" s="304"/>
      <c r="H10" s="170"/>
      <c r="I10" s="159"/>
      <c r="J10" s="301"/>
      <c r="K10" s="302"/>
      <c r="L10" s="414"/>
      <c r="M10" s="11"/>
    </row>
    <row r="11" spans="1:14" s="43" customFormat="1" ht="15.75" x14ac:dyDescent="0.2">
      <c r="A11" s="13" t="s">
        <v>360</v>
      </c>
      <c r="B11" s="303"/>
      <c r="C11" s="304"/>
      <c r="D11" s="170"/>
      <c r="E11" s="11"/>
      <c r="F11" s="303"/>
      <c r="G11" s="304"/>
      <c r="H11" s="170"/>
      <c r="I11" s="159"/>
      <c r="J11" s="301"/>
      <c r="K11" s="302"/>
      <c r="L11" s="414"/>
      <c r="M11" s="11"/>
      <c r="N11" s="143"/>
    </row>
    <row r="12" spans="1:14" s="43" customFormat="1" ht="15.75" x14ac:dyDescent="0.2">
      <c r="A12" s="41" t="s">
        <v>361</v>
      </c>
      <c r="B12" s="305"/>
      <c r="C12" s="306"/>
      <c r="D12" s="168"/>
      <c r="E12" s="36"/>
      <c r="F12" s="305"/>
      <c r="G12" s="306"/>
      <c r="H12" s="168"/>
      <c r="I12" s="168"/>
      <c r="J12" s="307"/>
      <c r="K12" s="308"/>
      <c r="L12" s="415"/>
      <c r="M12" s="36"/>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292"/>
      <c r="F18" s="724"/>
      <c r="G18" s="724"/>
      <c r="H18" s="724"/>
      <c r="I18" s="292"/>
      <c r="J18" s="724"/>
      <c r="K18" s="724"/>
      <c r="L18" s="724"/>
      <c r="M18" s="292"/>
    </row>
    <row r="19" spans="1:14" x14ac:dyDescent="0.2">
      <c r="A19" s="144"/>
      <c r="B19" s="725" t="s">
        <v>0</v>
      </c>
      <c r="C19" s="726"/>
      <c r="D19" s="726"/>
      <c r="E19" s="294"/>
      <c r="F19" s="725" t="s">
        <v>1</v>
      </c>
      <c r="G19" s="726"/>
      <c r="H19" s="726"/>
      <c r="I19" s="297"/>
      <c r="J19" s="725" t="s">
        <v>2</v>
      </c>
      <c r="K19" s="726"/>
      <c r="L19" s="726"/>
      <c r="M19" s="297"/>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303"/>
      <c r="C22" s="303"/>
      <c r="D22" s="340"/>
      <c r="E22" s="11"/>
      <c r="F22" s="311"/>
      <c r="G22" s="311"/>
      <c r="H22" s="340"/>
      <c r="I22" s="11"/>
      <c r="J22" s="309"/>
      <c r="K22" s="309"/>
      <c r="L22" s="413"/>
      <c r="M22" s="24"/>
    </row>
    <row r="23" spans="1:14" ht="15.75" x14ac:dyDescent="0.2">
      <c r="A23" s="555" t="s">
        <v>362</v>
      </c>
      <c r="B23" s="277"/>
      <c r="C23" s="277"/>
      <c r="D23" s="165"/>
      <c r="E23" s="11"/>
      <c r="F23" s="286"/>
      <c r="G23" s="286"/>
      <c r="H23" s="165"/>
      <c r="I23" s="403"/>
      <c r="J23" s="286"/>
      <c r="K23" s="286"/>
      <c r="L23" s="165"/>
      <c r="M23" s="23"/>
    </row>
    <row r="24" spans="1:14" ht="15.75" x14ac:dyDescent="0.2">
      <c r="A24" s="555" t="s">
        <v>363</v>
      </c>
      <c r="B24" s="277"/>
      <c r="C24" s="277"/>
      <c r="D24" s="165"/>
      <c r="E24" s="11"/>
      <c r="F24" s="286"/>
      <c r="G24" s="286"/>
      <c r="H24" s="165"/>
      <c r="I24" s="403"/>
      <c r="J24" s="286"/>
      <c r="K24" s="286"/>
      <c r="L24" s="165"/>
      <c r="M24" s="23"/>
    </row>
    <row r="25" spans="1:14" ht="15.75" x14ac:dyDescent="0.2">
      <c r="A25" s="555" t="s">
        <v>364</v>
      </c>
      <c r="B25" s="277"/>
      <c r="C25" s="277"/>
      <c r="D25" s="165"/>
      <c r="E25" s="11"/>
      <c r="F25" s="286"/>
      <c r="G25" s="286"/>
      <c r="H25" s="165"/>
      <c r="I25" s="403"/>
      <c r="J25" s="286"/>
      <c r="K25" s="286"/>
      <c r="L25" s="165"/>
      <c r="M25" s="23"/>
    </row>
    <row r="26" spans="1:14" ht="15.75" x14ac:dyDescent="0.2">
      <c r="A26" s="555" t="s">
        <v>365</v>
      </c>
      <c r="B26" s="277"/>
      <c r="C26" s="277"/>
      <c r="D26" s="165"/>
      <c r="E26" s="11"/>
      <c r="F26" s="286"/>
      <c r="G26" s="286"/>
      <c r="H26" s="165"/>
      <c r="I26" s="403"/>
      <c r="J26" s="286"/>
      <c r="K26" s="286"/>
      <c r="L26" s="165"/>
      <c r="M26" s="23"/>
    </row>
    <row r="27" spans="1:14" x14ac:dyDescent="0.2">
      <c r="A27" s="555" t="s">
        <v>11</v>
      </c>
      <c r="B27" s="277"/>
      <c r="C27" s="277"/>
      <c r="D27" s="165"/>
      <c r="E27" s="11"/>
      <c r="F27" s="286"/>
      <c r="G27" s="286"/>
      <c r="H27" s="165"/>
      <c r="I27" s="403"/>
      <c r="J27" s="286"/>
      <c r="K27" s="286"/>
      <c r="L27" s="165"/>
      <c r="M27" s="23"/>
    </row>
    <row r="28" spans="1:14" ht="15.75" x14ac:dyDescent="0.2">
      <c r="A28" s="49" t="s">
        <v>270</v>
      </c>
      <c r="B28" s="44"/>
      <c r="C28" s="283"/>
      <c r="D28" s="165"/>
      <c r="E28" s="11"/>
      <c r="F28" s="230"/>
      <c r="G28" s="283"/>
      <c r="H28" s="165"/>
      <c r="I28" s="27"/>
      <c r="J28" s="44"/>
      <c r="K28" s="44"/>
      <c r="L28" s="250"/>
      <c r="M28" s="23"/>
    </row>
    <row r="29" spans="1:14" s="3" customFormat="1" ht="15.75" x14ac:dyDescent="0.2">
      <c r="A29" s="13" t="s">
        <v>359</v>
      </c>
      <c r="B29" s="232"/>
      <c r="C29" s="232"/>
      <c r="D29" s="170"/>
      <c r="E29" s="11"/>
      <c r="F29" s="301"/>
      <c r="G29" s="301"/>
      <c r="H29" s="170"/>
      <c r="I29" s="11"/>
      <c r="J29" s="232"/>
      <c r="K29" s="232"/>
      <c r="L29" s="414"/>
      <c r="M29" s="24"/>
      <c r="N29" s="148"/>
    </row>
    <row r="30" spans="1:14" s="3" customFormat="1" ht="15.75" x14ac:dyDescent="0.2">
      <c r="A30" s="555" t="s">
        <v>362</v>
      </c>
      <c r="B30" s="277"/>
      <c r="C30" s="277"/>
      <c r="D30" s="165"/>
      <c r="E30" s="11"/>
      <c r="F30" s="286"/>
      <c r="G30" s="286"/>
      <c r="H30" s="165"/>
      <c r="I30" s="403"/>
      <c r="J30" s="286"/>
      <c r="K30" s="286"/>
      <c r="L30" s="165"/>
      <c r="M30" s="23"/>
      <c r="N30" s="148"/>
    </row>
    <row r="31" spans="1:14" s="3" customFormat="1" ht="15.75" x14ac:dyDescent="0.2">
      <c r="A31" s="555" t="s">
        <v>363</v>
      </c>
      <c r="B31" s="277"/>
      <c r="C31" s="277"/>
      <c r="D31" s="165"/>
      <c r="E31" s="11"/>
      <c r="F31" s="286"/>
      <c r="G31" s="286"/>
      <c r="H31" s="165"/>
      <c r="I31" s="403"/>
      <c r="J31" s="286"/>
      <c r="K31" s="286"/>
      <c r="L31" s="165"/>
      <c r="M31" s="23"/>
      <c r="N31" s="148"/>
    </row>
    <row r="32" spans="1:14" ht="15.75" x14ac:dyDescent="0.2">
      <c r="A32" s="555" t="s">
        <v>364</v>
      </c>
      <c r="B32" s="277"/>
      <c r="C32" s="277"/>
      <c r="D32" s="165"/>
      <c r="E32" s="11"/>
      <c r="F32" s="286"/>
      <c r="G32" s="286"/>
      <c r="H32" s="165"/>
      <c r="I32" s="403"/>
      <c r="J32" s="286"/>
      <c r="K32" s="286"/>
      <c r="L32" s="165"/>
      <c r="M32" s="23"/>
    </row>
    <row r="33" spans="1:14" ht="15.75" x14ac:dyDescent="0.2">
      <c r="A33" s="555" t="s">
        <v>365</v>
      </c>
      <c r="B33" s="277"/>
      <c r="C33" s="277"/>
      <c r="D33" s="165"/>
      <c r="E33" s="11"/>
      <c r="F33" s="286"/>
      <c r="G33" s="286"/>
      <c r="H33" s="165"/>
      <c r="I33" s="403"/>
      <c r="J33" s="286"/>
      <c r="K33" s="286"/>
      <c r="L33" s="165"/>
      <c r="M33" s="23"/>
    </row>
    <row r="34" spans="1:14" ht="15.75" x14ac:dyDescent="0.2">
      <c r="A34" s="13" t="s">
        <v>360</v>
      </c>
      <c r="B34" s="232"/>
      <c r="C34" s="302"/>
      <c r="D34" s="170"/>
      <c r="E34" s="11"/>
      <c r="F34" s="301"/>
      <c r="G34" s="302"/>
      <c r="H34" s="170"/>
      <c r="I34" s="11"/>
      <c r="J34" s="232"/>
      <c r="K34" s="232"/>
      <c r="L34" s="414"/>
      <c r="M34" s="24"/>
    </row>
    <row r="35" spans="1:14" ht="15.75" x14ac:dyDescent="0.2">
      <c r="A35" s="13" t="s">
        <v>361</v>
      </c>
      <c r="B35" s="232"/>
      <c r="C35" s="302"/>
      <c r="D35" s="170"/>
      <c r="E35" s="11"/>
      <c r="F35" s="301"/>
      <c r="G35" s="302"/>
      <c r="H35" s="170"/>
      <c r="I35" s="11"/>
      <c r="J35" s="232"/>
      <c r="K35" s="232"/>
      <c r="L35" s="414"/>
      <c r="M35" s="24"/>
    </row>
    <row r="36" spans="1:14" ht="15.75" x14ac:dyDescent="0.2">
      <c r="A36" s="12" t="s">
        <v>278</v>
      </c>
      <c r="B36" s="232"/>
      <c r="C36" s="302"/>
      <c r="D36" s="170"/>
      <c r="E36" s="11"/>
      <c r="F36" s="312"/>
      <c r="G36" s="313"/>
      <c r="H36" s="170"/>
      <c r="I36" s="420"/>
      <c r="J36" s="232"/>
      <c r="K36" s="232"/>
      <c r="L36" s="414"/>
      <c r="M36" s="24"/>
    </row>
    <row r="37" spans="1:14" ht="15.75" x14ac:dyDescent="0.2">
      <c r="A37" s="12" t="s">
        <v>367</v>
      </c>
      <c r="B37" s="232"/>
      <c r="C37" s="302"/>
      <c r="D37" s="170"/>
      <c r="E37" s="11"/>
      <c r="F37" s="312"/>
      <c r="G37" s="314"/>
      <c r="H37" s="170"/>
      <c r="I37" s="420"/>
      <c r="J37" s="232"/>
      <c r="K37" s="232"/>
      <c r="L37" s="414"/>
      <c r="M37" s="24"/>
    </row>
    <row r="38" spans="1:14" ht="15.75" x14ac:dyDescent="0.2">
      <c r="A38" s="12" t="s">
        <v>368</v>
      </c>
      <c r="B38" s="232"/>
      <c r="C38" s="302"/>
      <c r="D38" s="418"/>
      <c r="E38" s="24"/>
      <c r="F38" s="312"/>
      <c r="G38" s="313"/>
      <c r="H38" s="170"/>
      <c r="I38" s="420"/>
      <c r="J38" s="232"/>
      <c r="K38" s="232"/>
      <c r="L38" s="414"/>
      <c r="M38" s="24"/>
    </row>
    <row r="39" spans="1:14" ht="15.75" x14ac:dyDescent="0.2">
      <c r="A39" s="18" t="s">
        <v>369</v>
      </c>
      <c r="B39" s="272"/>
      <c r="C39" s="308"/>
      <c r="D39" s="419"/>
      <c r="E39" s="36"/>
      <c r="F39" s="315"/>
      <c r="G39" s="316"/>
      <c r="H39" s="168"/>
      <c r="I39" s="36"/>
      <c r="J39" s="232"/>
      <c r="K39" s="232"/>
      <c r="L39" s="415"/>
      <c r="M39" s="36"/>
    </row>
    <row r="40" spans="1:14" ht="15.75" x14ac:dyDescent="0.25">
      <c r="A40" s="47"/>
      <c r="B40" s="249"/>
      <c r="C40" s="249"/>
      <c r="D40" s="728"/>
      <c r="E40" s="730"/>
      <c r="F40" s="728"/>
      <c r="G40" s="728"/>
      <c r="H40" s="728"/>
      <c r="I40" s="728"/>
      <c r="J40" s="728"/>
      <c r="K40" s="728"/>
      <c r="L40" s="728"/>
      <c r="M40" s="295"/>
    </row>
    <row r="41" spans="1:14" x14ac:dyDescent="0.2">
      <c r="A41" s="154"/>
    </row>
    <row r="42" spans="1:14" ht="15.75" x14ac:dyDescent="0.25">
      <c r="A42" s="147" t="s">
        <v>267</v>
      </c>
      <c r="B42" s="729"/>
      <c r="C42" s="729"/>
      <c r="D42" s="729"/>
      <c r="E42" s="292"/>
      <c r="F42" s="730"/>
      <c r="G42" s="730"/>
      <c r="H42" s="730"/>
      <c r="I42" s="295"/>
      <c r="J42" s="730"/>
      <c r="K42" s="730"/>
      <c r="L42" s="730"/>
      <c r="M42" s="295"/>
    </row>
    <row r="43" spans="1:14" ht="15.75" x14ac:dyDescent="0.25">
      <c r="A43" s="162"/>
      <c r="B43" s="296"/>
      <c r="C43" s="296"/>
      <c r="D43" s="296"/>
      <c r="E43" s="296"/>
      <c r="F43" s="295"/>
      <c r="G43" s="295"/>
      <c r="H43" s="295"/>
      <c r="I43" s="295"/>
      <c r="J43" s="295"/>
      <c r="K43" s="295"/>
      <c r="L43" s="295"/>
      <c r="M43" s="295"/>
    </row>
    <row r="44" spans="1:14" ht="15.75" x14ac:dyDescent="0.25">
      <c r="A44" s="243"/>
      <c r="B44" s="725" t="s">
        <v>0</v>
      </c>
      <c r="C44" s="726"/>
      <c r="D44" s="726"/>
      <c r="E44" s="239"/>
      <c r="F44" s="295"/>
      <c r="G44" s="295"/>
      <c r="H44" s="295"/>
      <c r="I44" s="295"/>
      <c r="J44" s="295"/>
      <c r="K44" s="295"/>
      <c r="L44" s="295"/>
      <c r="M44" s="295"/>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v>519007.69999999995</v>
      </c>
      <c r="C47" s="304">
        <v>546669.5</v>
      </c>
      <c r="D47" s="413">
        <f t="shared" ref="D47:D57" si="0">IF(B47=0, "    ---- ", IF(ABS(ROUND(100/B47*C47-100,1))&lt;999,ROUND(100/B47*C47-100,1),IF(ROUND(100/B47*C47-100,1)&gt;999,999,-999)))</f>
        <v>5.3</v>
      </c>
      <c r="E47" s="11">
        <f>IFERROR(100/'Skjema total MA'!C47*C47,0)</f>
        <v>15.820312980633465</v>
      </c>
      <c r="F47" s="145"/>
      <c r="G47" s="33"/>
      <c r="H47" s="158"/>
      <c r="I47" s="158"/>
      <c r="J47" s="37"/>
      <c r="K47" s="37"/>
      <c r="L47" s="158"/>
      <c r="M47" s="158"/>
      <c r="N47" s="148"/>
    </row>
    <row r="48" spans="1:14" s="3" customFormat="1" ht="15.75" x14ac:dyDescent="0.2">
      <c r="A48" s="38" t="s">
        <v>370</v>
      </c>
      <c r="B48" s="277">
        <v>98304.4</v>
      </c>
      <c r="C48" s="278">
        <v>99027.6</v>
      </c>
      <c r="D48" s="250">
        <f t="shared" si="0"/>
        <v>0.7</v>
      </c>
      <c r="E48" s="27">
        <f>IFERROR(100/'Skjema total MA'!C48*C48,0)</f>
        <v>5.2403631807446924</v>
      </c>
      <c r="F48" s="145"/>
      <c r="G48" s="33"/>
      <c r="H48" s="145"/>
      <c r="I48" s="145"/>
      <c r="J48" s="33"/>
      <c r="K48" s="33"/>
      <c r="L48" s="158"/>
      <c r="M48" s="158"/>
      <c r="N48" s="148"/>
    </row>
    <row r="49" spans="1:14" s="3" customFormat="1" ht="15.75" x14ac:dyDescent="0.2">
      <c r="A49" s="38" t="s">
        <v>371</v>
      </c>
      <c r="B49" s="44">
        <v>420703.3</v>
      </c>
      <c r="C49" s="283">
        <v>447641.9</v>
      </c>
      <c r="D49" s="250">
        <f>IF(B49=0, "    ---- ", IF(ABS(ROUND(100/B49*C49-100,1))&lt;999,ROUND(100/B49*C49-100,1),IF(ROUND(100/B49*C49-100,1)&gt;999,999,-999)))</f>
        <v>6.4</v>
      </c>
      <c r="E49" s="27">
        <f>IFERROR(100/'Skjema total MA'!C49*C49,0)</f>
        <v>28.58902479114554</v>
      </c>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v>1609</v>
      </c>
      <c r="C53" s="304">
        <v>23767.3</v>
      </c>
      <c r="D53" s="414">
        <f t="shared" si="0"/>
        <v>999</v>
      </c>
      <c r="E53" s="11">
        <f>IFERROR(100/'Skjema total MA'!C53*C53,0)</f>
        <v>22.218336869429201</v>
      </c>
      <c r="F53" s="145"/>
      <c r="G53" s="33"/>
      <c r="H53" s="145"/>
      <c r="I53" s="145"/>
      <c r="J53" s="33"/>
      <c r="K53" s="33"/>
      <c r="L53" s="158"/>
      <c r="M53" s="158"/>
      <c r="N53" s="148"/>
    </row>
    <row r="54" spans="1:14" s="3" customFormat="1" ht="15.75" x14ac:dyDescent="0.2">
      <c r="A54" s="38" t="s">
        <v>370</v>
      </c>
      <c r="B54" s="277">
        <v>1609</v>
      </c>
      <c r="C54" s="278">
        <v>23767.3</v>
      </c>
      <c r="D54" s="250">
        <f t="shared" si="0"/>
        <v>999</v>
      </c>
      <c r="E54" s="27">
        <f>IFERROR(100/'Skjema total MA'!C54*C54,0)</f>
        <v>25.550040536943769</v>
      </c>
      <c r="F54" s="145"/>
      <c r="G54" s="33"/>
      <c r="H54" s="145"/>
      <c r="I54" s="145"/>
      <c r="J54" s="33"/>
      <c r="K54" s="33"/>
      <c r="L54" s="158"/>
      <c r="M54" s="158"/>
      <c r="N54" s="148"/>
    </row>
    <row r="55" spans="1:14" s="3" customFormat="1" ht="15.75" x14ac:dyDescent="0.2">
      <c r="A55" s="38" t="s">
        <v>371</v>
      </c>
      <c r="B55" s="277"/>
      <c r="C55" s="278"/>
      <c r="D55" s="250"/>
      <c r="E55" s="27"/>
      <c r="F55" s="145"/>
      <c r="G55" s="33"/>
      <c r="H55" s="145"/>
      <c r="I55" s="145"/>
      <c r="J55" s="33"/>
      <c r="K55" s="33"/>
      <c r="L55" s="158"/>
      <c r="M55" s="158"/>
      <c r="N55" s="148"/>
    </row>
    <row r="56" spans="1:14" s="3" customFormat="1" ht="15.75" x14ac:dyDescent="0.2">
      <c r="A56" s="39" t="s">
        <v>373</v>
      </c>
      <c r="B56" s="303">
        <v>8709</v>
      </c>
      <c r="C56" s="304">
        <v>15278.3</v>
      </c>
      <c r="D56" s="414">
        <f t="shared" si="0"/>
        <v>75.400000000000006</v>
      </c>
      <c r="E56" s="11">
        <f>IFERROR(100/'Skjema total MA'!C56*C56,0)</f>
        <v>25.83353053037084</v>
      </c>
      <c r="F56" s="145"/>
      <c r="G56" s="33"/>
      <c r="H56" s="145"/>
      <c r="I56" s="145"/>
      <c r="J56" s="33"/>
      <c r="K56" s="33"/>
      <c r="L56" s="158"/>
      <c r="M56" s="158"/>
      <c r="N56" s="148"/>
    </row>
    <row r="57" spans="1:14" s="3" customFormat="1" ht="15.75" x14ac:dyDescent="0.2">
      <c r="A57" s="38" t="s">
        <v>370</v>
      </c>
      <c r="B57" s="277">
        <v>8709</v>
      </c>
      <c r="C57" s="278">
        <v>15278.3</v>
      </c>
      <c r="D57" s="250">
        <f t="shared" si="0"/>
        <v>75.400000000000006</v>
      </c>
      <c r="E57" s="27">
        <f>IFERROR(100/'Skjema total MA'!C57*C57,0)</f>
        <v>25.83353053037084</v>
      </c>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292"/>
      <c r="F62" s="724"/>
      <c r="G62" s="724"/>
      <c r="H62" s="724"/>
      <c r="I62" s="292"/>
      <c r="J62" s="724"/>
      <c r="K62" s="724"/>
      <c r="L62" s="724"/>
      <c r="M62" s="292"/>
    </row>
    <row r="63" spans="1:14" x14ac:dyDescent="0.2">
      <c r="A63" s="144"/>
      <c r="B63" s="725" t="s">
        <v>0</v>
      </c>
      <c r="C63" s="726"/>
      <c r="D63" s="727"/>
      <c r="E63" s="293"/>
      <c r="F63" s="726" t="s">
        <v>1</v>
      </c>
      <c r="G63" s="726"/>
      <c r="H63" s="726"/>
      <c r="I63" s="297"/>
      <c r="J63" s="725" t="s">
        <v>2</v>
      </c>
      <c r="K63" s="726"/>
      <c r="L63" s="726"/>
      <c r="M63" s="297"/>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c r="C66" s="343"/>
      <c r="D66" s="340"/>
      <c r="E66" s="11"/>
      <c r="F66" s="342"/>
      <c r="G66" s="342"/>
      <c r="H66" s="340"/>
      <c r="I66" s="11"/>
      <c r="J66" s="302"/>
      <c r="K66" s="309"/>
      <c r="L66" s="414"/>
      <c r="M66" s="11"/>
    </row>
    <row r="67" spans="1:14" x14ac:dyDescent="0.2">
      <c r="A67" s="405" t="s">
        <v>9</v>
      </c>
      <c r="B67" s="44"/>
      <c r="C67" s="145"/>
      <c r="D67" s="165"/>
      <c r="E67" s="27"/>
      <c r="F67" s="230"/>
      <c r="G67" s="145"/>
      <c r="H67" s="165"/>
      <c r="I67" s="27"/>
      <c r="J67" s="283"/>
      <c r="K67" s="44"/>
      <c r="L67" s="250"/>
      <c r="M67" s="27"/>
    </row>
    <row r="68" spans="1:14" x14ac:dyDescent="0.2">
      <c r="A68" s="21" t="s">
        <v>10</v>
      </c>
      <c r="B68" s="287"/>
      <c r="C68" s="288"/>
      <c r="D68" s="165"/>
      <c r="E68" s="27"/>
      <c r="F68" s="287"/>
      <c r="G68" s="288"/>
      <c r="H68" s="165"/>
      <c r="I68" s="27"/>
      <c r="J68" s="283"/>
      <c r="K68" s="44"/>
      <c r="L68" s="250"/>
      <c r="M68" s="27"/>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c r="C75" s="145"/>
      <c r="D75" s="165"/>
      <c r="E75" s="27"/>
      <c r="F75" s="230"/>
      <c r="G75" s="145"/>
      <c r="H75" s="165"/>
      <c r="I75" s="27"/>
      <c r="J75" s="283"/>
      <c r="K75" s="44"/>
      <c r="L75" s="250"/>
      <c r="M75" s="27"/>
      <c r="N75" s="148"/>
    </row>
    <row r="76" spans="1:14" s="3" customFormat="1" x14ac:dyDescent="0.2">
      <c r="A76" s="21" t="s">
        <v>343</v>
      </c>
      <c r="B76" s="230"/>
      <c r="C76" s="145"/>
      <c r="D76" s="165"/>
      <c r="E76" s="27"/>
      <c r="F76" s="230"/>
      <c r="G76" s="145"/>
      <c r="H76" s="165"/>
      <c r="I76" s="27"/>
      <c r="J76" s="283"/>
      <c r="K76" s="44"/>
      <c r="L76" s="250"/>
      <c r="M76" s="27"/>
      <c r="N76" s="148"/>
    </row>
    <row r="77" spans="1:14" ht="15.75" x14ac:dyDescent="0.2">
      <c r="A77" s="21" t="s">
        <v>376</v>
      </c>
      <c r="B77" s="230"/>
      <c r="C77" s="230"/>
      <c r="D77" s="165"/>
      <c r="E77" s="27"/>
      <c r="F77" s="230"/>
      <c r="G77" s="145"/>
      <c r="H77" s="165"/>
      <c r="I77" s="27"/>
      <c r="J77" s="283"/>
      <c r="K77" s="44"/>
      <c r="L77" s="250"/>
      <c r="M77" s="27"/>
    </row>
    <row r="78" spans="1:14" x14ac:dyDescent="0.2">
      <c r="A78" s="21" t="s">
        <v>9</v>
      </c>
      <c r="B78" s="230"/>
      <c r="C78" s="145"/>
      <c r="D78" s="165"/>
      <c r="E78" s="27"/>
      <c r="F78" s="230"/>
      <c r="G78" s="145"/>
      <c r="H78" s="165"/>
      <c r="I78" s="27"/>
      <c r="J78" s="283"/>
      <c r="K78" s="44"/>
      <c r="L78" s="250"/>
      <c r="M78" s="27"/>
    </row>
    <row r="79" spans="1:14" x14ac:dyDescent="0.2">
      <c r="A79" s="38" t="s">
        <v>413</v>
      </c>
      <c r="B79" s="287"/>
      <c r="C79" s="288"/>
      <c r="D79" s="165"/>
      <c r="E79" s="27"/>
      <c r="F79" s="287"/>
      <c r="G79" s="288"/>
      <c r="H79" s="165"/>
      <c r="I79" s="27"/>
      <c r="J79" s="283"/>
      <c r="K79" s="44"/>
      <c r="L79" s="250"/>
      <c r="M79" s="27"/>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c r="C86" s="145"/>
      <c r="D86" s="165"/>
      <c r="E86" s="27"/>
      <c r="F86" s="230"/>
      <c r="G86" s="145"/>
      <c r="H86" s="165"/>
      <c r="I86" s="27"/>
      <c r="J86" s="283"/>
      <c r="K86" s="44"/>
      <c r="L86" s="250"/>
      <c r="M86" s="27"/>
    </row>
    <row r="87" spans="1:13" ht="15.75" x14ac:dyDescent="0.2">
      <c r="A87" s="13" t="s">
        <v>359</v>
      </c>
      <c r="B87" s="343"/>
      <c r="C87" s="343"/>
      <c r="D87" s="170"/>
      <c r="E87" s="11"/>
      <c r="F87" s="342"/>
      <c r="G87" s="342"/>
      <c r="H87" s="170"/>
      <c r="I87" s="11"/>
      <c r="J87" s="302"/>
      <c r="K87" s="232"/>
      <c r="L87" s="414"/>
      <c r="M87" s="11"/>
    </row>
    <row r="88" spans="1:13" x14ac:dyDescent="0.2">
      <c r="A88" s="21" t="s">
        <v>9</v>
      </c>
      <c r="B88" s="230"/>
      <c r="C88" s="145"/>
      <c r="D88" s="165"/>
      <c r="E88" s="27"/>
      <c r="F88" s="230"/>
      <c r="G88" s="145"/>
      <c r="H88" s="165"/>
      <c r="I88" s="27"/>
      <c r="J88" s="283"/>
      <c r="K88" s="44"/>
      <c r="L88" s="250"/>
      <c r="M88" s="27"/>
    </row>
    <row r="89" spans="1:13" x14ac:dyDescent="0.2">
      <c r="A89" s="21" t="s">
        <v>10</v>
      </c>
      <c r="B89" s="230"/>
      <c r="C89" s="145"/>
      <c r="D89" s="165"/>
      <c r="E89" s="27"/>
      <c r="F89" s="230"/>
      <c r="G89" s="145"/>
      <c r="H89" s="165"/>
      <c r="I89" s="27"/>
      <c r="J89" s="283"/>
      <c r="K89" s="44"/>
      <c r="L89" s="250"/>
      <c r="M89" s="27"/>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c r="C97" s="145"/>
      <c r="D97" s="165"/>
      <c r="E97" s="27"/>
      <c r="F97" s="230"/>
      <c r="G97" s="145"/>
      <c r="H97" s="165"/>
      <c r="I97" s="27"/>
      <c r="J97" s="283"/>
      <c r="K97" s="44"/>
      <c r="L97" s="250"/>
      <c r="M97" s="27"/>
    </row>
    <row r="98" spans="1:13" ht="15.75" x14ac:dyDescent="0.2">
      <c r="A98" s="21" t="s">
        <v>376</v>
      </c>
      <c r="B98" s="230"/>
      <c r="C98" s="230"/>
      <c r="D98" s="165"/>
      <c r="E98" s="27"/>
      <c r="F98" s="287"/>
      <c r="G98" s="287"/>
      <c r="H98" s="165"/>
      <c r="I98" s="27"/>
      <c r="J98" s="283"/>
      <c r="K98" s="44"/>
      <c r="L98" s="250"/>
      <c r="M98" s="27"/>
    </row>
    <row r="99" spans="1:13" x14ac:dyDescent="0.2">
      <c r="A99" s="21" t="s">
        <v>9</v>
      </c>
      <c r="B99" s="287"/>
      <c r="C99" s="288"/>
      <c r="D99" s="165"/>
      <c r="E99" s="27"/>
      <c r="F99" s="230"/>
      <c r="G99" s="145"/>
      <c r="H99" s="165"/>
      <c r="I99" s="27"/>
      <c r="J99" s="283"/>
      <c r="K99" s="44"/>
      <c r="L99" s="250"/>
      <c r="M99" s="27"/>
    </row>
    <row r="100" spans="1:13" x14ac:dyDescent="0.2">
      <c r="A100" s="38" t="s">
        <v>413</v>
      </c>
      <c r="B100" s="287"/>
      <c r="C100" s="288"/>
      <c r="D100" s="165"/>
      <c r="E100" s="27"/>
      <c r="F100" s="230"/>
      <c r="G100" s="230"/>
      <c r="H100" s="165"/>
      <c r="I100" s="27"/>
      <c r="J100" s="283"/>
      <c r="K100" s="44"/>
      <c r="L100" s="250"/>
      <c r="M100" s="27"/>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c r="C107" s="145"/>
      <c r="D107" s="165"/>
      <c r="E107" s="27"/>
      <c r="F107" s="230"/>
      <c r="G107" s="145"/>
      <c r="H107" s="165"/>
      <c r="I107" s="27"/>
      <c r="J107" s="283"/>
      <c r="K107" s="44"/>
      <c r="L107" s="250"/>
      <c r="M107" s="27"/>
    </row>
    <row r="108" spans="1:13" ht="15.75" x14ac:dyDescent="0.2">
      <c r="A108" s="21" t="s">
        <v>378</v>
      </c>
      <c r="B108" s="230"/>
      <c r="C108" s="230"/>
      <c r="D108" s="165"/>
      <c r="E108" s="27"/>
      <c r="F108" s="230"/>
      <c r="G108" s="230"/>
      <c r="H108" s="165"/>
      <c r="I108" s="27"/>
      <c r="J108" s="283"/>
      <c r="K108" s="44"/>
      <c r="L108" s="250"/>
      <c r="M108" s="27"/>
    </row>
    <row r="109" spans="1:13" ht="15.6" customHeight="1" x14ac:dyDescent="0.2">
      <c r="A109" s="21" t="s">
        <v>430</v>
      </c>
      <c r="B109" s="230"/>
      <c r="C109" s="230"/>
      <c r="D109" s="165"/>
      <c r="E109" s="27"/>
      <c r="F109" s="230"/>
      <c r="G109" s="230"/>
      <c r="H109" s="165"/>
      <c r="I109" s="27"/>
      <c r="J109" s="283"/>
      <c r="K109" s="44"/>
      <c r="L109" s="250"/>
      <c r="M109" s="27"/>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c r="C111" s="158"/>
      <c r="D111" s="170"/>
      <c r="E111" s="11"/>
      <c r="F111" s="301"/>
      <c r="G111" s="158"/>
      <c r="H111" s="170"/>
      <c r="I111" s="11"/>
      <c r="J111" s="302"/>
      <c r="K111" s="232"/>
      <c r="L111" s="414"/>
      <c r="M111" s="11"/>
    </row>
    <row r="112" spans="1:13" x14ac:dyDescent="0.2">
      <c r="A112" s="21" t="s">
        <v>9</v>
      </c>
      <c r="B112" s="230"/>
      <c r="C112" s="145"/>
      <c r="D112" s="165"/>
      <c r="E112" s="27"/>
      <c r="F112" s="230"/>
      <c r="G112" s="145"/>
      <c r="H112" s="165"/>
      <c r="I112" s="27"/>
      <c r="J112" s="283"/>
      <c r="K112" s="44"/>
      <c r="L112" s="250"/>
      <c r="M112" s="27"/>
    </row>
    <row r="113" spans="1:14" x14ac:dyDescent="0.2">
      <c r="A113" s="21" t="s">
        <v>10</v>
      </c>
      <c r="B113" s="230"/>
      <c r="C113" s="145"/>
      <c r="D113" s="165"/>
      <c r="E113" s="27"/>
      <c r="F113" s="230"/>
      <c r="G113" s="145"/>
      <c r="H113" s="165"/>
      <c r="I113" s="27"/>
      <c r="J113" s="283"/>
      <c r="K113" s="44"/>
      <c r="L113" s="250"/>
      <c r="M113" s="27"/>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c r="C116" s="230"/>
      <c r="D116" s="165"/>
      <c r="E116" s="27"/>
      <c r="F116" s="230"/>
      <c r="G116" s="230"/>
      <c r="H116" s="165"/>
      <c r="I116" s="27"/>
      <c r="J116" s="283"/>
      <c r="K116" s="44"/>
      <c r="L116" s="250"/>
      <c r="M116" s="27"/>
    </row>
    <row r="117" spans="1:14" ht="15.6" customHeight="1" x14ac:dyDescent="0.2">
      <c r="A117" s="21" t="s">
        <v>430</v>
      </c>
      <c r="B117" s="230"/>
      <c r="C117" s="230"/>
      <c r="D117" s="165"/>
      <c r="E117" s="27"/>
      <c r="F117" s="230"/>
      <c r="G117" s="230"/>
      <c r="H117" s="165"/>
      <c r="I117" s="27"/>
      <c r="J117" s="283"/>
      <c r="K117" s="44"/>
      <c r="L117" s="250"/>
      <c r="M117" s="27"/>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c r="C119" s="158"/>
      <c r="D119" s="170"/>
      <c r="E119" s="11"/>
      <c r="F119" s="301"/>
      <c r="G119" s="158"/>
      <c r="H119" s="170"/>
      <c r="I119" s="11"/>
      <c r="J119" s="302"/>
      <c r="K119" s="232"/>
      <c r="L119" s="414"/>
      <c r="M119" s="11"/>
    </row>
    <row r="120" spans="1:14" x14ac:dyDescent="0.2">
      <c r="A120" s="21" t="s">
        <v>9</v>
      </c>
      <c r="B120" s="230"/>
      <c r="C120" s="145"/>
      <c r="D120" s="165"/>
      <c r="E120" s="27"/>
      <c r="F120" s="230"/>
      <c r="G120" s="145"/>
      <c r="H120" s="165"/>
      <c r="I120" s="27"/>
      <c r="J120" s="283"/>
      <c r="K120" s="44"/>
      <c r="L120" s="250"/>
      <c r="M120" s="27"/>
    </row>
    <row r="121" spans="1:14" x14ac:dyDescent="0.2">
      <c r="A121" s="21" t="s">
        <v>10</v>
      </c>
      <c r="B121" s="230"/>
      <c r="C121" s="145"/>
      <c r="D121" s="165"/>
      <c r="E121" s="27"/>
      <c r="F121" s="230"/>
      <c r="G121" s="145"/>
      <c r="H121" s="165"/>
      <c r="I121" s="27"/>
      <c r="J121" s="283"/>
      <c r="K121" s="44"/>
      <c r="L121" s="250"/>
      <c r="M121" s="27"/>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c r="C125" s="230"/>
      <c r="D125" s="165"/>
      <c r="E125" s="27"/>
      <c r="F125" s="230"/>
      <c r="G125" s="230"/>
      <c r="H125" s="165"/>
      <c r="I125" s="27"/>
      <c r="J125" s="283"/>
      <c r="K125" s="44"/>
      <c r="L125" s="250"/>
      <c r="M125" s="27"/>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292"/>
      <c r="F130" s="724"/>
      <c r="G130" s="724"/>
      <c r="H130" s="724"/>
      <c r="I130" s="292"/>
      <c r="J130" s="724"/>
      <c r="K130" s="724"/>
      <c r="L130" s="724"/>
      <c r="M130" s="292"/>
    </row>
    <row r="131" spans="1:14" s="3" customFormat="1" x14ac:dyDescent="0.2">
      <c r="A131" s="144"/>
      <c r="B131" s="725" t="s">
        <v>0</v>
      </c>
      <c r="C131" s="726"/>
      <c r="D131" s="726"/>
      <c r="E131" s="294"/>
      <c r="F131" s="725" t="s">
        <v>1</v>
      </c>
      <c r="G131" s="726"/>
      <c r="H131" s="726"/>
      <c r="I131" s="297"/>
      <c r="J131" s="725" t="s">
        <v>2</v>
      </c>
      <c r="K131" s="726"/>
      <c r="L131" s="726"/>
      <c r="M131" s="297"/>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c r="C134" s="302"/>
      <c r="D134" s="340"/>
      <c r="E134" s="11"/>
      <c r="F134" s="309"/>
      <c r="G134" s="310"/>
      <c r="H134" s="417"/>
      <c r="I134" s="24"/>
      <c r="J134" s="311"/>
      <c r="K134" s="311"/>
      <c r="L134" s="413"/>
      <c r="M134" s="11"/>
      <c r="N134" s="148"/>
    </row>
    <row r="135" spans="1:14" s="3" customFormat="1" ht="15.75" x14ac:dyDescent="0.2">
      <c r="A135" s="13" t="s">
        <v>386</v>
      </c>
      <c r="B135" s="232"/>
      <c r="C135" s="302"/>
      <c r="D135" s="170"/>
      <c r="E135" s="11"/>
      <c r="F135" s="232"/>
      <c r="G135" s="302"/>
      <c r="H135" s="418"/>
      <c r="I135" s="24"/>
      <c r="J135" s="301"/>
      <c r="K135" s="301"/>
      <c r="L135" s="414"/>
      <c r="M135" s="11"/>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258" priority="12">
      <formula>kvartal &lt; 4</formula>
    </cfRule>
  </conditionalFormatting>
  <conditionalFormatting sqref="A69:A74">
    <cfRule type="expression" dxfId="257" priority="10">
      <formula>kvartal &lt; 4</formula>
    </cfRule>
  </conditionalFormatting>
  <conditionalFormatting sqref="A80:A85">
    <cfRule type="expression" dxfId="256" priority="9">
      <formula>kvartal &lt; 4</formula>
    </cfRule>
  </conditionalFormatting>
  <conditionalFormatting sqref="A90:A95">
    <cfRule type="expression" dxfId="255" priority="6">
      <formula>kvartal &lt; 4</formula>
    </cfRule>
  </conditionalFormatting>
  <conditionalFormatting sqref="A101:A106">
    <cfRule type="expression" dxfId="254" priority="5">
      <formula>kvartal &lt; 4</formula>
    </cfRule>
  </conditionalFormatting>
  <conditionalFormatting sqref="A115">
    <cfRule type="expression" dxfId="253" priority="4">
      <formula>kvartal &lt; 4</formula>
    </cfRule>
  </conditionalFormatting>
  <conditionalFormatting sqref="A123">
    <cfRule type="expression" dxfId="252" priority="3">
      <formula>kvartal &lt; 4</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DCFD3-E4B4-485B-89B7-DA0A477AA596}">
  <dimension ref="A1:N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244" t="s">
        <v>395</v>
      </c>
      <c r="D1" s="26"/>
      <c r="E1" s="26"/>
      <c r="F1" s="26"/>
      <c r="G1" s="26"/>
      <c r="H1" s="26"/>
      <c r="I1" s="26"/>
      <c r="J1" s="26"/>
      <c r="K1" s="26"/>
      <c r="L1" s="26"/>
      <c r="M1" s="26"/>
    </row>
    <row r="2" spans="1:14" ht="15.75" x14ac:dyDescent="0.25">
      <c r="A2" s="164" t="s">
        <v>28</v>
      </c>
      <c r="B2" s="729"/>
      <c r="C2" s="729"/>
      <c r="D2" s="729"/>
      <c r="E2" s="580"/>
      <c r="F2" s="729"/>
      <c r="G2" s="729"/>
      <c r="H2" s="729"/>
      <c r="I2" s="580"/>
      <c r="J2" s="729"/>
      <c r="K2" s="729"/>
      <c r="L2" s="729"/>
      <c r="M2" s="580"/>
    </row>
    <row r="3" spans="1:14" ht="15.75" x14ac:dyDescent="0.25">
      <c r="A3" s="162"/>
      <c r="B3" s="580"/>
      <c r="C3" s="580"/>
      <c r="D3" s="580"/>
      <c r="E3" s="580"/>
      <c r="F3" s="580"/>
      <c r="G3" s="580"/>
      <c r="H3" s="580"/>
      <c r="I3" s="580"/>
      <c r="J3" s="580"/>
      <c r="K3" s="580"/>
      <c r="L3" s="580"/>
      <c r="M3" s="580"/>
    </row>
    <row r="4" spans="1:14" x14ac:dyDescent="0.2">
      <c r="A4" s="144"/>
      <c r="B4" s="725" t="s">
        <v>0</v>
      </c>
      <c r="C4" s="726"/>
      <c r="D4" s="726"/>
      <c r="E4" s="577"/>
      <c r="F4" s="725" t="s">
        <v>1</v>
      </c>
      <c r="G4" s="726"/>
      <c r="H4" s="726"/>
      <c r="I4" s="578"/>
      <c r="J4" s="725" t="s">
        <v>2</v>
      </c>
      <c r="K4" s="726"/>
      <c r="L4" s="726"/>
      <c r="M4" s="578"/>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v>992</v>
      </c>
      <c r="C7" s="300">
        <v>1571</v>
      </c>
      <c r="D7" s="340">
        <f>IF(B7=0, "    ---- ", IF(ABS(ROUND(100/B7*C7-100,1))&lt;999,ROUND(100/B7*C7-100,1),IF(ROUND(100/B7*C7-100,1)&gt;999,999,-999)))</f>
        <v>58.4</v>
      </c>
      <c r="E7" s="11">
        <f>IFERROR(100/'Skjema total MA'!C7*C7,0)</f>
        <v>9.0620518020295554E-2</v>
      </c>
      <c r="F7" s="299"/>
      <c r="G7" s="300"/>
      <c r="H7" s="340"/>
      <c r="I7" s="159"/>
      <c r="J7" s="301">
        <f t="shared" ref="J7:K8" si="0">SUM(B7,F7)</f>
        <v>992</v>
      </c>
      <c r="K7" s="302">
        <f t="shared" si="0"/>
        <v>1571</v>
      </c>
      <c r="L7" s="413">
        <f>IF(J7=0, "    ---- ", IF(ABS(ROUND(100/J7*K7-100,1))&lt;999,ROUND(100/J7*K7-100,1),IF(ROUND(100/J7*K7-100,1)&gt;999,999,-999)))</f>
        <v>58.4</v>
      </c>
      <c r="M7" s="11">
        <f>IFERROR(100/'Skjema total MA'!I7*K7,0)</f>
        <v>3.0394935247964161E-2</v>
      </c>
    </row>
    <row r="8" spans="1:14" ht="15.75" x14ac:dyDescent="0.2">
      <c r="A8" s="21" t="s">
        <v>25</v>
      </c>
      <c r="B8" s="277">
        <v>992</v>
      </c>
      <c r="C8" s="278">
        <v>1571</v>
      </c>
      <c r="D8" s="165">
        <f t="shared" ref="D8" si="1">IF(B8=0, "    ---- ", IF(ABS(ROUND(100/B8*C8-100,1))&lt;999,ROUND(100/B8*C8-100,1),IF(ROUND(100/B8*C8-100,1)&gt;999,999,-999)))</f>
        <v>58.4</v>
      </c>
      <c r="E8" s="27">
        <f>IFERROR(100/'Skjema total MA'!C8*C8,0)</f>
        <v>0.13508206716329677</v>
      </c>
      <c r="F8" s="281"/>
      <c r="G8" s="282"/>
      <c r="H8" s="165"/>
      <c r="I8" s="174"/>
      <c r="J8" s="230">
        <f t="shared" si="0"/>
        <v>992</v>
      </c>
      <c r="K8" s="283">
        <f t="shared" si="0"/>
        <v>1571</v>
      </c>
      <c r="L8" s="165">
        <f t="shared" ref="L8" si="2">IF(J8=0, "    ---- ", IF(ABS(ROUND(100/J8*K8-100,1))&lt;999,ROUND(100/J8*K8-100,1),IF(ROUND(100/J8*K8-100,1)&gt;999,999,-999)))</f>
        <v>58.4</v>
      </c>
      <c r="M8" s="27">
        <f>IFERROR(100/'Skjema total MA'!I8*K8,0)</f>
        <v>0.13508206716329677</v>
      </c>
    </row>
    <row r="9" spans="1:14" ht="15.75" x14ac:dyDescent="0.2">
      <c r="A9" s="21" t="s">
        <v>24</v>
      </c>
      <c r="B9" s="277"/>
      <c r="C9" s="278"/>
      <c r="D9" s="165"/>
      <c r="E9" s="27"/>
      <c r="F9" s="281"/>
      <c r="G9" s="282"/>
      <c r="H9" s="165"/>
      <c r="I9" s="174"/>
      <c r="J9" s="230"/>
      <c r="K9" s="283"/>
      <c r="L9" s="165"/>
      <c r="M9" s="27"/>
    </row>
    <row r="10" spans="1:14" ht="15.75" x14ac:dyDescent="0.2">
      <c r="A10" s="13" t="s">
        <v>359</v>
      </c>
      <c r="B10" s="303"/>
      <c r="C10" s="304"/>
      <c r="D10" s="170"/>
      <c r="E10" s="11"/>
      <c r="F10" s="303"/>
      <c r="G10" s="304"/>
      <c r="H10" s="170"/>
      <c r="I10" s="159"/>
      <c r="J10" s="301"/>
      <c r="K10" s="302"/>
      <c r="L10" s="414"/>
      <c r="M10" s="11"/>
    </row>
    <row r="11" spans="1:14" s="43" customFormat="1" ht="15.75" x14ac:dyDescent="0.2">
      <c r="A11" s="13" t="s">
        <v>360</v>
      </c>
      <c r="B11" s="303"/>
      <c r="C11" s="304"/>
      <c r="D11" s="170"/>
      <c r="E11" s="11"/>
      <c r="F11" s="303"/>
      <c r="G11" s="304"/>
      <c r="H11" s="170"/>
      <c r="I11" s="159"/>
      <c r="J11" s="301"/>
      <c r="K11" s="302"/>
      <c r="L11" s="414"/>
      <c r="M11" s="11"/>
      <c r="N11" s="143"/>
    </row>
    <row r="12" spans="1:14" s="43" customFormat="1" ht="15.75" x14ac:dyDescent="0.2">
      <c r="A12" s="41" t="s">
        <v>361</v>
      </c>
      <c r="B12" s="305"/>
      <c r="C12" s="306"/>
      <c r="D12" s="168"/>
      <c r="E12" s="36"/>
      <c r="F12" s="305"/>
      <c r="G12" s="306"/>
      <c r="H12" s="168"/>
      <c r="I12" s="168"/>
      <c r="J12" s="307"/>
      <c r="K12" s="308"/>
      <c r="L12" s="415"/>
      <c r="M12" s="36"/>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580"/>
      <c r="F18" s="724"/>
      <c r="G18" s="724"/>
      <c r="H18" s="724"/>
      <c r="I18" s="580"/>
      <c r="J18" s="724"/>
      <c r="K18" s="724"/>
      <c r="L18" s="724"/>
      <c r="M18" s="580"/>
    </row>
    <row r="19" spans="1:14" x14ac:dyDescent="0.2">
      <c r="A19" s="144"/>
      <c r="B19" s="725" t="s">
        <v>0</v>
      </c>
      <c r="C19" s="726"/>
      <c r="D19" s="726"/>
      <c r="E19" s="577"/>
      <c r="F19" s="725" t="s">
        <v>1</v>
      </c>
      <c r="G19" s="726"/>
      <c r="H19" s="726"/>
      <c r="I19" s="578"/>
      <c r="J19" s="725" t="s">
        <v>2</v>
      </c>
      <c r="K19" s="726"/>
      <c r="L19" s="726"/>
      <c r="M19" s="578"/>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303"/>
      <c r="C22" s="303"/>
      <c r="D22" s="340"/>
      <c r="E22" s="11"/>
      <c r="F22" s="311"/>
      <c r="G22" s="311"/>
      <c r="H22" s="340"/>
      <c r="I22" s="11"/>
      <c r="J22" s="309"/>
      <c r="K22" s="309"/>
      <c r="L22" s="413"/>
      <c r="M22" s="24"/>
    </row>
    <row r="23" spans="1:14" ht="15.75" x14ac:dyDescent="0.2">
      <c r="A23" s="555" t="s">
        <v>362</v>
      </c>
      <c r="B23" s="277"/>
      <c r="C23" s="277"/>
      <c r="D23" s="165"/>
      <c r="E23" s="11"/>
      <c r="F23" s="286"/>
      <c r="G23" s="286"/>
      <c r="H23" s="165"/>
      <c r="I23" s="403"/>
      <c r="J23" s="286"/>
      <c r="K23" s="286"/>
      <c r="L23" s="165"/>
      <c r="M23" s="23"/>
    </row>
    <row r="24" spans="1:14" ht="15.75" x14ac:dyDescent="0.2">
      <c r="A24" s="555" t="s">
        <v>363</v>
      </c>
      <c r="B24" s="277"/>
      <c r="C24" s="277"/>
      <c r="D24" s="165"/>
      <c r="E24" s="11"/>
      <c r="F24" s="286"/>
      <c r="G24" s="286"/>
      <c r="H24" s="165"/>
      <c r="I24" s="403"/>
      <c r="J24" s="286"/>
      <c r="K24" s="286"/>
      <c r="L24" s="165"/>
      <c r="M24" s="23"/>
    </row>
    <row r="25" spans="1:14" ht="15.75" x14ac:dyDescent="0.2">
      <c r="A25" s="555" t="s">
        <v>364</v>
      </c>
      <c r="B25" s="277"/>
      <c r="C25" s="277"/>
      <c r="D25" s="165"/>
      <c r="E25" s="11"/>
      <c r="F25" s="286"/>
      <c r="G25" s="286"/>
      <c r="H25" s="165"/>
      <c r="I25" s="403"/>
      <c r="J25" s="286"/>
      <c r="K25" s="286"/>
      <c r="L25" s="165"/>
      <c r="M25" s="23"/>
    </row>
    <row r="26" spans="1:14" ht="15.75" x14ac:dyDescent="0.2">
      <c r="A26" s="555" t="s">
        <v>365</v>
      </c>
      <c r="B26" s="277"/>
      <c r="C26" s="277"/>
      <c r="D26" s="165"/>
      <c r="E26" s="11"/>
      <c r="F26" s="286"/>
      <c r="G26" s="286"/>
      <c r="H26" s="165"/>
      <c r="I26" s="403"/>
      <c r="J26" s="286"/>
      <c r="K26" s="286"/>
      <c r="L26" s="165"/>
      <c r="M26" s="23"/>
    </row>
    <row r="27" spans="1:14" x14ac:dyDescent="0.2">
      <c r="A27" s="555" t="s">
        <v>11</v>
      </c>
      <c r="B27" s="277"/>
      <c r="C27" s="277"/>
      <c r="D27" s="165"/>
      <c r="E27" s="11"/>
      <c r="F27" s="286"/>
      <c r="G27" s="286"/>
      <c r="H27" s="165"/>
      <c r="I27" s="403"/>
      <c r="J27" s="286"/>
      <c r="K27" s="286"/>
      <c r="L27" s="165"/>
      <c r="M27" s="23"/>
    </row>
    <row r="28" spans="1:14" ht="15.75" x14ac:dyDescent="0.2">
      <c r="A28" s="49" t="s">
        <v>270</v>
      </c>
      <c r="B28" s="44"/>
      <c r="C28" s="283"/>
      <c r="D28" s="165"/>
      <c r="E28" s="11"/>
      <c r="F28" s="230"/>
      <c r="G28" s="283"/>
      <c r="H28" s="165"/>
      <c r="I28" s="27"/>
      <c r="J28" s="44"/>
      <c r="K28" s="44"/>
      <c r="L28" s="250"/>
      <c r="M28" s="23"/>
    </row>
    <row r="29" spans="1:14" s="3" customFormat="1" ht="15.75" x14ac:dyDescent="0.2">
      <c r="A29" s="13" t="s">
        <v>359</v>
      </c>
      <c r="B29" s="232"/>
      <c r="C29" s="232"/>
      <c r="D29" s="170"/>
      <c r="E29" s="11"/>
      <c r="F29" s="301"/>
      <c r="G29" s="301"/>
      <c r="H29" s="170"/>
      <c r="I29" s="11"/>
      <c r="J29" s="232"/>
      <c r="K29" s="232"/>
      <c r="L29" s="414"/>
      <c r="M29" s="24"/>
      <c r="N29" s="148"/>
    </row>
    <row r="30" spans="1:14" s="3" customFormat="1" ht="15.75" x14ac:dyDescent="0.2">
      <c r="A30" s="555" t="s">
        <v>362</v>
      </c>
      <c r="B30" s="277"/>
      <c r="C30" s="277"/>
      <c r="D30" s="165"/>
      <c r="E30" s="11"/>
      <c r="F30" s="286"/>
      <c r="G30" s="286"/>
      <c r="H30" s="165"/>
      <c r="I30" s="403"/>
      <c r="J30" s="286"/>
      <c r="K30" s="286"/>
      <c r="L30" s="165"/>
      <c r="M30" s="23"/>
      <c r="N30" s="148"/>
    </row>
    <row r="31" spans="1:14" s="3" customFormat="1" ht="15.75" x14ac:dyDescent="0.2">
      <c r="A31" s="555" t="s">
        <v>363</v>
      </c>
      <c r="B31" s="277"/>
      <c r="C31" s="277"/>
      <c r="D31" s="165"/>
      <c r="E31" s="11"/>
      <c r="F31" s="286"/>
      <c r="G31" s="286"/>
      <c r="H31" s="165"/>
      <c r="I31" s="403"/>
      <c r="J31" s="286"/>
      <c r="K31" s="286"/>
      <c r="L31" s="165"/>
      <c r="M31" s="23"/>
      <c r="N31" s="148"/>
    </row>
    <row r="32" spans="1:14" ht="15.75" x14ac:dyDescent="0.2">
      <c r="A32" s="555" t="s">
        <v>364</v>
      </c>
      <c r="B32" s="277"/>
      <c r="C32" s="277"/>
      <c r="D32" s="165"/>
      <c r="E32" s="11"/>
      <c r="F32" s="286"/>
      <c r="G32" s="286"/>
      <c r="H32" s="165"/>
      <c r="I32" s="403"/>
      <c r="J32" s="286"/>
      <c r="K32" s="286"/>
      <c r="L32" s="165"/>
      <c r="M32" s="23"/>
    </row>
    <row r="33" spans="1:14" ht="15.75" x14ac:dyDescent="0.2">
      <c r="A33" s="555" t="s">
        <v>365</v>
      </c>
      <c r="B33" s="277"/>
      <c r="C33" s="277"/>
      <c r="D33" s="165"/>
      <c r="E33" s="11"/>
      <c r="F33" s="286"/>
      <c r="G33" s="286"/>
      <c r="H33" s="165"/>
      <c r="I33" s="403"/>
      <c r="J33" s="286"/>
      <c r="K33" s="286"/>
      <c r="L33" s="165"/>
      <c r="M33" s="23"/>
    </row>
    <row r="34" spans="1:14" ht="15.75" x14ac:dyDescent="0.2">
      <c r="A34" s="13" t="s">
        <v>360</v>
      </c>
      <c r="B34" s="232"/>
      <c r="C34" s="302"/>
      <c r="D34" s="170"/>
      <c r="E34" s="11"/>
      <c r="F34" s="301"/>
      <c r="G34" s="302"/>
      <c r="H34" s="170"/>
      <c r="I34" s="11"/>
      <c r="J34" s="232"/>
      <c r="K34" s="232"/>
      <c r="L34" s="414"/>
      <c r="M34" s="24"/>
    </row>
    <row r="35" spans="1:14" ht="15.75" x14ac:dyDescent="0.2">
      <c r="A35" s="13" t="s">
        <v>361</v>
      </c>
      <c r="B35" s="232"/>
      <c r="C35" s="302"/>
      <c r="D35" s="170"/>
      <c r="E35" s="11"/>
      <c r="F35" s="301"/>
      <c r="G35" s="302"/>
      <c r="H35" s="170"/>
      <c r="I35" s="11"/>
      <c r="J35" s="232"/>
      <c r="K35" s="232"/>
      <c r="L35" s="414"/>
      <c r="M35" s="24"/>
    </row>
    <row r="36" spans="1:14" ht="15.75" x14ac:dyDescent="0.2">
      <c r="A36" s="12" t="s">
        <v>278</v>
      </c>
      <c r="B36" s="232"/>
      <c r="C36" s="302"/>
      <c r="D36" s="170"/>
      <c r="E36" s="11"/>
      <c r="F36" s="312"/>
      <c r="G36" s="313"/>
      <c r="H36" s="170"/>
      <c r="I36" s="420"/>
      <c r="J36" s="232"/>
      <c r="K36" s="232"/>
      <c r="L36" s="414"/>
      <c r="M36" s="24"/>
    </row>
    <row r="37" spans="1:14" ht="15.75" x14ac:dyDescent="0.2">
      <c r="A37" s="12" t="s">
        <v>367</v>
      </c>
      <c r="B37" s="232"/>
      <c r="C37" s="302"/>
      <c r="D37" s="170"/>
      <c r="E37" s="11"/>
      <c r="F37" s="312"/>
      <c r="G37" s="314"/>
      <c r="H37" s="170"/>
      <c r="I37" s="420"/>
      <c r="J37" s="232"/>
      <c r="K37" s="232"/>
      <c r="L37" s="414"/>
      <c r="M37" s="24"/>
    </row>
    <row r="38" spans="1:14" ht="15.75" x14ac:dyDescent="0.2">
      <c r="A38" s="12" t="s">
        <v>368</v>
      </c>
      <c r="B38" s="232"/>
      <c r="C38" s="302"/>
      <c r="D38" s="418"/>
      <c r="E38" s="24"/>
      <c r="F38" s="312"/>
      <c r="G38" s="313"/>
      <c r="H38" s="170"/>
      <c r="I38" s="420"/>
      <c r="J38" s="232"/>
      <c r="K38" s="232"/>
      <c r="L38" s="414"/>
      <c r="M38" s="24"/>
    </row>
    <row r="39" spans="1:14" ht="15.75" x14ac:dyDescent="0.2">
      <c r="A39" s="18" t="s">
        <v>369</v>
      </c>
      <c r="B39" s="272"/>
      <c r="C39" s="308"/>
      <c r="D39" s="419"/>
      <c r="E39" s="36"/>
      <c r="F39" s="315"/>
      <c r="G39" s="316"/>
      <c r="H39" s="168"/>
      <c r="I39" s="36"/>
      <c r="J39" s="232"/>
      <c r="K39" s="232"/>
      <c r="L39" s="415"/>
      <c r="M39" s="36"/>
    </row>
    <row r="40" spans="1:14" ht="15.75" x14ac:dyDescent="0.25">
      <c r="A40" s="47"/>
      <c r="B40" s="249"/>
      <c r="C40" s="249"/>
      <c r="D40" s="728"/>
      <c r="E40" s="730"/>
      <c r="F40" s="728"/>
      <c r="G40" s="728"/>
      <c r="H40" s="728"/>
      <c r="I40" s="728"/>
      <c r="J40" s="728"/>
      <c r="K40" s="728"/>
      <c r="L40" s="728"/>
      <c r="M40" s="581"/>
    </row>
    <row r="41" spans="1:14" x14ac:dyDescent="0.2">
      <c r="A41" s="154"/>
    </row>
    <row r="42" spans="1:14" ht="15.75" x14ac:dyDescent="0.25">
      <c r="A42" s="147" t="s">
        <v>267</v>
      </c>
      <c r="B42" s="729"/>
      <c r="C42" s="729"/>
      <c r="D42" s="729"/>
      <c r="E42" s="580"/>
      <c r="F42" s="730"/>
      <c r="G42" s="730"/>
      <c r="H42" s="730"/>
      <c r="I42" s="581"/>
      <c r="J42" s="730"/>
      <c r="K42" s="730"/>
      <c r="L42" s="730"/>
      <c r="M42" s="581"/>
    </row>
    <row r="43" spans="1:14" ht="15.75" x14ac:dyDescent="0.25">
      <c r="A43" s="162"/>
      <c r="B43" s="579"/>
      <c r="C43" s="579"/>
      <c r="D43" s="579"/>
      <c r="E43" s="579"/>
      <c r="F43" s="581"/>
      <c r="G43" s="581"/>
      <c r="H43" s="581"/>
      <c r="I43" s="581"/>
      <c r="J43" s="581"/>
      <c r="K43" s="581"/>
      <c r="L43" s="581"/>
      <c r="M43" s="581"/>
    </row>
    <row r="44" spans="1:14" ht="15.75" x14ac:dyDescent="0.25">
      <c r="A44" s="243"/>
      <c r="B44" s="725" t="s">
        <v>0</v>
      </c>
      <c r="C44" s="726"/>
      <c r="D44" s="726"/>
      <c r="E44" s="239"/>
      <c r="F44" s="581"/>
      <c r="G44" s="581"/>
      <c r="H44" s="581"/>
      <c r="I44" s="581"/>
      <c r="J44" s="581"/>
      <c r="K44" s="581"/>
      <c r="L44" s="581"/>
      <c r="M44" s="581"/>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v>486</v>
      </c>
      <c r="C47" s="304">
        <v>543</v>
      </c>
      <c r="D47" s="413">
        <f t="shared" ref="D47:D48" si="3">IF(B47=0, "    ---- ", IF(ABS(ROUND(100/B47*C47-100,1))&lt;999,ROUND(100/B47*C47-100,1),IF(ROUND(100/B47*C47-100,1)&gt;999,999,-999)))</f>
        <v>11.7</v>
      </c>
      <c r="E47" s="11">
        <f>IFERROR(100/'Skjema total MA'!C47*C47,0)</f>
        <v>1.5714119680143069E-2</v>
      </c>
      <c r="F47" s="145"/>
      <c r="G47" s="33"/>
      <c r="H47" s="158"/>
      <c r="I47" s="158"/>
      <c r="J47" s="37"/>
      <c r="K47" s="37"/>
      <c r="L47" s="158"/>
      <c r="M47" s="158"/>
      <c r="N47" s="148"/>
    </row>
    <row r="48" spans="1:14" s="3" customFormat="1" ht="15.75" x14ac:dyDescent="0.2">
      <c r="A48" s="38" t="s">
        <v>370</v>
      </c>
      <c r="B48" s="277">
        <v>486</v>
      </c>
      <c r="C48" s="278">
        <v>543</v>
      </c>
      <c r="D48" s="250">
        <f t="shared" si="3"/>
        <v>11.7</v>
      </c>
      <c r="E48" s="27">
        <f>IFERROR(100/'Skjema total MA'!C48*C48,0)</f>
        <v>2.8734587197350715E-2</v>
      </c>
      <c r="F48" s="145"/>
      <c r="G48" s="33"/>
      <c r="H48" s="145"/>
      <c r="I48" s="145"/>
      <c r="J48" s="33"/>
      <c r="K48" s="33"/>
      <c r="L48" s="158"/>
      <c r="M48" s="158"/>
      <c r="N48" s="148"/>
    </row>
    <row r="49" spans="1:14" s="3" customFormat="1" ht="15.75" x14ac:dyDescent="0.2">
      <c r="A49" s="38" t="s">
        <v>371</v>
      </c>
      <c r="B49" s="44"/>
      <c r="C49" s="283"/>
      <c r="D49" s="250"/>
      <c r="E49" s="27"/>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c r="C53" s="304"/>
      <c r="D53" s="414"/>
      <c r="E53" s="11"/>
      <c r="F53" s="145"/>
      <c r="G53" s="33"/>
      <c r="H53" s="145"/>
      <c r="I53" s="145"/>
      <c r="J53" s="33"/>
      <c r="K53" s="33"/>
      <c r="L53" s="158"/>
      <c r="M53" s="158"/>
      <c r="N53" s="148"/>
    </row>
    <row r="54" spans="1:14" s="3" customFormat="1" ht="15.75" x14ac:dyDescent="0.2">
      <c r="A54" s="38" t="s">
        <v>370</v>
      </c>
      <c r="B54" s="277"/>
      <c r="C54" s="278"/>
      <c r="D54" s="250"/>
      <c r="E54" s="27"/>
      <c r="F54" s="145"/>
      <c r="G54" s="33"/>
      <c r="H54" s="145"/>
      <c r="I54" s="145"/>
      <c r="J54" s="33"/>
      <c r="K54" s="33"/>
      <c r="L54" s="158"/>
      <c r="M54" s="158"/>
      <c r="N54" s="148"/>
    </row>
    <row r="55" spans="1:14" s="3" customFormat="1" ht="15.75" x14ac:dyDescent="0.2">
      <c r="A55" s="38" t="s">
        <v>371</v>
      </c>
      <c r="B55" s="277"/>
      <c r="C55" s="278"/>
      <c r="D55" s="250"/>
      <c r="E55" s="27"/>
      <c r="F55" s="145"/>
      <c r="G55" s="33"/>
      <c r="H55" s="145"/>
      <c r="I55" s="145"/>
      <c r="J55" s="33"/>
      <c r="K55" s="33"/>
      <c r="L55" s="158"/>
      <c r="M55" s="158"/>
      <c r="N55" s="148"/>
    </row>
    <row r="56" spans="1:14" s="3" customFormat="1" ht="15.75" x14ac:dyDescent="0.2">
      <c r="A56" s="39" t="s">
        <v>373</v>
      </c>
      <c r="B56" s="303"/>
      <c r="C56" s="304"/>
      <c r="D56" s="414"/>
      <c r="E56" s="11"/>
      <c r="F56" s="145"/>
      <c r="G56" s="33"/>
      <c r="H56" s="145"/>
      <c r="I56" s="145"/>
      <c r="J56" s="33"/>
      <c r="K56" s="33"/>
      <c r="L56" s="158"/>
      <c r="M56" s="158"/>
      <c r="N56" s="148"/>
    </row>
    <row r="57" spans="1:14" s="3" customFormat="1" ht="15.75" x14ac:dyDescent="0.2">
      <c r="A57" s="38" t="s">
        <v>370</v>
      </c>
      <c r="B57" s="277"/>
      <c r="C57" s="278"/>
      <c r="D57" s="250"/>
      <c r="E57" s="27"/>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580"/>
      <c r="F62" s="724"/>
      <c r="G62" s="724"/>
      <c r="H62" s="724"/>
      <c r="I62" s="580"/>
      <c r="J62" s="724"/>
      <c r="K62" s="724"/>
      <c r="L62" s="724"/>
      <c r="M62" s="580"/>
    </row>
    <row r="63" spans="1:14" x14ac:dyDescent="0.2">
      <c r="A63" s="144"/>
      <c r="B63" s="725" t="s">
        <v>0</v>
      </c>
      <c r="C63" s="726"/>
      <c r="D63" s="727"/>
      <c r="E63" s="576"/>
      <c r="F63" s="726" t="s">
        <v>1</v>
      </c>
      <c r="G63" s="726"/>
      <c r="H63" s="726"/>
      <c r="I63" s="578"/>
      <c r="J63" s="725" t="s">
        <v>2</v>
      </c>
      <c r="K63" s="726"/>
      <c r="L63" s="726"/>
      <c r="M63" s="578"/>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c r="C66" s="343"/>
      <c r="D66" s="340"/>
      <c r="E66" s="11"/>
      <c r="F66" s="342"/>
      <c r="G66" s="342"/>
      <c r="H66" s="340"/>
      <c r="I66" s="11"/>
      <c r="J66" s="302"/>
      <c r="K66" s="309"/>
      <c r="L66" s="414"/>
      <c r="M66" s="11"/>
    </row>
    <row r="67" spans="1:14" x14ac:dyDescent="0.2">
      <c r="A67" s="405" t="s">
        <v>9</v>
      </c>
      <c r="B67" s="44"/>
      <c r="C67" s="145"/>
      <c r="D67" s="165"/>
      <c r="E67" s="27"/>
      <c r="F67" s="230"/>
      <c r="G67" s="145"/>
      <c r="H67" s="165"/>
      <c r="I67" s="27"/>
      <c r="J67" s="283"/>
      <c r="K67" s="44"/>
      <c r="L67" s="250"/>
      <c r="M67" s="27"/>
    </row>
    <row r="68" spans="1:14" x14ac:dyDescent="0.2">
      <c r="A68" s="21" t="s">
        <v>10</v>
      </c>
      <c r="B68" s="287"/>
      <c r="C68" s="288"/>
      <c r="D68" s="165"/>
      <c r="E68" s="27"/>
      <c r="F68" s="287"/>
      <c r="G68" s="288"/>
      <c r="H68" s="165"/>
      <c r="I68" s="27"/>
      <c r="J68" s="283"/>
      <c r="K68" s="44"/>
      <c r="L68" s="250"/>
      <c r="M68" s="27"/>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c r="C75" s="145"/>
      <c r="D75" s="165"/>
      <c r="E75" s="27"/>
      <c r="F75" s="230"/>
      <c r="G75" s="145"/>
      <c r="H75" s="165"/>
      <c r="I75" s="27"/>
      <c r="J75" s="283"/>
      <c r="K75" s="44"/>
      <c r="L75" s="250"/>
      <c r="M75" s="27"/>
      <c r="N75" s="148"/>
    </row>
    <row r="76" spans="1:14" s="3" customFormat="1" x14ac:dyDescent="0.2">
      <c r="A76" s="21" t="s">
        <v>343</v>
      </c>
      <c r="B76" s="230"/>
      <c r="C76" s="145"/>
      <c r="D76" s="165"/>
      <c r="E76" s="27"/>
      <c r="F76" s="230"/>
      <c r="G76" s="145"/>
      <c r="H76" s="165"/>
      <c r="I76" s="27"/>
      <c r="J76" s="283"/>
      <c r="K76" s="44"/>
      <c r="L76" s="250"/>
      <c r="M76" s="27"/>
      <c r="N76" s="148"/>
    </row>
    <row r="77" spans="1:14" ht="15.75" x14ac:dyDescent="0.2">
      <c r="A77" s="21" t="s">
        <v>376</v>
      </c>
      <c r="B77" s="230"/>
      <c r="C77" s="230"/>
      <c r="D77" s="165"/>
      <c r="E77" s="27"/>
      <c r="F77" s="230"/>
      <c r="G77" s="145"/>
      <c r="H77" s="165"/>
      <c r="I77" s="27"/>
      <c r="J77" s="283"/>
      <c r="K77" s="44"/>
      <c r="L77" s="250"/>
      <c r="M77" s="27"/>
    </row>
    <row r="78" spans="1:14" x14ac:dyDescent="0.2">
      <c r="A78" s="21" t="s">
        <v>9</v>
      </c>
      <c r="B78" s="230"/>
      <c r="C78" s="145"/>
      <c r="D78" s="165"/>
      <c r="E78" s="27"/>
      <c r="F78" s="230"/>
      <c r="G78" s="145"/>
      <c r="H78" s="165"/>
      <c r="I78" s="27"/>
      <c r="J78" s="283"/>
      <c r="K78" s="44"/>
      <c r="L78" s="250"/>
      <c r="M78" s="27"/>
    </row>
    <row r="79" spans="1:14" x14ac:dyDescent="0.2">
      <c r="A79" s="38" t="s">
        <v>413</v>
      </c>
      <c r="B79" s="287"/>
      <c r="C79" s="288"/>
      <c r="D79" s="165"/>
      <c r="E79" s="27"/>
      <c r="F79" s="287"/>
      <c r="G79" s="288"/>
      <c r="H79" s="165"/>
      <c r="I79" s="27"/>
      <c r="J79" s="283"/>
      <c r="K79" s="44"/>
      <c r="L79" s="250"/>
      <c r="M79" s="27"/>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c r="C86" s="145"/>
      <c r="D86" s="165"/>
      <c r="E86" s="27"/>
      <c r="F86" s="230"/>
      <c r="G86" s="145"/>
      <c r="H86" s="165"/>
      <c r="I86" s="27"/>
      <c r="J86" s="283"/>
      <c r="K86" s="44"/>
      <c r="L86" s="250"/>
      <c r="M86" s="27"/>
    </row>
    <row r="87" spans="1:13" ht="15.75" x14ac:dyDescent="0.2">
      <c r="A87" s="13" t="s">
        <v>359</v>
      </c>
      <c r="B87" s="343"/>
      <c r="C87" s="343"/>
      <c r="D87" s="170"/>
      <c r="E87" s="11"/>
      <c r="F87" s="342"/>
      <c r="G87" s="342"/>
      <c r="H87" s="170"/>
      <c r="I87" s="11"/>
      <c r="J87" s="302"/>
      <c r="K87" s="232"/>
      <c r="L87" s="414"/>
      <c r="M87" s="11"/>
    </row>
    <row r="88" spans="1:13" x14ac:dyDescent="0.2">
      <c r="A88" s="21" t="s">
        <v>9</v>
      </c>
      <c r="B88" s="230"/>
      <c r="C88" s="145"/>
      <c r="D88" s="165"/>
      <c r="E88" s="27"/>
      <c r="F88" s="230"/>
      <c r="G88" s="145"/>
      <c r="H88" s="165"/>
      <c r="I88" s="27"/>
      <c r="J88" s="283"/>
      <c r="K88" s="44"/>
      <c r="L88" s="250"/>
      <c r="M88" s="27"/>
    </row>
    <row r="89" spans="1:13" x14ac:dyDescent="0.2">
      <c r="A89" s="21" t="s">
        <v>10</v>
      </c>
      <c r="B89" s="230"/>
      <c r="C89" s="145"/>
      <c r="D89" s="165"/>
      <c r="E89" s="27"/>
      <c r="F89" s="230"/>
      <c r="G89" s="145"/>
      <c r="H89" s="165"/>
      <c r="I89" s="27"/>
      <c r="J89" s="283"/>
      <c r="K89" s="44"/>
      <c r="L89" s="250"/>
      <c r="M89" s="27"/>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c r="C97" s="145"/>
      <c r="D97" s="165"/>
      <c r="E97" s="27"/>
      <c r="F97" s="230"/>
      <c r="G97" s="145"/>
      <c r="H97" s="165"/>
      <c r="I97" s="27"/>
      <c r="J97" s="283"/>
      <c r="K97" s="44"/>
      <c r="L97" s="250"/>
      <c r="M97" s="27"/>
    </row>
    <row r="98" spans="1:13" ht="15.75" x14ac:dyDescent="0.2">
      <c r="A98" s="21" t="s">
        <v>376</v>
      </c>
      <c r="B98" s="230"/>
      <c r="C98" s="230"/>
      <c r="D98" s="165"/>
      <c r="E98" s="27"/>
      <c r="F98" s="287"/>
      <c r="G98" s="287"/>
      <c r="H98" s="165"/>
      <c r="I98" s="27"/>
      <c r="J98" s="283"/>
      <c r="K98" s="44"/>
      <c r="L98" s="250"/>
      <c r="M98" s="27"/>
    </row>
    <row r="99" spans="1:13" x14ac:dyDescent="0.2">
      <c r="A99" s="21" t="s">
        <v>9</v>
      </c>
      <c r="B99" s="287"/>
      <c r="C99" s="288"/>
      <c r="D99" s="165"/>
      <c r="E99" s="27"/>
      <c r="F99" s="230"/>
      <c r="G99" s="145"/>
      <c r="H99" s="165"/>
      <c r="I99" s="27"/>
      <c r="J99" s="283"/>
      <c r="K99" s="44"/>
      <c r="L99" s="250"/>
      <c r="M99" s="27"/>
    </row>
    <row r="100" spans="1:13" x14ac:dyDescent="0.2">
      <c r="A100" s="38" t="s">
        <v>413</v>
      </c>
      <c r="B100" s="287"/>
      <c r="C100" s="288"/>
      <c r="D100" s="165"/>
      <c r="E100" s="27"/>
      <c r="F100" s="230"/>
      <c r="G100" s="230"/>
      <c r="H100" s="165"/>
      <c r="I100" s="27"/>
      <c r="J100" s="283"/>
      <c r="K100" s="44"/>
      <c r="L100" s="250"/>
      <c r="M100" s="27"/>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c r="C107" s="145"/>
      <c r="D107" s="165"/>
      <c r="E107" s="27"/>
      <c r="F107" s="230"/>
      <c r="G107" s="145"/>
      <c r="H107" s="165"/>
      <c r="I107" s="27"/>
      <c r="J107" s="283"/>
      <c r="K107" s="44"/>
      <c r="L107" s="250"/>
      <c r="M107" s="27"/>
    </row>
    <row r="108" spans="1:13" ht="15.75" x14ac:dyDescent="0.2">
      <c r="A108" s="21" t="s">
        <v>378</v>
      </c>
      <c r="B108" s="230"/>
      <c r="C108" s="230"/>
      <c r="D108" s="165"/>
      <c r="E108" s="27"/>
      <c r="F108" s="230"/>
      <c r="G108" s="230"/>
      <c r="H108" s="165"/>
      <c r="I108" s="27"/>
      <c r="J108" s="283"/>
      <c r="K108" s="44"/>
      <c r="L108" s="250"/>
      <c r="M108" s="27"/>
    </row>
    <row r="109" spans="1:13" ht="15.6" customHeight="1" x14ac:dyDescent="0.2">
      <c r="A109" s="21" t="s">
        <v>430</v>
      </c>
      <c r="B109" s="230"/>
      <c r="C109" s="230"/>
      <c r="D109" s="165"/>
      <c r="E109" s="27"/>
      <c r="F109" s="230"/>
      <c r="G109" s="230"/>
      <c r="H109" s="165"/>
      <c r="I109" s="27"/>
      <c r="J109" s="283"/>
      <c r="K109" s="44"/>
      <c r="L109" s="250"/>
      <c r="M109" s="27"/>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c r="C111" s="158"/>
      <c r="D111" s="170"/>
      <c r="E111" s="11"/>
      <c r="F111" s="301"/>
      <c r="G111" s="158"/>
      <c r="H111" s="170"/>
      <c r="I111" s="11"/>
      <c r="J111" s="302"/>
      <c r="K111" s="232"/>
      <c r="L111" s="414"/>
      <c r="M111" s="11"/>
    </row>
    <row r="112" spans="1:13" x14ac:dyDescent="0.2">
      <c r="A112" s="21" t="s">
        <v>9</v>
      </c>
      <c r="B112" s="230"/>
      <c r="C112" s="145"/>
      <c r="D112" s="165"/>
      <c r="E112" s="27"/>
      <c r="F112" s="230"/>
      <c r="G112" s="145"/>
      <c r="H112" s="165"/>
      <c r="I112" s="27"/>
      <c r="J112" s="283"/>
      <c r="K112" s="44"/>
      <c r="L112" s="250"/>
      <c r="M112" s="27"/>
    </row>
    <row r="113" spans="1:14" x14ac:dyDescent="0.2">
      <c r="A113" s="21" t="s">
        <v>10</v>
      </c>
      <c r="B113" s="230"/>
      <c r="C113" s="145"/>
      <c r="D113" s="165"/>
      <c r="E113" s="27"/>
      <c r="F113" s="230"/>
      <c r="G113" s="145"/>
      <c r="H113" s="165"/>
      <c r="I113" s="27"/>
      <c r="J113" s="283"/>
      <c r="K113" s="44"/>
      <c r="L113" s="250"/>
      <c r="M113" s="27"/>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c r="C116" s="230"/>
      <c r="D116" s="165"/>
      <c r="E116" s="27"/>
      <c r="F116" s="230"/>
      <c r="G116" s="230"/>
      <c r="H116" s="165"/>
      <c r="I116" s="27"/>
      <c r="J116" s="283"/>
      <c r="K116" s="44"/>
      <c r="L116" s="250"/>
      <c r="M116" s="27"/>
    </row>
    <row r="117" spans="1:14" ht="15.6" customHeight="1" x14ac:dyDescent="0.2">
      <c r="A117" s="21" t="s">
        <v>430</v>
      </c>
      <c r="B117" s="230"/>
      <c r="C117" s="230"/>
      <c r="D117" s="165"/>
      <c r="E117" s="27"/>
      <c r="F117" s="230"/>
      <c r="G117" s="230"/>
      <c r="H117" s="165"/>
      <c r="I117" s="27"/>
      <c r="J117" s="283"/>
      <c r="K117" s="44"/>
      <c r="L117" s="250"/>
      <c r="M117" s="27"/>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c r="C119" s="158"/>
      <c r="D119" s="170"/>
      <c r="E119" s="11"/>
      <c r="F119" s="301"/>
      <c r="G119" s="158"/>
      <c r="H119" s="170"/>
      <c r="I119" s="11"/>
      <c r="J119" s="302"/>
      <c r="K119" s="232"/>
      <c r="L119" s="414"/>
      <c r="M119" s="11"/>
    </row>
    <row r="120" spans="1:14" x14ac:dyDescent="0.2">
      <c r="A120" s="21" t="s">
        <v>9</v>
      </c>
      <c r="B120" s="230"/>
      <c r="C120" s="145"/>
      <c r="D120" s="165"/>
      <c r="E120" s="27"/>
      <c r="F120" s="230"/>
      <c r="G120" s="145"/>
      <c r="H120" s="165"/>
      <c r="I120" s="27"/>
      <c r="J120" s="283"/>
      <c r="K120" s="44"/>
      <c r="L120" s="250"/>
      <c r="M120" s="27"/>
    </row>
    <row r="121" spans="1:14" x14ac:dyDescent="0.2">
      <c r="A121" s="21" t="s">
        <v>10</v>
      </c>
      <c r="B121" s="230"/>
      <c r="C121" s="145"/>
      <c r="D121" s="165"/>
      <c r="E121" s="27"/>
      <c r="F121" s="230"/>
      <c r="G121" s="145"/>
      <c r="H121" s="165"/>
      <c r="I121" s="27"/>
      <c r="J121" s="283"/>
      <c r="K121" s="44"/>
      <c r="L121" s="250"/>
      <c r="M121" s="27"/>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c r="C125" s="230"/>
      <c r="D125" s="165"/>
      <c r="E125" s="27"/>
      <c r="F125" s="230"/>
      <c r="G125" s="230"/>
      <c r="H125" s="165"/>
      <c r="I125" s="27"/>
      <c r="J125" s="283"/>
      <c r="K125" s="44"/>
      <c r="L125" s="250"/>
      <c r="M125" s="27"/>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580"/>
      <c r="F130" s="724"/>
      <c r="G130" s="724"/>
      <c r="H130" s="724"/>
      <c r="I130" s="580"/>
      <c r="J130" s="724"/>
      <c r="K130" s="724"/>
      <c r="L130" s="724"/>
      <c r="M130" s="580"/>
    </row>
    <row r="131" spans="1:14" s="3" customFormat="1" x14ac:dyDescent="0.2">
      <c r="A131" s="144"/>
      <c r="B131" s="725" t="s">
        <v>0</v>
      </c>
      <c r="C131" s="726"/>
      <c r="D131" s="726"/>
      <c r="E131" s="577"/>
      <c r="F131" s="725" t="s">
        <v>1</v>
      </c>
      <c r="G131" s="726"/>
      <c r="H131" s="726"/>
      <c r="I131" s="578"/>
      <c r="J131" s="725" t="s">
        <v>2</v>
      </c>
      <c r="K131" s="726"/>
      <c r="L131" s="726"/>
      <c r="M131" s="578"/>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c r="C134" s="302"/>
      <c r="D134" s="340"/>
      <c r="E134" s="11"/>
      <c r="F134" s="309"/>
      <c r="G134" s="310"/>
      <c r="H134" s="417"/>
      <c r="I134" s="24"/>
      <c r="J134" s="311"/>
      <c r="K134" s="311"/>
      <c r="L134" s="413"/>
      <c r="M134" s="11"/>
      <c r="N134" s="148"/>
    </row>
    <row r="135" spans="1:14" s="3" customFormat="1" ht="15.75" x14ac:dyDescent="0.2">
      <c r="A135" s="13" t="s">
        <v>386</v>
      </c>
      <c r="B135" s="232"/>
      <c r="C135" s="302"/>
      <c r="D135" s="170"/>
      <c r="E135" s="11"/>
      <c r="F135" s="232"/>
      <c r="G135" s="302"/>
      <c r="H135" s="418"/>
      <c r="I135" s="24"/>
      <c r="J135" s="301"/>
      <c r="K135" s="301"/>
      <c r="L135" s="414"/>
      <c r="M135" s="11"/>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A50:A52">
    <cfRule type="expression" dxfId="251" priority="7">
      <formula>kvartal &lt; 4</formula>
    </cfRule>
  </conditionalFormatting>
  <conditionalFormatting sqref="A69:A74">
    <cfRule type="expression" dxfId="250" priority="6">
      <formula>kvartal &lt; 4</formula>
    </cfRule>
  </conditionalFormatting>
  <conditionalFormatting sqref="A80:A85">
    <cfRule type="expression" dxfId="249" priority="5">
      <formula>kvartal &lt; 4</formula>
    </cfRule>
  </conditionalFormatting>
  <conditionalFormatting sqref="A90:A95">
    <cfRule type="expression" dxfId="248" priority="4">
      <formula>kvartal &lt; 4</formula>
    </cfRule>
  </conditionalFormatting>
  <conditionalFormatting sqref="A101:A106">
    <cfRule type="expression" dxfId="247" priority="3">
      <formula>kvartal &lt; 4</formula>
    </cfRule>
  </conditionalFormatting>
  <conditionalFormatting sqref="A115">
    <cfRule type="expression" dxfId="246" priority="2">
      <formula>kvartal &lt; 4</formula>
    </cfRule>
  </conditionalFormatting>
  <conditionalFormatting sqref="A123">
    <cfRule type="expression" dxfId="245" priority="1">
      <formula>kvartal &lt; 4</formula>
    </cfRule>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737C7-9E35-491E-AA5D-FD2A7954B218}">
  <dimension ref="A1:N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244" t="s">
        <v>427</v>
      </c>
      <c r="D1" s="26"/>
      <c r="E1" s="26"/>
      <c r="F1" s="26"/>
      <c r="G1" s="26"/>
      <c r="H1" s="26"/>
      <c r="I1" s="26"/>
      <c r="J1" s="26"/>
      <c r="K1" s="26"/>
      <c r="L1" s="26"/>
      <c r="M1" s="26"/>
    </row>
    <row r="2" spans="1:14" ht="15.75" x14ac:dyDescent="0.25">
      <c r="A2" s="164" t="s">
        <v>28</v>
      </c>
      <c r="B2" s="729"/>
      <c r="C2" s="729"/>
      <c r="D2" s="729"/>
      <c r="E2" s="638"/>
      <c r="F2" s="729"/>
      <c r="G2" s="729"/>
      <c r="H2" s="729"/>
      <c r="I2" s="638"/>
      <c r="J2" s="729"/>
      <c r="K2" s="729"/>
      <c r="L2" s="729"/>
      <c r="M2" s="638"/>
    </row>
    <row r="3" spans="1:14" ht="15.75" x14ac:dyDescent="0.25">
      <c r="A3" s="162"/>
      <c r="B3" s="638"/>
      <c r="C3" s="638"/>
      <c r="D3" s="638"/>
      <c r="E3" s="638"/>
      <c r="F3" s="638"/>
      <c r="G3" s="638"/>
      <c r="H3" s="638"/>
      <c r="I3" s="638"/>
      <c r="J3" s="638"/>
      <c r="K3" s="638"/>
      <c r="L3" s="638"/>
      <c r="M3" s="638"/>
    </row>
    <row r="4" spans="1:14" x14ac:dyDescent="0.2">
      <c r="A4" s="144"/>
      <c r="B4" s="725" t="s">
        <v>0</v>
      </c>
      <c r="C4" s="726"/>
      <c r="D4" s="726"/>
      <c r="E4" s="636"/>
      <c r="F4" s="725" t="s">
        <v>1</v>
      </c>
      <c r="G4" s="726"/>
      <c r="H4" s="726"/>
      <c r="I4" s="637"/>
      <c r="J4" s="725" t="s">
        <v>2</v>
      </c>
      <c r="K4" s="726"/>
      <c r="L4" s="726"/>
      <c r="M4" s="637"/>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c r="C7" s="300">
        <v>868</v>
      </c>
      <c r="D7" s="340" t="str">
        <f>IF(B7=0, "    ---- ", IF(ABS(ROUND(100/B7*C7-100,1))&lt;999,ROUND(100/B7*C7-100,1),IF(ROUND(100/B7*C7-100,1)&gt;999,999,-999)))</f>
        <v xml:space="preserve">    ---- </v>
      </c>
      <c r="E7" s="11">
        <f>IFERROR(100/'Skjema total MA'!C7*C7,0)</f>
        <v>5.0069134081232682E-2</v>
      </c>
      <c r="F7" s="299"/>
      <c r="G7" s="300"/>
      <c r="H7" s="340"/>
      <c r="I7" s="159"/>
      <c r="J7" s="301"/>
      <c r="K7" s="302">
        <f t="shared" ref="K7:K12" si="0">SUM(C7,G7)</f>
        <v>868</v>
      </c>
      <c r="L7" s="413" t="str">
        <f>IF(J7=0, "    ---- ", IF(ABS(ROUND(100/J7*K7-100,1))&lt;999,ROUND(100/J7*K7-100,1),IF(ROUND(100/J7*K7-100,1)&gt;999,999,-999)))</f>
        <v xml:space="preserve">    ---- </v>
      </c>
      <c r="M7" s="11">
        <f>IFERROR(100/'Skjema total MA'!I7*K7,0)</f>
        <v>1.6793637043432778E-2</v>
      </c>
    </row>
    <row r="8" spans="1:14" ht="15.75" x14ac:dyDescent="0.2">
      <c r="A8" s="21" t="s">
        <v>25</v>
      </c>
      <c r="B8" s="277"/>
      <c r="C8" s="278">
        <v>178</v>
      </c>
      <c r="D8" s="165" t="str">
        <f t="shared" ref="D8:D12" si="1">IF(B8=0, "    ---- ", IF(ABS(ROUND(100/B8*C8-100,1))&lt;999,ROUND(100/B8*C8-100,1),IF(ROUND(100/B8*C8-100,1)&gt;999,999,-999)))</f>
        <v xml:space="preserve">    ---- </v>
      </c>
      <c r="E8" s="27">
        <f>IFERROR(100/'Skjema total MA'!C8*C8,0)</f>
        <v>1.5305288322766914E-2</v>
      </c>
      <c r="F8" s="281"/>
      <c r="G8" s="282"/>
      <c r="H8" s="165"/>
      <c r="I8" s="174"/>
      <c r="J8" s="230"/>
      <c r="K8" s="283">
        <f t="shared" si="0"/>
        <v>178</v>
      </c>
      <c r="L8" s="165" t="str">
        <f t="shared" ref="L8:L12" si="2">IF(J8=0, "    ---- ", IF(ABS(ROUND(100/J8*K8-100,1))&lt;999,ROUND(100/J8*K8-100,1),IF(ROUND(100/J8*K8-100,1)&gt;999,999,-999)))</f>
        <v xml:space="preserve">    ---- </v>
      </c>
      <c r="M8" s="27">
        <f>IFERROR(100/'Skjema total MA'!I8*K8,0)</f>
        <v>1.5305288322766914E-2</v>
      </c>
    </row>
    <row r="9" spans="1:14" ht="15.75" x14ac:dyDescent="0.2">
      <c r="A9" s="21" t="s">
        <v>24</v>
      </c>
      <c r="B9" s="277"/>
      <c r="C9" s="278">
        <v>128</v>
      </c>
      <c r="D9" s="165" t="str">
        <f t="shared" si="1"/>
        <v xml:space="preserve">    ---- </v>
      </c>
      <c r="E9" s="27">
        <f>IFERROR(100/'Skjema total MA'!C9*C9,0)</f>
        <v>3.5392057434610727E-2</v>
      </c>
      <c r="F9" s="281"/>
      <c r="G9" s="282"/>
      <c r="H9" s="165"/>
      <c r="I9" s="174"/>
      <c r="J9" s="230"/>
      <c r="K9" s="283">
        <f t="shared" si="0"/>
        <v>128</v>
      </c>
      <c r="L9" s="165" t="str">
        <f t="shared" si="2"/>
        <v xml:space="preserve">    ---- </v>
      </c>
      <c r="M9" s="27">
        <f>IFERROR(100/'Skjema total MA'!I9*K9,0)</f>
        <v>3.5392057434610727E-2</v>
      </c>
    </row>
    <row r="10" spans="1:14" ht="15.75" x14ac:dyDescent="0.2">
      <c r="A10" s="13" t="s">
        <v>359</v>
      </c>
      <c r="B10" s="303"/>
      <c r="C10" s="304">
        <v>837</v>
      </c>
      <c r="D10" s="170" t="str">
        <f t="shared" si="1"/>
        <v xml:space="preserve">    ---- </v>
      </c>
      <c r="E10" s="11">
        <f>IFERROR(100/'Skjema total MA'!C10*C10,0)</f>
        <v>5.1017605442436574E-3</v>
      </c>
      <c r="F10" s="303"/>
      <c r="G10" s="304"/>
      <c r="H10" s="170"/>
      <c r="I10" s="159"/>
      <c r="J10" s="301"/>
      <c r="K10" s="302">
        <f t="shared" si="0"/>
        <v>837</v>
      </c>
      <c r="L10" s="414" t="str">
        <f t="shared" si="2"/>
        <v xml:space="preserve">    ---- </v>
      </c>
      <c r="M10" s="11">
        <f>IFERROR(100/'Skjema total MA'!I10*K10,0)</f>
        <v>9.1640318824702993E-4</v>
      </c>
    </row>
    <row r="11" spans="1:14" s="43" customFormat="1" ht="15.75" x14ac:dyDescent="0.2">
      <c r="A11" s="13" t="s">
        <v>360</v>
      </c>
      <c r="B11" s="303"/>
      <c r="C11" s="304"/>
      <c r="D11" s="170"/>
      <c r="E11" s="11"/>
      <c r="F11" s="303"/>
      <c r="G11" s="304"/>
      <c r="H11" s="170"/>
      <c r="I11" s="159"/>
      <c r="J11" s="301"/>
      <c r="K11" s="302"/>
      <c r="L11" s="414"/>
      <c r="M11" s="11"/>
      <c r="N11" s="143"/>
    </row>
    <row r="12" spans="1:14" s="43" customFormat="1" ht="15.75" x14ac:dyDescent="0.2">
      <c r="A12" s="41" t="s">
        <v>361</v>
      </c>
      <c r="B12" s="305"/>
      <c r="C12" s="306"/>
      <c r="D12" s="168"/>
      <c r="E12" s="36"/>
      <c r="F12" s="305"/>
      <c r="G12" s="306"/>
      <c r="H12" s="168"/>
      <c r="I12" s="168"/>
      <c r="J12" s="307"/>
      <c r="K12" s="308"/>
      <c r="L12" s="415"/>
      <c r="M12" s="36"/>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638"/>
      <c r="F18" s="724"/>
      <c r="G18" s="724"/>
      <c r="H18" s="724"/>
      <c r="I18" s="638"/>
      <c r="J18" s="724"/>
      <c r="K18" s="724"/>
      <c r="L18" s="724"/>
      <c r="M18" s="638"/>
    </row>
    <row r="19" spans="1:14" x14ac:dyDescent="0.2">
      <c r="A19" s="144"/>
      <c r="B19" s="725" t="s">
        <v>0</v>
      </c>
      <c r="C19" s="726"/>
      <c r="D19" s="726"/>
      <c r="E19" s="636"/>
      <c r="F19" s="725" t="s">
        <v>1</v>
      </c>
      <c r="G19" s="726"/>
      <c r="H19" s="726"/>
      <c r="I19" s="637"/>
      <c r="J19" s="725" t="s">
        <v>2</v>
      </c>
      <c r="K19" s="726"/>
      <c r="L19" s="726"/>
      <c r="M19" s="637"/>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155" t="s">
        <v>30</v>
      </c>
      <c r="F21" s="160"/>
      <c r="G21" s="160"/>
      <c r="H21" s="241" t="s">
        <v>4</v>
      </c>
      <c r="I21" s="155" t="s">
        <v>30</v>
      </c>
      <c r="J21" s="160"/>
      <c r="K21" s="160"/>
      <c r="L21" s="155" t="s">
        <v>4</v>
      </c>
      <c r="M21" s="155" t="s">
        <v>30</v>
      </c>
    </row>
    <row r="22" spans="1:14" ht="15.75" x14ac:dyDescent="0.2">
      <c r="A22" s="14" t="s">
        <v>23</v>
      </c>
      <c r="B22" s="303"/>
      <c r="C22" s="303"/>
      <c r="D22" s="340"/>
      <c r="E22" s="11"/>
      <c r="F22" s="311"/>
      <c r="G22" s="311"/>
      <c r="H22" s="340"/>
      <c r="I22" s="11"/>
      <c r="J22" s="309"/>
      <c r="K22" s="309"/>
      <c r="L22" s="413"/>
      <c r="M22" s="24"/>
    </row>
    <row r="23" spans="1:14" ht="15.75" x14ac:dyDescent="0.2">
      <c r="A23" s="555" t="s">
        <v>362</v>
      </c>
      <c r="B23" s="277"/>
      <c r="C23" s="277"/>
      <c r="D23" s="165"/>
      <c r="E23" s="11"/>
      <c r="F23" s="286"/>
      <c r="G23" s="286"/>
      <c r="H23" s="165"/>
      <c r="I23" s="403"/>
      <c r="J23" s="286"/>
      <c r="K23" s="286"/>
      <c r="L23" s="165"/>
      <c r="M23" s="23"/>
    </row>
    <row r="24" spans="1:14" ht="15.75" x14ac:dyDescent="0.2">
      <c r="A24" s="555" t="s">
        <v>363</v>
      </c>
      <c r="B24" s="277"/>
      <c r="C24" s="277"/>
      <c r="D24" s="165"/>
      <c r="E24" s="11"/>
      <c r="F24" s="286"/>
      <c r="G24" s="286"/>
      <c r="H24" s="165"/>
      <c r="I24" s="403"/>
      <c r="J24" s="286"/>
      <c r="K24" s="286"/>
      <c r="L24" s="165"/>
      <c r="M24" s="23"/>
    </row>
    <row r="25" spans="1:14" ht="15.75" x14ac:dyDescent="0.2">
      <c r="A25" s="555" t="s">
        <v>364</v>
      </c>
      <c r="B25" s="277"/>
      <c r="C25" s="277"/>
      <c r="D25" s="165"/>
      <c r="E25" s="11"/>
      <c r="F25" s="286"/>
      <c r="G25" s="286"/>
      <c r="H25" s="165"/>
      <c r="I25" s="403"/>
      <c r="J25" s="286"/>
      <c r="K25" s="286"/>
      <c r="L25" s="165"/>
      <c r="M25" s="23"/>
    </row>
    <row r="26" spans="1:14" ht="15.75" x14ac:dyDescent="0.2">
      <c r="A26" s="555" t="s">
        <v>365</v>
      </c>
      <c r="B26" s="277"/>
      <c r="C26" s="277"/>
      <c r="D26" s="165"/>
      <c r="E26" s="11"/>
      <c r="F26" s="286"/>
      <c r="G26" s="286"/>
      <c r="H26" s="165"/>
      <c r="I26" s="403"/>
      <c r="J26" s="286"/>
      <c r="K26" s="286"/>
      <c r="L26" s="165"/>
      <c r="M26" s="23"/>
    </row>
    <row r="27" spans="1:14" x14ac:dyDescent="0.2">
      <c r="A27" s="555" t="s">
        <v>11</v>
      </c>
      <c r="B27" s="277"/>
      <c r="C27" s="277"/>
      <c r="D27" s="165"/>
      <c r="E27" s="11"/>
      <c r="F27" s="286"/>
      <c r="G27" s="286"/>
      <c r="H27" s="165"/>
      <c r="I27" s="403"/>
      <c r="J27" s="286"/>
      <c r="K27" s="286"/>
      <c r="L27" s="165"/>
      <c r="M27" s="23"/>
    </row>
    <row r="28" spans="1:14" ht="15.75" x14ac:dyDescent="0.2">
      <c r="A28" s="49" t="s">
        <v>270</v>
      </c>
      <c r="B28" s="44"/>
      <c r="C28" s="283"/>
      <c r="D28" s="165"/>
      <c r="E28" s="11"/>
      <c r="F28" s="230"/>
      <c r="G28" s="283"/>
      <c r="H28" s="165"/>
      <c r="I28" s="27"/>
      <c r="J28" s="44"/>
      <c r="K28" s="44"/>
      <c r="L28" s="250"/>
      <c r="M28" s="23"/>
    </row>
    <row r="29" spans="1:14" s="3" customFormat="1" ht="15.75" x14ac:dyDescent="0.2">
      <c r="A29" s="13" t="s">
        <v>359</v>
      </c>
      <c r="B29" s="232"/>
      <c r="C29" s="232"/>
      <c r="D29" s="170"/>
      <c r="E29" s="11"/>
      <c r="F29" s="301"/>
      <c r="G29" s="301"/>
      <c r="H29" s="170"/>
      <c r="I29" s="11"/>
      <c r="J29" s="232"/>
      <c r="K29" s="232"/>
      <c r="L29" s="414"/>
      <c r="M29" s="24"/>
      <c r="N29" s="148"/>
    </row>
    <row r="30" spans="1:14" s="3" customFormat="1" ht="15.75" x14ac:dyDescent="0.2">
      <c r="A30" s="555" t="s">
        <v>362</v>
      </c>
      <c r="B30" s="277"/>
      <c r="C30" s="277"/>
      <c r="D30" s="165"/>
      <c r="E30" s="11"/>
      <c r="F30" s="286"/>
      <c r="G30" s="286"/>
      <c r="H30" s="165"/>
      <c r="I30" s="403"/>
      <c r="J30" s="286"/>
      <c r="K30" s="286"/>
      <c r="L30" s="165"/>
      <c r="M30" s="23"/>
      <c r="N30" s="148"/>
    </row>
    <row r="31" spans="1:14" s="3" customFormat="1" ht="15.75" x14ac:dyDescent="0.2">
      <c r="A31" s="555" t="s">
        <v>363</v>
      </c>
      <c r="B31" s="277"/>
      <c r="C31" s="277"/>
      <c r="D31" s="165"/>
      <c r="E31" s="11"/>
      <c r="F31" s="286"/>
      <c r="G31" s="286"/>
      <c r="H31" s="165"/>
      <c r="I31" s="403"/>
      <c r="J31" s="286"/>
      <c r="K31" s="286"/>
      <c r="L31" s="165"/>
      <c r="M31" s="23"/>
      <c r="N31" s="148"/>
    </row>
    <row r="32" spans="1:14" ht="15.75" x14ac:dyDescent="0.2">
      <c r="A32" s="555" t="s">
        <v>364</v>
      </c>
      <c r="B32" s="277"/>
      <c r="C32" s="277"/>
      <c r="D32" s="165"/>
      <c r="E32" s="11"/>
      <c r="F32" s="286"/>
      <c r="G32" s="286"/>
      <c r="H32" s="165"/>
      <c r="I32" s="403"/>
      <c r="J32" s="286"/>
      <c r="K32" s="286"/>
      <c r="L32" s="165"/>
      <c r="M32" s="23"/>
    </row>
    <row r="33" spans="1:14" ht="15.75" x14ac:dyDescent="0.2">
      <c r="A33" s="555" t="s">
        <v>365</v>
      </c>
      <c r="B33" s="277"/>
      <c r="C33" s="277"/>
      <c r="D33" s="165"/>
      <c r="E33" s="11"/>
      <c r="F33" s="286"/>
      <c r="G33" s="286"/>
      <c r="H33" s="165"/>
      <c r="I33" s="403"/>
      <c r="J33" s="286"/>
      <c r="K33" s="286"/>
      <c r="L33" s="165"/>
      <c r="M33" s="23"/>
    </row>
    <row r="34" spans="1:14" ht="15.75" x14ac:dyDescent="0.2">
      <c r="A34" s="13" t="s">
        <v>360</v>
      </c>
      <c r="B34" s="232"/>
      <c r="C34" s="302"/>
      <c r="D34" s="170"/>
      <c r="E34" s="11"/>
      <c r="F34" s="301"/>
      <c r="G34" s="302"/>
      <c r="H34" s="170"/>
      <c r="I34" s="11"/>
      <c r="J34" s="232"/>
      <c r="K34" s="232"/>
      <c r="L34" s="414"/>
      <c r="M34" s="24"/>
    </row>
    <row r="35" spans="1:14" ht="15.75" x14ac:dyDescent="0.2">
      <c r="A35" s="13" t="s">
        <v>361</v>
      </c>
      <c r="B35" s="232"/>
      <c r="C35" s="302"/>
      <c r="D35" s="170"/>
      <c r="E35" s="11"/>
      <c r="F35" s="301"/>
      <c r="G35" s="302"/>
      <c r="H35" s="170"/>
      <c r="I35" s="11"/>
      <c r="J35" s="232"/>
      <c r="K35" s="232"/>
      <c r="L35" s="414"/>
      <c r="M35" s="24"/>
    </row>
    <row r="36" spans="1:14" ht="15.75" x14ac:dyDescent="0.2">
      <c r="A36" s="12" t="s">
        <v>278</v>
      </c>
      <c r="B36" s="232"/>
      <c r="C36" s="302"/>
      <c r="D36" s="170"/>
      <c r="E36" s="11"/>
      <c r="F36" s="312"/>
      <c r="G36" s="313"/>
      <c r="H36" s="170"/>
      <c r="I36" s="420"/>
      <c r="J36" s="232"/>
      <c r="K36" s="232"/>
      <c r="L36" s="414"/>
      <c r="M36" s="24"/>
    </row>
    <row r="37" spans="1:14" ht="15.75" x14ac:dyDescent="0.2">
      <c r="A37" s="12" t="s">
        <v>367</v>
      </c>
      <c r="B37" s="232"/>
      <c r="C37" s="302"/>
      <c r="D37" s="170"/>
      <c r="E37" s="11"/>
      <c r="F37" s="312"/>
      <c r="G37" s="314"/>
      <c r="H37" s="170"/>
      <c r="I37" s="420"/>
      <c r="J37" s="232"/>
      <c r="K37" s="232"/>
      <c r="L37" s="414"/>
      <c r="M37" s="24"/>
    </row>
    <row r="38" spans="1:14" ht="15.75" x14ac:dyDescent="0.2">
      <c r="A38" s="12" t="s">
        <v>368</v>
      </c>
      <c r="B38" s="232"/>
      <c r="C38" s="302"/>
      <c r="D38" s="418"/>
      <c r="E38" s="24"/>
      <c r="F38" s="312"/>
      <c r="G38" s="313"/>
      <c r="H38" s="170"/>
      <c r="I38" s="420"/>
      <c r="J38" s="232"/>
      <c r="K38" s="232"/>
      <c r="L38" s="414"/>
      <c r="M38" s="24"/>
    </row>
    <row r="39" spans="1:14" ht="15.75" x14ac:dyDescent="0.2">
      <c r="A39" s="18" t="s">
        <v>369</v>
      </c>
      <c r="B39" s="272"/>
      <c r="C39" s="308"/>
      <c r="D39" s="419"/>
      <c r="E39" s="36"/>
      <c r="F39" s="315"/>
      <c r="G39" s="316"/>
      <c r="H39" s="168"/>
      <c r="I39" s="36"/>
      <c r="J39" s="232"/>
      <c r="K39" s="232"/>
      <c r="L39" s="415"/>
      <c r="M39" s="36"/>
    </row>
    <row r="40" spans="1:14" ht="15.75" x14ac:dyDescent="0.25">
      <c r="A40" s="47"/>
      <c r="B40" s="249"/>
      <c r="C40" s="249"/>
      <c r="D40" s="728"/>
      <c r="E40" s="730"/>
      <c r="F40" s="728"/>
      <c r="G40" s="728"/>
      <c r="H40" s="728"/>
      <c r="I40" s="728"/>
      <c r="J40" s="728"/>
      <c r="K40" s="728"/>
      <c r="L40" s="728"/>
      <c r="M40" s="639"/>
    </row>
    <row r="41" spans="1:14" x14ac:dyDescent="0.2">
      <c r="A41" s="154"/>
    </row>
    <row r="42" spans="1:14" ht="15.75" x14ac:dyDescent="0.25">
      <c r="A42" s="147" t="s">
        <v>267</v>
      </c>
      <c r="B42" s="729"/>
      <c r="C42" s="729"/>
      <c r="D42" s="729"/>
      <c r="E42" s="638"/>
      <c r="F42" s="730"/>
      <c r="G42" s="730"/>
      <c r="H42" s="730"/>
      <c r="I42" s="639"/>
      <c r="J42" s="730"/>
      <c r="K42" s="730"/>
      <c r="L42" s="730"/>
      <c r="M42" s="639"/>
    </row>
    <row r="43" spans="1:14" ht="15.75" x14ac:dyDescent="0.25">
      <c r="A43" s="162"/>
      <c r="B43" s="634"/>
      <c r="C43" s="634"/>
      <c r="D43" s="634"/>
      <c r="E43" s="634"/>
      <c r="F43" s="639"/>
      <c r="G43" s="639"/>
      <c r="H43" s="639"/>
      <c r="I43" s="639"/>
      <c r="J43" s="639"/>
      <c r="K43" s="639"/>
      <c r="L43" s="639"/>
      <c r="M43" s="639"/>
    </row>
    <row r="44" spans="1:14" ht="15.75" x14ac:dyDescent="0.25">
      <c r="A44" s="243"/>
      <c r="B44" s="725" t="s">
        <v>0</v>
      </c>
      <c r="C44" s="726"/>
      <c r="D44" s="726"/>
      <c r="E44" s="239"/>
      <c r="F44" s="639"/>
      <c r="G44" s="639"/>
      <c r="H44" s="639"/>
      <c r="I44" s="639"/>
      <c r="J44" s="639"/>
      <c r="K44" s="639"/>
      <c r="L44" s="639"/>
      <c r="M44" s="639"/>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c r="C47" s="304"/>
      <c r="D47" s="413"/>
      <c r="E47" s="11"/>
      <c r="F47" s="145"/>
      <c r="G47" s="33"/>
      <c r="H47" s="158"/>
      <c r="I47" s="158"/>
      <c r="J47" s="37"/>
      <c r="K47" s="37"/>
      <c r="L47" s="158"/>
      <c r="M47" s="158"/>
      <c r="N47" s="148"/>
    </row>
    <row r="48" spans="1:14" s="3" customFormat="1" ht="15.75" x14ac:dyDescent="0.2">
      <c r="A48" s="38" t="s">
        <v>370</v>
      </c>
      <c r="B48" s="277"/>
      <c r="C48" s="278"/>
      <c r="D48" s="250"/>
      <c r="E48" s="27"/>
      <c r="F48" s="145"/>
      <c r="G48" s="33"/>
      <c r="H48" s="145"/>
      <c r="I48" s="145"/>
      <c r="J48" s="33"/>
      <c r="K48" s="33"/>
      <c r="L48" s="158"/>
      <c r="M48" s="158"/>
      <c r="N48" s="148"/>
    </row>
    <row r="49" spans="1:14" s="3" customFormat="1" ht="15.75" x14ac:dyDescent="0.2">
      <c r="A49" s="38" t="s">
        <v>371</v>
      </c>
      <c r="B49" s="44"/>
      <c r="C49" s="283"/>
      <c r="D49" s="250"/>
      <c r="E49" s="27"/>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c r="C53" s="304"/>
      <c r="D53" s="414"/>
      <c r="E53" s="11"/>
      <c r="F53" s="145"/>
      <c r="G53" s="33"/>
      <c r="H53" s="145"/>
      <c r="I53" s="145"/>
      <c r="J53" s="33"/>
      <c r="K53" s="33"/>
      <c r="L53" s="158"/>
      <c r="M53" s="158"/>
      <c r="N53" s="148"/>
    </row>
    <row r="54" spans="1:14" s="3" customFormat="1" ht="15.75" x14ac:dyDescent="0.2">
      <c r="A54" s="38" t="s">
        <v>370</v>
      </c>
      <c r="B54" s="277"/>
      <c r="C54" s="278"/>
      <c r="D54" s="250"/>
      <c r="E54" s="27"/>
      <c r="F54" s="145"/>
      <c r="G54" s="33"/>
      <c r="H54" s="145"/>
      <c r="I54" s="145"/>
      <c r="J54" s="33"/>
      <c r="K54" s="33"/>
      <c r="L54" s="158"/>
      <c r="M54" s="158"/>
      <c r="N54" s="148"/>
    </row>
    <row r="55" spans="1:14" s="3" customFormat="1" ht="15.75" x14ac:dyDescent="0.2">
      <c r="A55" s="38" t="s">
        <v>371</v>
      </c>
      <c r="B55" s="277"/>
      <c r="C55" s="278"/>
      <c r="D55" s="250"/>
      <c r="E55" s="27"/>
      <c r="F55" s="145"/>
      <c r="G55" s="33"/>
      <c r="H55" s="145"/>
      <c r="I55" s="145"/>
      <c r="J55" s="33"/>
      <c r="K55" s="33"/>
      <c r="L55" s="158"/>
      <c r="M55" s="158"/>
      <c r="N55" s="148"/>
    </row>
    <row r="56" spans="1:14" s="3" customFormat="1" ht="15.75" x14ac:dyDescent="0.2">
      <c r="A56" s="39" t="s">
        <v>373</v>
      </c>
      <c r="B56" s="303"/>
      <c r="C56" s="304"/>
      <c r="D56" s="414"/>
      <c r="E56" s="11"/>
      <c r="F56" s="145"/>
      <c r="G56" s="33"/>
      <c r="H56" s="145"/>
      <c r="I56" s="145"/>
      <c r="J56" s="33"/>
      <c r="K56" s="33"/>
      <c r="L56" s="158"/>
      <c r="M56" s="158"/>
      <c r="N56" s="148"/>
    </row>
    <row r="57" spans="1:14" s="3" customFormat="1" ht="15.75" x14ac:dyDescent="0.2">
      <c r="A57" s="38" t="s">
        <v>370</v>
      </c>
      <c r="B57" s="277"/>
      <c r="C57" s="278"/>
      <c r="D57" s="250"/>
      <c r="E57" s="27"/>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638"/>
      <c r="F62" s="724"/>
      <c r="G62" s="724"/>
      <c r="H62" s="724"/>
      <c r="I62" s="638"/>
      <c r="J62" s="724"/>
      <c r="K62" s="724"/>
      <c r="L62" s="724"/>
      <c r="M62" s="638"/>
    </row>
    <row r="63" spans="1:14" x14ac:dyDescent="0.2">
      <c r="A63" s="144"/>
      <c r="B63" s="725" t="s">
        <v>0</v>
      </c>
      <c r="C63" s="726"/>
      <c r="D63" s="727"/>
      <c r="E63" s="635"/>
      <c r="F63" s="726" t="s">
        <v>1</v>
      </c>
      <c r="G63" s="726"/>
      <c r="H63" s="726"/>
      <c r="I63" s="637"/>
      <c r="J63" s="725" t="s">
        <v>2</v>
      </c>
      <c r="K63" s="726"/>
      <c r="L63" s="726"/>
      <c r="M63" s="637"/>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c r="C66" s="343"/>
      <c r="D66" s="340"/>
      <c r="E66" s="11"/>
      <c r="F66" s="342"/>
      <c r="G66" s="342"/>
      <c r="H66" s="340"/>
      <c r="I66" s="11"/>
      <c r="J66" s="302"/>
      <c r="K66" s="309"/>
      <c r="L66" s="414"/>
      <c r="M66" s="11"/>
    </row>
    <row r="67" spans="1:14" x14ac:dyDescent="0.2">
      <c r="A67" s="405" t="s">
        <v>9</v>
      </c>
      <c r="B67" s="44"/>
      <c r="C67" s="145"/>
      <c r="D67" s="165"/>
      <c r="E67" s="27"/>
      <c r="F67" s="230"/>
      <c r="G67" s="145"/>
      <c r="H67" s="165"/>
      <c r="I67" s="27"/>
      <c r="J67" s="283"/>
      <c r="K67" s="44"/>
      <c r="L67" s="250"/>
      <c r="M67" s="27"/>
    </row>
    <row r="68" spans="1:14" x14ac:dyDescent="0.2">
      <c r="A68" s="21" t="s">
        <v>10</v>
      </c>
      <c r="B68" s="287"/>
      <c r="C68" s="288"/>
      <c r="D68" s="165"/>
      <c r="E68" s="27"/>
      <c r="F68" s="287"/>
      <c r="G68" s="288"/>
      <c r="H68" s="165"/>
      <c r="I68" s="27"/>
      <c r="J68" s="283"/>
      <c r="K68" s="44"/>
      <c r="L68" s="250"/>
      <c r="M68" s="27"/>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c r="C75" s="145"/>
      <c r="D75" s="165"/>
      <c r="E75" s="27"/>
      <c r="F75" s="230"/>
      <c r="G75" s="145"/>
      <c r="H75" s="165"/>
      <c r="I75" s="27"/>
      <c r="J75" s="283"/>
      <c r="K75" s="44"/>
      <c r="L75" s="250"/>
      <c r="M75" s="27"/>
      <c r="N75" s="148"/>
    </row>
    <row r="76" spans="1:14" s="3" customFormat="1" x14ac:dyDescent="0.2">
      <c r="A76" s="21" t="s">
        <v>343</v>
      </c>
      <c r="B76" s="230"/>
      <c r="C76" s="145"/>
      <c r="D76" s="165"/>
      <c r="E76" s="27"/>
      <c r="F76" s="230"/>
      <c r="G76" s="145"/>
      <c r="H76" s="165"/>
      <c r="I76" s="27"/>
      <c r="J76" s="283"/>
      <c r="K76" s="44"/>
      <c r="L76" s="250"/>
      <c r="M76" s="27"/>
      <c r="N76" s="148"/>
    </row>
    <row r="77" spans="1:14" ht="15.75" x14ac:dyDescent="0.2">
      <c r="A77" s="21" t="s">
        <v>376</v>
      </c>
      <c r="B77" s="230"/>
      <c r="C77" s="230"/>
      <c r="D77" s="165"/>
      <c r="E77" s="27"/>
      <c r="F77" s="230"/>
      <c r="G77" s="145"/>
      <c r="H77" s="165"/>
      <c r="I77" s="27"/>
      <c r="J77" s="283"/>
      <c r="K77" s="44"/>
      <c r="L77" s="250"/>
      <c r="M77" s="27"/>
    </row>
    <row r="78" spans="1:14" x14ac:dyDescent="0.2">
      <c r="A78" s="21" t="s">
        <v>9</v>
      </c>
      <c r="B78" s="230"/>
      <c r="C78" s="145"/>
      <c r="D78" s="165"/>
      <c r="E78" s="27"/>
      <c r="F78" s="230"/>
      <c r="G78" s="145"/>
      <c r="H78" s="165"/>
      <c r="I78" s="27"/>
      <c r="J78" s="283"/>
      <c r="K78" s="44"/>
      <c r="L78" s="250"/>
      <c r="M78" s="27"/>
    </row>
    <row r="79" spans="1:14" x14ac:dyDescent="0.2">
      <c r="A79" s="38" t="s">
        <v>413</v>
      </c>
      <c r="B79" s="287"/>
      <c r="C79" s="288"/>
      <c r="D79" s="165"/>
      <c r="E79" s="27"/>
      <c r="F79" s="287"/>
      <c r="G79" s="288"/>
      <c r="H79" s="165"/>
      <c r="I79" s="27"/>
      <c r="J79" s="283"/>
      <c r="K79" s="44"/>
      <c r="L79" s="250"/>
      <c r="M79" s="27"/>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c r="C86" s="145"/>
      <c r="D86" s="165"/>
      <c r="E86" s="27"/>
      <c r="F86" s="230"/>
      <c r="G86" s="145"/>
      <c r="H86" s="165"/>
      <c r="I86" s="27"/>
      <c r="J86" s="283"/>
      <c r="K86" s="44"/>
      <c r="L86" s="250"/>
      <c r="M86" s="27"/>
    </row>
    <row r="87" spans="1:13" ht="15.75" x14ac:dyDescent="0.2">
      <c r="A87" s="13" t="s">
        <v>359</v>
      </c>
      <c r="B87" s="343"/>
      <c r="C87" s="343"/>
      <c r="D87" s="170"/>
      <c r="E87" s="11"/>
      <c r="F87" s="342"/>
      <c r="G87" s="342"/>
      <c r="H87" s="170"/>
      <c r="I87" s="11"/>
      <c r="J87" s="302"/>
      <c r="K87" s="232"/>
      <c r="L87" s="414"/>
      <c r="M87" s="11"/>
    </row>
    <row r="88" spans="1:13" x14ac:dyDescent="0.2">
      <c r="A88" s="21" t="s">
        <v>9</v>
      </c>
      <c r="B88" s="230"/>
      <c r="C88" s="145"/>
      <c r="D88" s="165"/>
      <c r="E88" s="27"/>
      <c r="F88" s="230"/>
      <c r="G88" s="145"/>
      <c r="H88" s="165"/>
      <c r="I88" s="27"/>
      <c r="J88" s="283"/>
      <c r="K88" s="44"/>
      <c r="L88" s="250"/>
      <c r="M88" s="27"/>
    </row>
    <row r="89" spans="1:13" x14ac:dyDescent="0.2">
      <c r="A89" s="21" t="s">
        <v>10</v>
      </c>
      <c r="B89" s="230"/>
      <c r="C89" s="145"/>
      <c r="D89" s="165"/>
      <c r="E89" s="27"/>
      <c r="F89" s="230"/>
      <c r="G89" s="145"/>
      <c r="H89" s="165"/>
      <c r="I89" s="27"/>
      <c r="J89" s="283"/>
      <c r="K89" s="44"/>
      <c r="L89" s="250"/>
      <c r="M89" s="27"/>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c r="C97" s="145"/>
      <c r="D97" s="165"/>
      <c r="E97" s="27"/>
      <c r="F97" s="230"/>
      <c r="G97" s="145"/>
      <c r="H97" s="165"/>
      <c r="I97" s="27"/>
      <c r="J97" s="283"/>
      <c r="K97" s="44"/>
      <c r="L97" s="250"/>
      <c r="M97" s="27"/>
    </row>
    <row r="98" spans="1:13" ht="15.75" x14ac:dyDescent="0.2">
      <c r="A98" s="21" t="s">
        <v>376</v>
      </c>
      <c r="B98" s="230"/>
      <c r="C98" s="230"/>
      <c r="D98" s="165"/>
      <c r="E98" s="27"/>
      <c r="F98" s="287"/>
      <c r="G98" s="287"/>
      <c r="H98" s="165"/>
      <c r="I98" s="27"/>
      <c r="J98" s="283"/>
      <c r="K98" s="44"/>
      <c r="L98" s="250"/>
      <c r="M98" s="27"/>
    </row>
    <row r="99" spans="1:13" x14ac:dyDescent="0.2">
      <c r="A99" s="21" t="s">
        <v>9</v>
      </c>
      <c r="B99" s="287"/>
      <c r="C99" s="288"/>
      <c r="D99" s="165"/>
      <c r="E99" s="27"/>
      <c r="F99" s="230"/>
      <c r="G99" s="145"/>
      <c r="H99" s="165"/>
      <c r="I99" s="27"/>
      <c r="J99" s="283"/>
      <c r="K99" s="44"/>
      <c r="L99" s="250"/>
      <c r="M99" s="27"/>
    </row>
    <row r="100" spans="1:13" x14ac:dyDescent="0.2">
      <c r="A100" s="38" t="s">
        <v>413</v>
      </c>
      <c r="B100" s="287"/>
      <c r="C100" s="288"/>
      <c r="D100" s="165"/>
      <c r="E100" s="27"/>
      <c r="F100" s="230"/>
      <c r="G100" s="230"/>
      <c r="H100" s="165"/>
      <c r="I100" s="27"/>
      <c r="J100" s="283"/>
      <c r="K100" s="44"/>
      <c r="L100" s="250"/>
      <c r="M100" s="27"/>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c r="C107" s="145"/>
      <c r="D107" s="165"/>
      <c r="E107" s="27"/>
      <c r="F107" s="230"/>
      <c r="G107" s="145"/>
      <c r="H107" s="165"/>
      <c r="I107" s="27"/>
      <c r="J107" s="283"/>
      <c r="K107" s="44"/>
      <c r="L107" s="250"/>
      <c r="M107" s="27"/>
    </row>
    <row r="108" spans="1:13" ht="15.75" x14ac:dyDescent="0.2">
      <c r="A108" s="21" t="s">
        <v>378</v>
      </c>
      <c r="B108" s="230"/>
      <c r="C108" s="230"/>
      <c r="D108" s="165"/>
      <c r="E108" s="27"/>
      <c r="F108" s="230"/>
      <c r="G108" s="230"/>
      <c r="H108" s="165"/>
      <c r="I108" s="27"/>
      <c r="J108" s="283"/>
      <c r="K108" s="44"/>
      <c r="L108" s="250"/>
      <c r="M108" s="27"/>
    </row>
    <row r="109" spans="1:13" ht="15.6" customHeight="1" x14ac:dyDescent="0.2">
      <c r="A109" s="21" t="s">
        <v>430</v>
      </c>
      <c r="B109" s="230"/>
      <c r="C109" s="230"/>
      <c r="D109" s="165"/>
      <c r="E109" s="27"/>
      <c r="F109" s="230"/>
      <c r="G109" s="230"/>
      <c r="H109" s="165"/>
      <c r="I109" s="27"/>
      <c r="J109" s="283"/>
      <c r="K109" s="44"/>
      <c r="L109" s="250"/>
      <c r="M109" s="27"/>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c r="C111" s="158"/>
      <c r="D111" s="170"/>
      <c r="E111" s="11"/>
      <c r="F111" s="301"/>
      <c r="G111" s="158"/>
      <c r="H111" s="170"/>
      <c r="I111" s="11"/>
      <c r="J111" s="302"/>
      <c r="K111" s="232"/>
      <c r="L111" s="414"/>
      <c r="M111" s="11"/>
    </row>
    <row r="112" spans="1:13" x14ac:dyDescent="0.2">
      <c r="A112" s="21" t="s">
        <v>9</v>
      </c>
      <c r="B112" s="230"/>
      <c r="C112" s="145"/>
      <c r="D112" s="165"/>
      <c r="E112" s="27"/>
      <c r="F112" s="230"/>
      <c r="G112" s="145"/>
      <c r="H112" s="165"/>
      <c r="I112" s="27"/>
      <c r="J112" s="283"/>
      <c r="K112" s="44"/>
      <c r="L112" s="250"/>
      <c r="M112" s="27"/>
    </row>
    <row r="113" spans="1:14" x14ac:dyDescent="0.2">
      <c r="A113" s="21" t="s">
        <v>10</v>
      </c>
      <c r="B113" s="230"/>
      <c r="C113" s="145"/>
      <c r="D113" s="165"/>
      <c r="E113" s="27"/>
      <c r="F113" s="230"/>
      <c r="G113" s="145"/>
      <c r="H113" s="165"/>
      <c r="I113" s="27"/>
      <c r="J113" s="283"/>
      <c r="K113" s="44"/>
      <c r="L113" s="250"/>
      <c r="M113" s="27"/>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c r="C116" s="230"/>
      <c r="D116" s="165"/>
      <c r="E116" s="27"/>
      <c r="F116" s="230"/>
      <c r="G116" s="230"/>
      <c r="H116" s="165"/>
      <c r="I116" s="27"/>
      <c r="J116" s="283"/>
      <c r="K116" s="44"/>
      <c r="L116" s="250"/>
      <c r="M116" s="27"/>
    </row>
    <row r="117" spans="1:14" ht="15.6" customHeight="1" x14ac:dyDescent="0.2">
      <c r="A117" s="21" t="s">
        <v>430</v>
      </c>
      <c r="B117" s="230"/>
      <c r="C117" s="230"/>
      <c r="D117" s="165"/>
      <c r="E117" s="27"/>
      <c r="F117" s="230"/>
      <c r="G117" s="230"/>
      <c r="H117" s="165"/>
      <c r="I117" s="27"/>
      <c r="J117" s="283"/>
      <c r="K117" s="44"/>
      <c r="L117" s="250"/>
      <c r="M117" s="27"/>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c r="C119" s="158"/>
      <c r="D119" s="170"/>
      <c r="E119" s="11"/>
      <c r="F119" s="301"/>
      <c r="G119" s="158"/>
      <c r="H119" s="170"/>
      <c r="I119" s="11"/>
      <c r="J119" s="302"/>
      <c r="K119" s="232"/>
      <c r="L119" s="414"/>
      <c r="M119" s="11"/>
    </row>
    <row r="120" spans="1:14" x14ac:dyDescent="0.2">
      <c r="A120" s="21" t="s">
        <v>9</v>
      </c>
      <c r="B120" s="230"/>
      <c r="C120" s="145"/>
      <c r="D120" s="165"/>
      <c r="E120" s="27"/>
      <c r="F120" s="230"/>
      <c r="G120" s="145"/>
      <c r="H120" s="165"/>
      <c r="I120" s="27"/>
      <c r="J120" s="283"/>
      <c r="K120" s="44"/>
      <c r="L120" s="250"/>
      <c r="M120" s="27"/>
    </row>
    <row r="121" spans="1:14" x14ac:dyDescent="0.2">
      <c r="A121" s="21" t="s">
        <v>10</v>
      </c>
      <c r="B121" s="230"/>
      <c r="C121" s="145"/>
      <c r="D121" s="165"/>
      <c r="E121" s="27"/>
      <c r="F121" s="230"/>
      <c r="G121" s="145"/>
      <c r="H121" s="165"/>
      <c r="I121" s="27"/>
      <c r="J121" s="283"/>
      <c r="K121" s="44"/>
      <c r="L121" s="250"/>
      <c r="M121" s="27"/>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c r="C125" s="230"/>
      <c r="D125" s="165"/>
      <c r="E125" s="27"/>
      <c r="F125" s="230"/>
      <c r="G125" s="230"/>
      <c r="H125" s="165"/>
      <c r="I125" s="27"/>
      <c r="J125" s="283"/>
      <c r="K125" s="44"/>
      <c r="L125" s="250"/>
      <c r="M125" s="27"/>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638"/>
      <c r="F130" s="724"/>
      <c r="G130" s="724"/>
      <c r="H130" s="724"/>
      <c r="I130" s="638"/>
      <c r="J130" s="724"/>
      <c r="K130" s="724"/>
      <c r="L130" s="724"/>
      <c r="M130" s="638"/>
    </row>
    <row r="131" spans="1:14" s="3" customFormat="1" x14ac:dyDescent="0.2">
      <c r="A131" s="144"/>
      <c r="B131" s="725" t="s">
        <v>0</v>
      </c>
      <c r="C131" s="726"/>
      <c r="D131" s="726"/>
      <c r="E131" s="636"/>
      <c r="F131" s="725" t="s">
        <v>1</v>
      </c>
      <c r="G131" s="726"/>
      <c r="H131" s="726"/>
      <c r="I131" s="637"/>
      <c r="J131" s="725" t="s">
        <v>2</v>
      </c>
      <c r="K131" s="726"/>
      <c r="L131" s="726"/>
      <c r="M131" s="637"/>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c r="C134" s="302"/>
      <c r="D134" s="340"/>
      <c r="E134" s="11"/>
      <c r="F134" s="309"/>
      <c r="G134" s="310"/>
      <c r="H134" s="417"/>
      <c r="I134" s="24"/>
      <c r="J134" s="311"/>
      <c r="K134" s="311"/>
      <c r="L134" s="413"/>
      <c r="M134" s="11"/>
      <c r="N134" s="148"/>
    </row>
    <row r="135" spans="1:14" s="3" customFormat="1" ht="15.75" x14ac:dyDescent="0.2">
      <c r="A135" s="13" t="s">
        <v>386</v>
      </c>
      <c r="B135" s="232"/>
      <c r="C135" s="302"/>
      <c r="D135" s="170"/>
      <c r="E135" s="11"/>
      <c r="F135" s="232"/>
      <c r="G135" s="302"/>
      <c r="H135" s="418"/>
      <c r="I135" s="24"/>
      <c r="J135" s="301"/>
      <c r="K135" s="301"/>
      <c r="L135" s="414"/>
      <c r="M135" s="11"/>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A50:A52">
    <cfRule type="expression" dxfId="244" priority="7">
      <formula>kvartal &lt; 4</formula>
    </cfRule>
  </conditionalFormatting>
  <conditionalFormatting sqref="A69:A74">
    <cfRule type="expression" dxfId="243" priority="6">
      <formula>kvartal &lt; 4</formula>
    </cfRule>
  </conditionalFormatting>
  <conditionalFormatting sqref="A80:A85">
    <cfRule type="expression" dxfId="242" priority="5">
      <formula>kvartal &lt; 4</formula>
    </cfRule>
  </conditionalFormatting>
  <conditionalFormatting sqref="A90:A95">
    <cfRule type="expression" dxfId="241" priority="4">
      <formula>kvartal &lt; 4</formula>
    </cfRule>
  </conditionalFormatting>
  <conditionalFormatting sqref="A101:A106">
    <cfRule type="expression" dxfId="240" priority="3">
      <formula>kvartal &lt; 4</formula>
    </cfRule>
  </conditionalFormatting>
  <conditionalFormatting sqref="A115">
    <cfRule type="expression" dxfId="239" priority="2">
      <formula>kvartal &lt; 4</formula>
    </cfRule>
  </conditionalFormatting>
  <conditionalFormatting sqref="A123">
    <cfRule type="expression" dxfId="238" priority="1">
      <formula>kvartal &lt; 4</formula>
    </cfRule>
  </conditionalFormatting>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T61"/>
  <sheetViews>
    <sheetView showGridLines="0" zoomScale="70" zoomScaleNormal="7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90" style="481" customWidth="1"/>
    <col min="2" max="46" width="11.7109375" style="481" customWidth="1"/>
    <col min="47" max="16384" width="11.42578125" style="481"/>
  </cols>
  <sheetData>
    <row r="1" spans="1:46" ht="20.25" x14ac:dyDescent="0.3">
      <c r="A1" s="479" t="s">
        <v>279</v>
      </c>
      <c r="B1" s="457" t="s">
        <v>52</v>
      </c>
      <c r="C1" s="480"/>
      <c r="D1" s="480"/>
      <c r="E1" s="480"/>
      <c r="F1" s="480"/>
      <c r="G1" s="480"/>
      <c r="H1" s="480"/>
      <c r="I1" s="480"/>
      <c r="J1" s="480"/>
      <c r="K1" s="480"/>
      <c r="L1" s="480"/>
      <c r="M1" s="480"/>
    </row>
    <row r="2" spans="1:46" ht="20.25" x14ac:dyDescent="0.3">
      <c r="A2" s="479" t="s">
        <v>250</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c r="AN2" s="482"/>
      <c r="AO2" s="482"/>
      <c r="AP2" s="482"/>
      <c r="AQ2" s="482"/>
      <c r="AR2" s="482"/>
      <c r="AS2" s="482"/>
      <c r="AT2" s="482"/>
    </row>
    <row r="3" spans="1:46" ht="18.75" x14ac:dyDescent="0.3">
      <c r="A3" s="483" t="s">
        <v>280</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row>
    <row r="4" spans="1:46" ht="18.75" customHeight="1" x14ac:dyDescent="0.25">
      <c r="A4" s="461" t="s">
        <v>431</v>
      </c>
      <c r="B4" s="485"/>
      <c r="C4" s="485"/>
      <c r="D4" s="486"/>
      <c r="E4" s="487"/>
      <c r="F4" s="485"/>
      <c r="G4" s="486"/>
      <c r="H4" s="487"/>
      <c r="I4" s="485"/>
      <c r="J4" s="486"/>
      <c r="K4" s="487"/>
      <c r="L4" s="485"/>
      <c r="M4" s="486"/>
      <c r="N4" s="488"/>
      <c r="O4" s="488"/>
      <c r="P4" s="488"/>
      <c r="Q4" s="489"/>
      <c r="R4" s="488"/>
      <c r="S4" s="490"/>
      <c r="T4" s="489"/>
      <c r="U4" s="488"/>
      <c r="V4" s="490"/>
      <c r="W4" s="489"/>
      <c r="X4" s="488"/>
      <c r="Y4" s="490"/>
      <c r="Z4" s="489"/>
      <c r="AA4" s="488"/>
      <c r="AB4" s="490"/>
      <c r="AC4" s="489"/>
      <c r="AD4" s="488"/>
      <c r="AE4" s="490"/>
      <c r="AF4" s="489"/>
      <c r="AG4" s="488"/>
      <c r="AH4" s="490"/>
      <c r="AI4" s="489"/>
      <c r="AJ4" s="488"/>
      <c r="AK4" s="490"/>
      <c r="AL4" s="489"/>
      <c r="AM4" s="488"/>
      <c r="AN4" s="490"/>
      <c r="AO4" s="491"/>
      <c r="AP4" s="492"/>
      <c r="AQ4" s="493"/>
      <c r="AR4" s="489"/>
      <c r="AS4" s="488"/>
      <c r="AT4" s="494"/>
    </row>
    <row r="5" spans="1:46" ht="18.75" customHeight="1" x14ac:dyDescent="0.3">
      <c r="A5" s="495" t="s">
        <v>100</v>
      </c>
      <c r="B5" s="740" t="s">
        <v>170</v>
      </c>
      <c r="C5" s="741"/>
      <c r="D5" s="742"/>
      <c r="E5" s="740" t="s">
        <v>171</v>
      </c>
      <c r="F5" s="741"/>
      <c r="G5" s="742"/>
      <c r="H5" s="740" t="s">
        <v>396</v>
      </c>
      <c r="I5" s="741"/>
      <c r="J5" s="742"/>
      <c r="K5" s="740" t="s">
        <v>172</v>
      </c>
      <c r="L5" s="741"/>
      <c r="M5" s="742"/>
      <c r="N5" s="740" t="s">
        <v>173</v>
      </c>
      <c r="O5" s="741"/>
      <c r="P5" s="742"/>
      <c r="Q5" s="673" t="s">
        <v>174</v>
      </c>
      <c r="R5" s="674"/>
      <c r="S5" s="675"/>
      <c r="T5" s="673"/>
      <c r="U5" s="674"/>
      <c r="V5" s="675"/>
      <c r="W5" s="657"/>
      <c r="X5" s="658"/>
      <c r="Y5" s="659"/>
      <c r="Z5" s="740" t="s">
        <v>175</v>
      </c>
      <c r="AA5" s="741"/>
      <c r="AB5" s="742"/>
      <c r="AC5" s="682"/>
      <c r="AD5" s="683"/>
      <c r="AE5" s="684"/>
      <c r="AF5" s="740" t="s">
        <v>67</v>
      </c>
      <c r="AG5" s="741"/>
      <c r="AH5" s="742"/>
      <c r="AI5" s="740" t="s">
        <v>72</v>
      </c>
      <c r="AJ5" s="741"/>
      <c r="AK5" s="742"/>
      <c r="AL5" s="740" t="s">
        <v>423</v>
      </c>
      <c r="AM5" s="741"/>
      <c r="AN5" s="742"/>
      <c r="AO5" s="731" t="s">
        <v>2</v>
      </c>
      <c r="AP5" s="732"/>
      <c r="AQ5" s="733"/>
      <c r="AR5" s="731" t="s">
        <v>281</v>
      </c>
      <c r="AS5" s="732"/>
      <c r="AT5" s="733"/>
    </row>
    <row r="6" spans="1:46" ht="21" customHeight="1" x14ac:dyDescent="0.3">
      <c r="A6" s="496"/>
      <c r="B6" s="737" t="s">
        <v>176</v>
      </c>
      <c r="C6" s="738"/>
      <c r="D6" s="739"/>
      <c r="E6" s="737" t="s">
        <v>177</v>
      </c>
      <c r="F6" s="738"/>
      <c r="G6" s="739"/>
      <c r="H6" s="737" t="s">
        <v>177</v>
      </c>
      <c r="I6" s="738"/>
      <c r="J6" s="739"/>
      <c r="K6" s="737" t="s">
        <v>177</v>
      </c>
      <c r="L6" s="738"/>
      <c r="M6" s="739"/>
      <c r="N6" s="737" t="s">
        <v>178</v>
      </c>
      <c r="O6" s="738"/>
      <c r="P6" s="739"/>
      <c r="Q6" s="737" t="s">
        <v>90</v>
      </c>
      <c r="R6" s="738"/>
      <c r="S6" s="739"/>
      <c r="T6" s="737" t="s">
        <v>63</v>
      </c>
      <c r="U6" s="738"/>
      <c r="V6" s="739"/>
      <c r="W6" s="737" t="s">
        <v>65</v>
      </c>
      <c r="X6" s="738"/>
      <c r="Y6" s="739"/>
      <c r="Z6" s="737" t="s">
        <v>176</v>
      </c>
      <c r="AA6" s="738"/>
      <c r="AB6" s="739"/>
      <c r="AC6" s="737" t="s">
        <v>71</v>
      </c>
      <c r="AD6" s="738"/>
      <c r="AE6" s="739"/>
      <c r="AF6" s="737" t="s">
        <v>420</v>
      </c>
      <c r="AG6" s="738"/>
      <c r="AH6" s="739"/>
      <c r="AI6" s="737" t="s">
        <v>177</v>
      </c>
      <c r="AJ6" s="738"/>
      <c r="AK6" s="739"/>
      <c r="AL6" s="737" t="s">
        <v>426</v>
      </c>
      <c r="AM6" s="738"/>
      <c r="AN6" s="739"/>
      <c r="AO6" s="734" t="s">
        <v>282</v>
      </c>
      <c r="AP6" s="735"/>
      <c r="AQ6" s="736"/>
      <c r="AR6" s="734" t="s">
        <v>283</v>
      </c>
      <c r="AS6" s="735"/>
      <c r="AT6" s="736"/>
    </row>
    <row r="7" spans="1:46" ht="18.75" customHeight="1" x14ac:dyDescent="0.3">
      <c r="A7" s="496"/>
      <c r="B7" s="495"/>
      <c r="C7" s="495"/>
      <c r="D7" s="497" t="s">
        <v>80</v>
      </c>
      <c r="E7" s="495"/>
      <c r="F7" s="495"/>
      <c r="G7" s="497" t="s">
        <v>80</v>
      </c>
      <c r="H7" s="495"/>
      <c r="I7" s="495"/>
      <c r="J7" s="497" t="s">
        <v>80</v>
      </c>
      <c r="K7" s="495"/>
      <c r="L7" s="495"/>
      <c r="M7" s="497" t="s">
        <v>80</v>
      </c>
      <c r="N7" s="495"/>
      <c r="O7" s="495"/>
      <c r="P7" s="497" t="s">
        <v>80</v>
      </c>
      <c r="Q7" s="495"/>
      <c r="R7" s="495"/>
      <c r="S7" s="497" t="s">
        <v>80</v>
      </c>
      <c r="T7" s="495"/>
      <c r="U7" s="495"/>
      <c r="V7" s="497" t="s">
        <v>80</v>
      </c>
      <c r="W7" s="495"/>
      <c r="X7" s="495"/>
      <c r="Y7" s="497" t="s">
        <v>80</v>
      </c>
      <c r="Z7" s="495"/>
      <c r="AA7" s="495"/>
      <c r="AB7" s="497" t="s">
        <v>80</v>
      </c>
      <c r="AC7" s="495"/>
      <c r="AD7" s="495"/>
      <c r="AE7" s="497" t="s">
        <v>80</v>
      </c>
      <c r="AF7" s="495"/>
      <c r="AG7" s="495"/>
      <c r="AH7" s="497" t="s">
        <v>80</v>
      </c>
      <c r="AI7" s="495"/>
      <c r="AJ7" s="495"/>
      <c r="AK7" s="497" t="s">
        <v>80</v>
      </c>
      <c r="AL7" s="495"/>
      <c r="AM7" s="495"/>
      <c r="AN7" s="497" t="s">
        <v>80</v>
      </c>
      <c r="AO7" s="495"/>
      <c r="AP7" s="495"/>
      <c r="AQ7" s="497" t="s">
        <v>80</v>
      </c>
      <c r="AR7" s="495"/>
      <c r="AS7" s="495"/>
      <c r="AT7" s="497" t="s">
        <v>80</v>
      </c>
    </row>
    <row r="8" spans="1:46" ht="18.75" customHeight="1" x14ac:dyDescent="0.25">
      <c r="A8" s="498" t="s">
        <v>284</v>
      </c>
      <c r="B8" s="617">
        <v>2021</v>
      </c>
      <c r="C8" s="617">
        <v>2022</v>
      </c>
      <c r="D8" s="499" t="s">
        <v>82</v>
      </c>
      <c r="E8" s="617">
        <f>$B$8</f>
        <v>2021</v>
      </c>
      <c r="F8" s="617">
        <f>$C$8</f>
        <v>2022</v>
      </c>
      <c r="G8" s="499" t="s">
        <v>82</v>
      </c>
      <c r="H8" s="617">
        <f>$B$8</f>
        <v>2021</v>
      </c>
      <c r="I8" s="617">
        <f>$C$8</f>
        <v>2022</v>
      </c>
      <c r="J8" s="499" t="s">
        <v>82</v>
      </c>
      <c r="K8" s="617">
        <f>$B$8</f>
        <v>2021</v>
      </c>
      <c r="L8" s="617">
        <f>$C$8</f>
        <v>2022</v>
      </c>
      <c r="M8" s="499" t="s">
        <v>82</v>
      </c>
      <c r="N8" s="617">
        <f>$B$8</f>
        <v>2021</v>
      </c>
      <c r="O8" s="617">
        <f>$C$8</f>
        <v>2022</v>
      </c>
      <c r="P8" s="499" t="s">
        <v>82</v>
      </c>
      <c r="Q8" s="617">
        <f>$B$8</f>
        <v>2021</v>
      </c>
      <c r="R8" s="617">
        <f>$C$8</f>
        <v>2022</v>
      </c>
      <c r="S8" s="499" t="s">
        <v>82</v>
      </c>
      <c r="T8" s="617">
        <f>$B$8</f>
        <v>2021</v>
      </c>
      <c r="U8" s="617">
        <f>$C$8</f>
        <v>2022</v>
      </c>
      <c r="V8" s="499" t="s">
        <v>82</v>
      </c>
      <c r="W8" s="617">
        <f>$B$8</f>
        <v>2021</v>
      </c>
      <c r="X8" s="617">
        <f>$C$8</f>
        <v>2022</v>
      </c>
      <c r="Y8" s="499" t="s">
        <v>82</v>
      </c>
      <c r="Z8" s="617">
        <f>$B$8</f>
        <v>2021</v>
      </c>
      <c r="AA8" s="617">
        <f>$C$8</f>
        <v>2022</v>
      </c>
      <c r="AB8" s="499" t="s">
        <v>82</v>
      </c>
      <c r="AC8" s="617">
        <f>$B$8</f>
        <v>2021</v>
      </c>
      <c r="AD8" s="617">
        <f>$C$8</f>
        <v>2022</v>
      </c>
      <c r="AE8" s="499" t="s">
        <v>82</v>
      </c>
      <c r="AF8" s="617">
        <f>$B$8</f>
        <v>2021</v>
      </c>
      <c r="AG8" s="617">
        <f>$C$8</f>
        <v>2022</v>
      </c>
      <c r="AH8" s="499" t="s">
        <v>82</v>
      </c>
      <c r="AI8" s="617">
        <f>$B$8</f>
        <v>2021</v>
      </c>
      <c r="AJ8" s="617">
        <f>$C$8</f>
        <v>2022</v>
      </c>
      <c r="AK8" s="499" t="s">
        <v>82</v>
      </c>
      <c r="AL8" s="617">
        <f>$B$8</f>
        <v>2021</v>
      </c>
      <c r="AM8" s="617">
        <f>$C$8</f>
        <v>2022</v>
      </c>
      <c r="AN8" s="499" t="s">
        <v>82</v>
      </c>
      <c r="AO8" s="617">
        <f>$B$8</f>
        <v>2021</v>
      </c>
      <c r="AP8" s="617">
        <f>$C$8</f>
        <v>2022</v>
      </c>
      <c r="AQ8" s="499" t="s">
        <v>82</v>
      </c>
      <c r="AR8" s="617">
        <f>$B$8</f>
        <v>2021</v>
      </c>
      <c r="AS8" s="617">
        <f>$C$8</f>
        <v>2022</v>
      </c>
      <c r="AT8" s="499" t="s">
        <v>82</v>
      </c>
    </row>
    <row r="9" spans="1:46" ht="18.75" customHeight="1" x14ac:dyDescent="0.3">
      <c r="A9" s="496" t="s">
        <v>285</v>
      </c>
      <c r="B9" s="644"/>
      <c r="C9" s="562"/>
      <c r="D9" s="501"/>
      <c r="E9" s="644"/>
      <c r="F9" s="562"/>
      <c r="G9" s="501"/>
      <c r="H9" s="644"/>
      <c r="I9" s="562"/>
      <c r="J9" s="501"/>
      <c r="K9" s="644"/>
      <c r="L9" s="562"/>
      <c r="M9" s="501"/>
      <c r="N9" s="644"/>
      <c r="O9" s="562"/>
      <c r="P9" s="500"/>
      <c r="Q9" s="685"/>
      <c r="R9" s="686"/>
      <c r="S9" s="501"/>
      <c r="T9" s="669"/>
      <c r="U9" s="564"/>
      <c r="V9" s="501"/>
      <c r="W9" s="644"/>
      <c r="X9" s="562"/>
      <c r="Y9" s="501"/>
      <c r="Z9" s="669"/>
      <c r="AA9" s="564"/>
      <c r="AB9" s="501"/>
      <c r="AC9" s="644"/>
      <c r="AD9" s="562"/>
      <c r="AE9" s="501"/>
      <c r="AF9" s="644"/>
      <c r="AG9" s="562"/>
      <c r="AH9" s="501"/>
      <c r="AI9" s="644"/>
      <c r="AJ9" s="562"/>
      <c r="AK9" s="501"/>
      <c r="AL9" s="562"/>
      <c r="AM9" s="562"/>
      <c r="AN9" s="501"/>
      <c r="AO9" s="501"/>
      <c r="AP9" s="501"/>
      <c r="AQ9" s="501"/>
      <c r="AR9" s="502"/>
      <c r="AS9" s="502"/>
      <c r="AT9" s="502"/>
    </row>
    <row r="10" spans="1:46" s="482" customFormat="1" ht="18.75" customHeight="1" x14ac:dyDescent="0.3">
      <c r="A10" s="503" t="s">
        <v>286</v>
      </c>
      <c r="B10" s="645"/>
      <c r="C10" s="423"/>
      <c r="D10" s="505"/>
      <c r="E10" s="645"/>
      <c r="F10" s="423"/>
      <c r="G10" s="505"/>
      <c r="H10" s="645"/>
      <c r="I10" s="423"/>
      <c r="J10" s="505"/>
      <c r="K10" s="645"/>
      <c r="L10" s="423"/>
      <c r="M10" s="505"/>
      <c r="N10" s="645"/>
      <c r="O10" s="423"/>
      <c r="P10" s="504"/>
      <c r="Q10" s="650"/>
      <c r="R10" s="687"/>
      <c r="S10" s="505"/>
      <c r="T10" s="646"/>
      <c r="U10" s="328"/>
      <c r="V10" s="505"/>
      <c r="W10" s="645"/>
      <c r="X10" s="423"/>
      <c r="Y10" s="505"/>
      <c r="Z10" s="646"/>
      <c r="AA10" s="328"/>
      <c r="AB10" s="505"/>
      <c r="AC10" s="645"/>
      <c r="AD10" s="423"/>
      <c r="AE10" s="505"/>
      <c r="AF10" s="645"/>
      <c r="AG10" s="423"/>
      <c r="AH10" s="505"/>
      <c r="AI10" s="645"/>
      <c r="AJ10" s="423"/>
      <c r="AK10" s="505"/>
      <c r="AL10" s="423"/>
      <c r="AM10" s="423"/>
      <c r="AN10" s="505"/>
      <c r="AO10" s="505"/>
      <c r="AP10" s="505"/>
      <c r="AQ10" s="505"/>
      <c r="AR10" s="507"/>
      <c r="AS10" s="507"/>
      <c r="AT10" s="507"/>
    </row>
    <row r="11" spans="1:46" s="482" customFormat="1" ht="18.75" customHeight="1" x14ac:dyDescent="0.3">
      <c r="A11" s="503" t="s">
        <v>287</v>
      </c>
      <c r="B11" s="646">
        <f>717.488-5.879</f>
        <v>711.60900000000004</v>
      </c>
      <c r="C11" s="328">
        <f>727.165-0.067</f>
        <v>727.09799999999996</v>
      </c>
      <c r="D11" s="505">
        <f t="shared" ref="D11:D16" si="0">IF(B11=0, "    ---- ", IF(ABS(ROUND(100/B11*C11-100,1))&lt;999,ROUND(100/B11*C11-100,1),IF(ROUND(100/B11*C11-100,1)&gt;999,999,-999)))</f>
        <v>2.2000000000000002</v>
      </c>
      <c r="E11" s="646">
        <v>4599.5741955399999</v>
      </c>
      <c r="F11" s="328">
        <v>4703.7395008799995</v>
      </c>
      <c r="G11" s="505">
        <f t="shared" ref="G11:G17" si="1">IF(E11=0, "    ---- ", IF(ABS(ROUND(100/E11*F11-100,1))&lt;999,ROUND(100/E11*F11-100,1),IF(ROUND(100/E11*F11-100,1)&gt;999,999,-999)))</f>
        <v>2.2999999999999998</v>
      </c>
      <c r="H11" s="646">
        <v>966.56933345000004</v>
      </c>
      <c r="I11" s="328">
        <v>997.53344979999997</v>
      </c>
      <c r="J11" s="505">
        <f t="shared" ref="J11:J17" si="2">IF(H11=0, "    ---- ", IF(ABS(ROUND(100/H11*I11-100,1))&lt;999,ROUND(100/H11*I11-100,1),IF(ROUND(100/H11*I11-100,1)&gt;999,999,-999)))</f>
        <v>3.2</v>
      </c>
      <c r="K11" s="646">
        <v>565.35400000000004</v>
      </c>
      <c r="L11" s="328">
        <v>624.26700000000005</v>
      </c>
      <c r="M11" s="505">
        <f t="shared" ref="M11:M17" si="3">IF(K11=0, "    ---- ", IF(ABS(ROUND(100/K11*L11-100,1))&lt;999,ROUND(100/K11*L11-100,1),IF(ROUND(100/K11*L11-100,1)&gt;999,999,-999)))</f>
        <v>10.4</v>
      </c>
      <c r="N11" s="646">
        <v>1146.9000000000001</v>
      </c>
      <c r="O11" s="328">
        <v>1258</v>
      </c>
      <c r="P11" s="505">
        <f t="shared" ref="P11:P17" si="4">IF(N11=0, "    ---- ", IF(ABS(ROUND(100/N11*O11-100,1))&lt;999,ROUND(100/N11*O11-100,1),IF(ROUND(100/N11*O11-100,1)&gt;999,999,-999)))</f>
        <v>9.6999999999999993</v>
      </c>
      <c r="Q11" s="646">
        <v>8.8402157599999995</v>
      </c>
      <c r="R11" s="429">
        <v>8.7331529000000003</v>
      </c>
      <c r="S11" s="505">
        <f>IF(Q11=0, "    ---- ", IF(ABS(ROUND(100/Q11*R11-100,1))&lt;999,ROUND(100/Q11*R11-100,1),IF(ROUND(100/Q11*R11-100,1)&gt;999,999,-999)))</f>
        <v>-1.2</v>
      </c>
      <c r="T11" s="646">
        <v>7040.9092229600001</v>
      </c>
      <c r="U11" s="328">
        <v>7126.48737506</v>
      </c>
      <c r="V11" s="505">
        <f t="shared" ref="V11:V17" si="5">IF(T11=0, "    ---- ", IF(ABS(ROUND(100/T11*U11-100,1))&lt;999,ROUND(100/T11*U11-100,1),IF(ROUND(100/T11*U11-100,1)&gt;999,999,-999)))</f>
        <v>1.2</v>
      </c>
      <c r="W11" s="646">
        <v>5287.33</v>
      </c>
      <c r="X11" s="328">
        <v>4966.93</v>
      </c>
      <c r="Y11" s="505">
        <f t="shared" ref="Y11:Y17" si="6">IF(W11=0, "    ---- ", IF(ABS(ROUND(100/W11*X11-100,1))&lt;999,ROUND(100/W11*X11-100,1),IF(ROUND(100/W11*X11-100,1)&gt;999,999,-999)))</f>
        <v>-6.1</v>
      </c>
      <c r="Z11" s="646">
        <v>823</v>
      </c>
      <c r="AA11" s="328">
        <v>1185</v>
      </c>
      <c r="AB11" s="505">
        <f t="shared" ref="AB11:AB17" si="7">IF(Z11=0, "    ---- ", IF(ABS(ROUND(100/Z11*AA11-100,1))&lt;999,ROUND(100/Z11*AA11-100,1),IF(ROUND(100/Z11*AA11-100,1)&gt;999,999,-999)))</f>
        <v>44</v>
      </c>
      <c r="AC11" s="646">
        <v>43.468250900000001</v>
      </c>
      <c r="AD11" s="429">
        <v>31.856324619999999</v>
      </c>
      <c r="AE11" s="505">
        <f t="shared" ref="AE11:AE16" si="8">IF(AC11=0, "    ---- ", IF(ABS(ROUND(100/AC11*AD11-100,1))&lt;999,ROUND(100/AC11*AD11-100,1),IF(ROUND(100/AC11*AD11-100,1)&gt;999,999,-999)))</f>
        <v>-26.7</v>
      </c>
      <c r="AF11" s="646">
        <v>1622.2565225100002</v>
      </c>
      <c r="AG11" s="328">
        <v>1773.6672652499994</v>
      </c>
      <c r="AH11" s="505">
        <f t="shared" ref="AH11:AH17" si="9">IF(AF11=0, "    ---- ", IF(ABS(ROUND(100/AF11*AG11-100,1))&lt;999,ROUND(100/AF11*AG11-100,1),IF(ROUND(100/AF11*AG11-100,1)&gt;999,999,-999)))</f>
        <v>9.3000000000000007</v>
      </c>
      <c r="AI11" s="646">
        <v>5906</v>
      </c>
      <c r="AJ11" s="328">
        <v>5590</v>
      </c>
      <c r="AK11" s="505">
        <f t="shared" ref="AK11:AK17" si="10">IF(AI11=0, "    ---- ", IF(ABS(ROUND(100/AI11*AJ11-100,1))&lt;999,ROUND(100/AI11*AJ11-100,1),IF(ROUND(100/AI11*AJ11-100,1)&gt;999,999,-999)))</f>
        <v>-5.4</v>
      </c>
      <c r="AL11" s="328"/>
      <c r="AM11" s="328">
        <v>0.9</v>
      </c>
      <c r="AN11" s="505" t="str">
        <f t="shared" ref="AN11:AN29" si="11">IF(AL11=0, "    ---- ", IF(ABS(ROUND(100/AL11*AM11-100,1))&lt;999,ROUND(100/AL11*AM11-100,1),IF(ROUND(100/AL11*AM11-100,1)&gt;999,999,-999)))</f>
        <v xml:space="preserve">    ---- </v>
      </c>
      <c r="AO11" s="505">
        <f t="shared" ref="AO11:AP17" si="12">B11+E11+H11+K11+N11+T11+AL11+W11+Z11+AF11+AI11</f>
        <v>28669.502274460003</v>
      </c>
      <c r="AP11" s="505">
        <f t="shared" si="12"/>
        <v>28953.622590989999</v>
      </c>
      <c r="AQ11" s="505">
        <f t="shared" ref="AQ11:AQ45" si="13">IF(AO11=0, "    ---- ", IF(ABS(ROUND(100/AO11*AP11-100,1))&lt;999,ROUND(100/AO11*AP11-100,1),IF(ROUND(100/AO11*AP11-100,1)&gt;999,999,-999)))</f>
        <v>1</v>
      </c>
      <c r="AR11" s="508">
        <f>+B11+E11+H11+K11+N11+Q11+T11+AL11+W11+Z11+AC11+AF11+AI11</f>
        <v>28721.810741120004</v>
      </c>
      <c r="AS11" s="508">
        <f>+C11+F11+I11+L11+O11+R11+U11+AM11+X11+AA11+AD11+AG11+AJ11</f>
        <v>28994.212068509998</v>
      </c>
      <c r="AT11" s="505">
        <f t="shared" ref="AT11:AT17" si="14">IF(AR11=0, "    ---- ", IF(ABS(ROUND(100/AR11*AS11-100,1))&lt;999,ROUND(100/AR11*AS11-100,1),IF(ROUND(100/AR11*AS11-100,1)&gt;999,999,-999)))</f>
        <v>0.9</v>
      </c>
    </row>
    <row r="12" spans="1:46" s="482" customFormat="1" ht="18.75" customHeight="1" x14ac:dyDescent="0.3">
      <c r="A12" s="503" t="s">
        <v>288</v>
      </c>
      <c r="B12" s="646">
        <v>-30.338999999999999</v>
      </c>
      <c r="C12" s="328">
        <v>-25.39</v>
      </c>
      <c r="D12" s="505">
        <f t="shared" si="0"/>
        <v>-16.3</v>
      </c>
      <c r="E12" s="646">
        <v>-129.59891203000001</v>
      </c>
      <c r="F12" s="328">
        <v>-140.93150361000002</v>
      </c>
      <c r="G12" s="505">
        <f t="shared" si="1"/>
        <v>8.6999999999999993</v>
      </c>
      <c r="H12" s="646">
        <v>-40.406013629999997</v>
      </c>
      <c r="I12" s="328">
        <v>-38.941886439999998</v>
      </c>
      <c r="J12" s="505">
        <f t="shared" si="2"/>
        <v>-3.6</v>
      </c>
      <c r="K12" s="646">
        <v>-6.1870000000000003</v>
      </c>
      <c r="L12" s="328">
        <v>-7.6369999999999996</v>
      </c>
      <c r="M12" s="505">
        <f t="shared" si="3"/>
        <v>23.4</v>
      </c>
      <c r="N12" s="646">
        <v>-25.6</v>
      </c>
      <c r="O12" s="328">
        <v>-30</v>
      </c>
      <c r="P12" s="505">
        <f t="shared" si="4"/>
        <v>17.2</v>
      </c>
      <c r="Q12" s="646"/>
      <c r="R12" s="429"/>
      <c r="S12" s="505"/>
      <c r="T12" s="646">
        <v>0</v>
      </c>
      <c r="U12" s="328">
        <v>0</v>
      </c>
      <c r="V12" s="505" t="str">
        <f t="shared" si="5"/>
        <v xml:space="preserve">    ---- </v>
      </c>
      <c r="W12" s="646">
        <v>-21</v>
      </c>
      <c r="X12" s="328">
        <v>-23.24</v>
      </c>
      <c r="Y12" s="505">
        <f t="shared" si="6"/>
        <v>10.7</v>
      </c>
      <c r="Z12" s="646"/>
      <c r="AA12" s="328"/>
      <c r="AB12" s="505"/>
      <c r="AC12" s="646"/>
      <c r="AD12" s="429"/>
      <c r="AE12" s="505"/>
      <c r="AF12" s="646">
        <v>1.2010000000000001</v>
      </c>
      <c r="AG12" s="328">
        <v>-1.831</v>
      </c>
      <c r="AH12" s="505">
        <f t="shared" si="9"/>
        <v>-252.5</v>
      </c>
      <c r="AI12" s="646">
        <v>-6</v>
      </c>
      <c r="AJ12" s="328">
        <v>-7</v>
      </c>
      <c r="AK12" s="505">
        <f t="shared" si="10"/>
        <v>16.7</v>
      </c>
      <c r="AL12" s="328"/>
      <c r="AM12" s="328">
        <v>0</v>
      </c>
      <c r="AN12" s="505" t="str">
        <f t="shared" si="11"/>
        <v xml:space="preserve">    ---- </v>
      </c>
      <c r="AO12" s="505">
        <f t="shared" si="12"/>
        <v>-257.92992565999998</v>
      </c>
      <c r="AP12" s="505">
        <f t="shared" si="12"/>
        <v>-274.97139005000002</v>
      </c>
      <c r="AQ12" s="505">
        <f t="shared" si="13"/>
        <v>6.6</v>
      </c>
      <c r="AR12" s="508">
        <f t="shared" ref="AR12:AS17" si="15">+B12+E12+H12+K12+N12+Q12+T12+AL12+W12+Z12+AC12+AF12+AI12</f>
        <v>-257.92992565999998</v>
      </c>
      <c r="AS12" s="508">
        <f t="shared" si="15"/>
        <v>-274.97139005000002</v>
      </c>
      <c r="AT12" s="505">
        <f t="shared" si="14"/>
        <v>6.6</v>
      </c>
    </row>
    <row r="13" spans="1:46" s="482" customFormat="1" ht="18.75" customHeight="1" x14ac:dyDescent="0.3">
      <c r="A13" s="503" t="s">
        <v>289</v>
      </c>
      <c r="B13" s="646">
        <v>546.68299999999999</v>
      </c>
      <c r="C13" s="328">
        <v>786.93100000000004</v>
      </c>
      <c r="D13" s="505">
        <f t="shared" si="0"/>
        <v>43.9</v>
      </c>
      <c r="E13" s="646">
        <v>4056.3662176899998</v>
      </c>
      <c r="F13" s="328">
        <v>4133.3255253199995</v>
      </c>
      <c r="G13" s="505">
        <f t="shared" si="1"/>
        <v>1.9</v>
      </c>
      <c r="H13" s="646"/>
      <c r="I13" s="328"/>
      <c r="J13" s="505"/>
      <c r="K13" s="646"/>
      <c r="L13" s="328"/>
      <c r="M13" s="505"/>
      <c r="N13" s="646">
        <v>1196.0999999999999</v>
      </c>
      <c r="O13" s="328">
        <v>1712</v>
      </c>
      <c r="P13" s="505">
        <f t="shared" si="4"/>
        <v>43.1</v>
      </c>
      <c r="Q13" s="646"/>
      <c r="R13" s="429"/>
      <c r="S13" s="505"/>
      <c r="T13" s="646">
        <v>0</v>
      </c>
      <c r="U13" s="328">
        <v>376.44052900000003</v>
      </c>
      <c r="V13" s="505" t="str">
        <f t="shared" si="5"/>
        <v xml:space="preserve">    ---- </v>
      </c>
      <c r="W13" s="646">
        <v>1572</v>
      </c>
      <c r="X13" s="328">
        <v>2217.63</v>
      </c>
      <c r="Y13" s="505">
        <f t="shared" si="6"/>
        <v>41.1</v>
      </c>
      <c r="Z13" s="646">
        <v>13</v>
      </c>
      <c r="AA13" s="328">
        <v>0</v>
      </c>
      <c r="AB13" s="505">
        <f t="shared" si="7"/>
        <v>-100</v>
      </c>
      <c r="AC13" s="646">
        <v>30.489736000000001</v>
      </c>
      <c r="AD13" s="429">
        <v>12.440028999999999</v>
      </c>
      <c r="AE13" s="505">
        <f t="shared" si="8"/>
        <v>-59.2</v>
      </c>
      <c r="AF13" s="646">
        <v>1721.5162105399997</v>
      </c>
      <c r="AG13" s="328">
        <v>1454.20230803</v>
      </c>
      <c r="AH13" s="505">
        <f t="shared" si="9"/>
        <v>-15.5</v>
      </c>
      <c r="AI13" s="646">
        <v>7814</v>
      </c>
      <c r="AJ13" s="328">
        <v>4815</v>
      </c>
      <c r="AK13" s="505">
        <f t="shared" si="10"/>
        <v>-38.4</v>
      </c>
      <c r="AL13" s="328"/>
      <c r="AM13" s="328"/>
      <c r="AN13" s="505"/>
      <c r="AO13" s="505">
        <f t="shared" si="12"/>
        <v>16919.665428230001</v>
      </c>
      <c r="AP13" s="505">
        <f t="shared" si="12"/>
        <v>15495.52936235</v>
      </c>
      <c r="AQ13" s="505">
        <f t="shared" si="13"/>
        <v>-8.4</v>
      </c>
      <c r="AR13" s="508">
        <f t="shared" si="15"/>
        <v>16950.15516423</v>
      </c>
      <c r="AS13" s="508">
        <f t="shared" si="15"/>
        <v>15507.96939135</v>
      </c>
      <c r="AT13" s="505">
        <f t="shared" si="14"/>
        <v>-8.5</v>
      </c>
    </row>
    <row r="14" spans="1:46" s="482" customFormat="1" ht="18.75" customHeight="1" x14ac:dyDescent="0.3">
      <c r="A14" s="503" t="s">
        <v>290</v>
      </c>
      <c r="B14" s="668">
        <f>SUM(B11:B13)</f>
        <v>1227.953</v>
      </c>
      <c r="C14" s="618">
        <f>SUM(C11:C13)</f>
        <v>1488.6390000000001</v>
      </c>
      <c r="D14" s="505">
        <f t="shared" si="0"/>
        <v>21.2</v>
      </c>
      <c r="E14" s="645">
        <f>SUM(E11:E13)</f>
        <v>8526.3415012000005</v>
      </c>
      <c r="F14" s="423">
        <f>SUM(F11:F13)</f>
        <v>8696.1335225900002</v>
      </c>
      <c r="G14" s="505">
        <f t="shared" si="1"/>
        <v>2</v>
      </c>
      <c r="H14" s="645">
        <f>SUM(H11:H13)</f>
        <v>926.16331982000008</v>
      </c>
      <c r="I14" s="423">
        <f>SUM(I11:I13)</f>
        <v>958.59156336000001</v>
      </c>
      <c r="J14" s="505">
        <f t="shared" si="2"/>
        <v>3.5</v>
      </c>
      <c r="K14" s="645">
        <f>SUM(K11:K13)</f>
        <v>559.16700000000003</v>
      </c>
      <c r="L14" s="423">
        <f>SUM(L11:L13)</f>
        <v>616.63000000000011</v>
      </c>
      <c r="M14" s="505">
        <f t="shared" si="3"/>
        <v>10.3</v>
      </c>
      <c r="N14" s="645">
        <f>SUM(N11:N13)</f>
        <v>2317.4</v>
      </c>
      <c r="O14" s="423">
        <f>SUM(O11:O13)</f>
        <v>2940</v>
      </c>
      <c r="P14" s="505">
        <f t="shared" si="4"/>
        <v>26.9</v>
      </c>
      <c r="Q14" s="645">
        <f>SUM(Q11:Q13)</f>
        <v>8.8402157599999995</v>
      </c>
      <c r="R14" s="428">
        <f>SUM(R11:R13)</f>
        <v>8.7331529000000003</v>
      </c>
      <c r="S14" s="505">
        <f>IF(Q14=0, "    ---- ", IF(ABS(ROUND(100/Q14*R14-100,1))&lt;999,ROUND(100/Q14*R14-100,1),IF(ROUND(100/Q14*R14-100,1)&gt;999,999,-999)))</f>
        <v>-1.2</v>
      </c>
      <c r="T14" s="645">
        <v>7040.9092229600001</v>
      </c>
      <c r="U14" s="423">
        <v>7502.9279040600004</v>
      </c>
      <c r="V14" s="505">
        <f t="shared" si="5"/>
        <v>6.6</v>
      </c>
      <c r="W14" s="645">
        <f>SUM(W11:W13)</f>
        <v>6838.33</v>
      </c>
      <c r="X14" s="423">
        <f>SUM(X11:X13)</f>
        <v>7161.3200000000006</v>
      </c>
      <c r="Y14" s="505">
        <f t="shared" si="6"/>
        <v>4.7</v>
      </c>
      <c r="Z14" s="645">
        <f>SUM(Z11:Z13)</f>
        <v>836</v>
      </c>
      <c r="AA14" s="423">
        <f>SUM(AA11:AA13)</f>
        <v>1185</v>
      </c>
      <c r="AB14" s="505">
        <f t="shared" si="7"/>
        <v>41.7</v>
      </c>
      <c r="AC14" s="645">
        <f>SUM(AC11:AC13)</f>
        <v>73.957986900000009</v>
      </c>
      <c r="AD14" s="428">
        <f>SUM(AD11:AD13)</f>
        <v>44.296353619999998</v>
      </c>
      <c r="AE14" s="505">
        <f t="shared" si="8"/>
        <v>-40.1</v>
      </c>
      <c r="AF14" s="645">
        <f>SUM(AF11:AF13)</f>
        <v>3344.9737330500002</v>
      </c>
      <c r="AG14" s="423">
        <f>SUM(AG11:AG13)</f>
        <v>3226.0385732799996</v>
      </c>
      <c r="AH14" s="505">
        <f t="shared" si="9"/>
        <v>-3.6</v>
      </c>
      <c r="AI14" s="645">
        <f>SUM(AI11:AI13)</f>
        <v>13714</v>
      </c>
      <c r="AJ14" s="423">
        <f>SUM(AJ11:AJ13)</f>
        <v>10398</v>
      </c>
      <c r="AK14" s="505">
        <f t="shared" si="10"/>
        <v>-24.2</v>
      </c>
      <c r="AL14" s="423"/>
      <c r="AM14" s="423">
        <f>SUM(AM11:AM13)</f>
        <v>0.9</v>
      </c>
      <c r="AN14" s="505" t="str">
        <f t="shared" si="11"/>
        <v xml:space="preserve">    ---- </v>
      </c>
      <c r="AO14" s="505">
        <f t="shared" si="12"/>
        <v>45331.237777030001</v>
      </c>
      <c r="AP14" s="505">
        <f t="shared" si="12"/>
        <v>44174.18056329</v>
      </c>
      <c r="AQ14" s="505">
        <f t="shared" si="13"/>
        <v>-2.6</v>
      </c>
      <c r="AR14" s="508">
        <f t="shared" si="15"/>
        <v>45414.035979690001</v>
      </c>
      <c r="AS14" s="508">
        <f t="shared" si="15"/>
        <v>44227.210069810004</v>
      </c>
      <c r="AT14" s="505">
        <f t="shared" si="14"/>
        <v>-2.6</v>
      </c>
    </row>
    <row r="15" spans="1:46" s="482" customFormat="1" ht="18.75" customHeight="1" x14ac:dyDescent="0.3">
      <c r="A15" s="503" t="s">
        <v>291</v>
      </c>
      <c r="B15" s="192">
        <v>-0.52</v>
      </c>
      <c r="C15" s="432">
        <v>-34.643999999999998</v>
      </c>
      <c r="D15" s="505">
        <f t="shared" si="0"/>
        <v>999</v>
      </c>
      <c r="E15" s="192">
        <v>1582.7881698599997</v>
      </c>
      <c r="F15" s="432">
        <v>-431.80428736999971</v>
      </c>
      <c r="G15" s="505">
        <f t="shared" si="1"/>
        <v>-127.3</v>
      </c>
      <c r="H15" s="647">
        <v>28.438645959999992</v>
      </c>
      <c r="I15" s="565">
        <v>-64.779416500000011</v>
      </c>
      <c r="J15" s="505">
        <f t="shared" si="2"/>
        <v>-327.8</v>
      </c>
      <c r="K15" s="647">
        <v>16.571999999999999</v>
      </c>
      <c r="L15" s="565">
        <v>-16.280999999999999</v>
      </c>
      <c r="M15" s="505">
        <f t="shared" si="3"/>
        <v>-198.2</v>
      </c>
      <c r="N15" s="192">
        <v>65.3</v>
      </c>
      <c r="O15" s="432">
        <v>66</v>
      </c>
      <c r="P15" s="505">
        <f t="shared" si="4"/>
        <v>1.1000000000000001</v>
      </c>
      <c r="Q15" s="648"/>
      <c r="R15" s="688"/>
      <c r="S15" s="505"/>
      <c r="T15" s="192">
        <v>8892.5592317499995</v>
      </c>
      <c r="U15" s="432">
        <v>-4920.52706038</v>
      </c>
      <c r="V15" s="505">
        <f t="shared" si="5"/>
        <v>-155.30000000000001</v>
      </c>
      <c r="W15" s="192">
        <v>1314.15</v>
      </c>
      <c r="X15" s="432">
        <v>378.5</v>
      </c>
      <c r="Y15" s="505">
        <f t="shared" si="6"/>
        <v>-71.2</v>
      </c>
      <c r="Z15" s="192">
        <v>3233</v>
      </c>
      <c r="AA15" s="432">
        <v>-479</v>
      </c>
      <c r="AB15" s="505">
        <f t="shared" si="7"/>
        <v>-114.8</v>
      </c>
      <c r="AC15" s="648"/>
      <c r="AD15" s="688"/>
      <c r="AE15" s="505"/>
      <c r="AF15" s="666">
        <v>284.73867136000001</v>
      </c>
      <c r="AG15" s="510">
        <v>-49.030300649999994</v>
      </c>
      <c r="AH15" s="505">
        <f t="shared" si="9"/>
        <v>-117.2</v>
      </c>
      <c r="AI15" s="192">
        <v>11</v>
      </c>
      <c r="AJ15" s="432">
        <v>-3245</v>
      </c>
      <c r="AK15" s="505">
        <f t="shared" si="10"/>
        <v>-999</v>
      </c>
      <c r="AL15" s="432"/>
      <c r="AM15" s="432"/>
      <c r="AN15" s="505"/>
      <c r="AO15" s="505">
        <f t="shared" si="12"/>
        <v>15428.026718929999</v>
      </c>
      <c r="AP15" s="505">
        <f t="shared" si="12"/>
        <v>-8796.5660648999983</v>
      </c>
      <c r="AQ15" s="505">
        <f t="shared" si="13"/>
        <v>-157</v>
      </c>
      <c r="AR15" s="508">
        <f t="shared" si="15"/>
        <v>15428.026718929999</v>
      </c>
      <c r="AS15" s="508">
        <f t="shared" si="15"/>
        <v>-8796.5660648999983</v>
      </c>
      <c r="AT15" s="505">
        <f t="shared" si="14"/>
        <v>-157</v>
      </c>
    </row>
    <row r="16" spans="1:46" s="482" customFormat="1" ht="18.75" customHeight="1" x14ac:dyDescent="0.3">
      <c r="A16" s="503" t="s">
        <v>292</v>
      </c>
      <c r="B16" s="192">
        <v>772.12800000000004</v>
      </c>
      <c r="C16" s="432">
        <v>-1266.242</v>
      </c>
      <c r="D16" s="505">
        <f t="shared" si="0"/>
        <v>-264</v>
      </c>
      <c r="E16" s="192">
        <v>4316.718050999998</v>
      </c>
      <c r="F16" s="432">
        <v>-4452.3163567299989</v>
      </c>
      <c r="G16" s="505">
        <f t="shared" si="1"/>
        <v>-203.1</v>
      </c>
      <c r="H16" s="647"/>
      <c r="I16" s="565"/>
      <c r="J16" s="505"/>
      <c r="K16" s="647"/>
      <c r="L16" s="565"/>
      <c r="M16" s="505"/>
      <c r="N16" s="192">
        <v>1108.7</v>
      </c>
      <c r="O16" s="432">
        <v>-1759</v>
      </c>
      <c r="P16" s="504">
        <f t="shared" si="4"/>
        <v>-258.7</v>
      </c>
      <c r="Q16" s="648"/>
      <c r="R16" s="688"/>
      <c r="S16" s="511"/>
      <c r="T16" s="192">
        <v>38.759396049999999</v>
      </c>
      <c r="U16" s="432">
        <v>-23.971554859999998</v>
      </c>
      <c r="V16" s="511">
        <f t="shared" si="5"/>
        <v>-161.80000000000001</v>
      </c>
      <c r="W16" s="192">
        <v>3394.01</v>
      </c>
      <c r="X16" s="432">
        <v>-5323</v>
      </c>
      <c r="Y16" s="505">
        <f t="shared" si="6"/>
        <v>-256.8</v>
      </c>
      <c r="Z16" s="192"/>
      <c r="AA16" s="432"/>
      <c r="AB16" s="505"/>
      <c r="AC16" s="647">
        <v>104.81221446000001</v>
      </c>
      <c r="AD16" s="694">
        <v>-247.75214170000001</v>
      </c>
      <c r="AE16" s="505">
        <f t="shared" si="8"/>
        <v>-336.4</v>
      </c>
      <c r="AF16" s="666">
        <v>2235.2823584700004</v>
      </c>
      <c r="AG16" s="510">
        <v>-2226.9117214900007</v>
      </c>
      <c r="AH16" s="505">
        <f t="shared" si="9"/>
        <v>-199.6</v>
      </c>
      <c r="AI16" s="192">
        <v>5766</v>
      </c>
      <c r="AJ16" s="432">
        <v>-4420</v>
      </c>
      <c r="AK16" s="505">
        <f t="shared" si="10"/>
        <v>-176.7</v>
      </c>
      <c r="AL16" s="432"/>
      <c r="AM16" s="432"/>
      <c r="AN16" s="511"/>
      <c r="AO16" s="505">
        <f t="shared" si="12"/>
        <v>17631.597805519996</v>
      </c>
      <c r="AP16" s="505">
        <f t="shared" si="12"/>
        <v>-19471.441633079998</v>
      </c>
      <c r="AQ16" s="505">
        <f t="shared" si="13"/>
        <v>-210.4</v>
      </c>
      <c r="AR16" s="508">
        <f t="shared" si="15"/>
        <v>17736.410019979998</v>
      </c>
      <c r="AS16" s="508">
        <f t="shared" si="15"/>
        <v>-19719.19377478</v>
      </c>
      <c r="AT16" s="505">
        <f t="shared" si="14"/>
        <v>-211.2</v>
      </c>
    </row>
    <row r="17" spans="1:46" s="482" customFormat="1" ht="18.75" customHeight="1" x14ac:dyDescent="0.3">
      <c r="A17" s="503" t="s">
        <v>293</v>
      </c>
      <c r="B17" s="192"/>
      <c r="C17" s="432"/>
      <c r="D17" s="505"/>
      <c r="E17" s="192">
        <v>13.110498710000002</v>
      </c>
      <c r="F17" s="432">
        <v>12.39500245</v>
      </c>
      <c r="G17" s="505">
        <f t="shared" si="1"/>
        <v>-5.5</v>
      </c>
      <c r="H17" s="647">
        <v>1.8480886400000001</v>
      </c>
      <c r="I17" s="565">
        <v>2</v>
      </c>
      <c r="J17" s="505">
        <f t="shared" si="2"/>
        <v>8.1999999999999993</v>
      </c>
      <c r="K17" s="647">
        <v>3.3000000000000002E-2</v>
      </c>
      <c r="L17" s="565"/>
      <c r="M17" s="505">
        <f t="shared" si="3"/>
        <v>-100</v>
      </c>
      <c r="N17" s="192">
        <v>51.3</v>
      </c>
      <c r="O17" s="432">
        <v>58</v>
      </c>
      <c r="P17" s="504">
        <f t="shared" si="4"/>
        <v>13.1</v>
      </c>
      <c r="Q17" s="648"/>
      <c r="R17" s="688"/>
      <c r="S17" s="505"/>
      <c r="T17" s="192">
        <v>306.01140299999997</v>
      </c>
      <c r="U17" s="432">
        <v>331.17306100000002</v>
      </c>
      <c r="V17" s="505">
        <f t="shared" si="5"/>
        <v>8.1999999999999993</v>
      </c>
      <c r="W17" s="192">
        <v>82.75</v>
      </c>
      <c r="X17" s="432">
        <v>63.52</v>
      </c>
      <c r="Y17" s="505">
        <f t="shared" si="6"/>
        <v>-23.2</v>
      </c>
      <c r="Z17" s="192">
        <v>3</v>
      </c>
      <c r="AA17" s="432">
        <v>10</v>
      </c>
      <c r="AB17" s="505">
        <f t="shared" si="7"/>
        <v>233.3</v>
      </c>
      <c r="AC17" s="648"/>
      <c r="AD17" s="688"/>
      <c r="AE17" s="505"/>
      <c r="AF17" s="666">
        <v>79.060050080000011</v>
      </c>
      <c r="AG17" s="510">
        <v>81.690472630000002</v>
      </c>
      <c r="AH17" s="505">
        <f t="shared" si="9"/>
        <v>3.3</v>
      </c>
      <c r="AI17" s="192">
        <v>188</v>
      </c>
      <c r="AJ17" s="432">
        <v>188</v>
      </c>
      <c r="AK17" s="505">
        <f t="shared" si="10"/>
        <v>0</v>
      </c>
      <c r="AL17" s="432"/>
      <c r="AM17" s="432"/>
      <c r="AN17" s="505"/>
      <c r="AO17" s="505">
        <f t="shared" si="12"/>
        <v>725.11304042999996</v>
      </c>
      <c r="AP17" s="505">
        <f t="shared" si="12"/>
        <v>746.77853607999998</v>
      </c>
      <c r="AQ17" s="505">
        <f t="shared" si="13"/>
        <v>3</v>
      </c>
      <c r="AR17" s="508">
        <f t="shared" si="15"/>
        <v>725.11304042999996</v>
      </c>
      <c r="AS17" s="508">
        <f t="shared" si="15"/>
        <v>746.77853607999998</v>
      </c>
      <c r="AT17" s="505">
        <f t="shared" si="14"/>
        <v>3</v>
      </c>
    </row>
    <row r="18" spans="1:46" s="482" customFormat="1" ht="18.75" customHeight="1" x14ac:dyDescent="0.3">
      <c r="A18" s="503" t="s">
        <v>294</v>
      </c>
      <c r="B18" s="192"/>
      <c r="C18" s="432"/>
      <c r="D18" s="505"/>
      <c r="E18" s="192"/>
      <c r="F18" s="432"/>
      <c r="G18" s="505"/>
      <c r="H18" s="647"/>
      <c r="I18" s="565"/>
      <c r="J18" s="505"/>
      <c r="K18" s="647"/>
      <c r="L18" s="565"/>
      <c r="M18" s="505"/>
      <c r="N18" s="192"/>
      <c r="O18" s="432"/>
      <c r="P18" s="504"/>
      <c r="Q18" s="648"/>
      <c r="R18" s="688"/>
      <c r="S18" s="505"/>
      <c r="T18" s="192"/>
      <c r="U18" s="432"/>
      <c r="V18" s="505"/>
      <c r="W18" s="663"/>
      <c r="X18" s="512"/>
      <c r="Y18" s="505"/>
      <c r="Z18" s="192"/>
      <c r="AA18" s="432"/>
      <c r="AB18" s="505"/>
      <c r="AC18" s="648"/>
      <c r="AD18" s="688"/>
      <c r="AE18" s="505"/>
      <c r="AF18" s="666"/>
      <c r="AG18" s="510"/>
      <c r="AH18" s="505"/>
      <c r="AI18" s="192"/>
      <c r="AJ18" s="432"/>
      <c r="AK18" s="505"/>
      <c r="AL18" s="432"/>
      <c r="AM18" s="432"/>
      <c r="AN18" s="505"/>
      <c r="AO18" s="505"/>
      <c r="AP18" s="505"/>
      <c r="AQ18" s="505"/>
      <c r="AR18" s="513"/>
      <c r="AS18" s="513"/>
      <c r="AT18" s="507"/>
    </row>
    <row r="19" spans="1:46" s="482" customFormat="1" ht="18.75" customHeight="1" x14ac:dyDescent="0.3">
      <c r="A19" s="503" t="s">
        <v>295</v>
      </c>
      <c r="B19" s="645">
        <f>-193.122+10.876</f>
        <v>-182.24600000000001</v>
      </c>
      <c r="C19" s="423">
        <f>-227.231+17.152</f>
        <v>-210.07900000000001</v>
      </c>
      <c r="D19" s="505">
        <f>IF(B19=0, "    ---- ", IF(ABS(ROUND(100/B19*C19-100,1))&lt;999,ROUND(100/B19*C19-100,1),IF(ROUND(100/B19*C19-100,1)&gt;999,999,-999)))</f>
        <v>15.3</v>
      </c>
      <c r="E19" s="645">
        <v>-3627.2435379300009</v>
      </c>
      <c r="F19" s="423">
        <v>-3754.88403801</v>
      </c>
      <c r="G19" s="505">
        <f>IF(E19=0, "    ---- ", IF(ABS(ROUND(100/E19*F19-100,1))&lt;999,ROUND(100/E19*F19-100,1),IF(ROUND(100/E19*F19-100,1)&gt;999,999,-999)))</f>
        <v>3.5</v>
      </c>
      <c r="H19" s="645">
        <v>-355.30508230000004</v>
      </c>
      <c r="I19" s="423">
        <v>-415.04245804999994</v>
      </c>
      <c r="J19" s="505">
        <f>IF(H19=0, "    ---- ", IF(ABS(ROUND(100/H19*I19-100,1))&lt;999,ROUND(100/H19*I19-100,1),IF(ROUND(100/H19*I19-100,1)&gt;999,999,-999)))</f>
        <v>16.8</v>
      </c>
      <c r="K19" s="645">
        <v>-32.494</v>
      </c>
      <c r="L19" s="423">
        <v>-46.941000000000003</v>
      </c>
      <c r="M19" s="505">
        <f>IF(K19=0, "    ---- ", IF(ABS(ROUND(100/K19*L19-100,1))&lt;999,ROUND(100/K19*L19-100,1),IF(ROUND(100/K19*L19-100,1)&gt;999,999,-999)))</f>
        <v>44.5</v>
      </c>
      <c r="N19" s="645">
        <v>-181.6</v>
      </c>
      <c r="O19" s="423">
        <v>-209</v>
      </c>
      <c r="P19" s="505">
        <f>IF(N19=0, "    ---- ", IF(ABS(ROUND(100/N19*O19-100,1))&lt;999,ROUND(100/N19*O19-100,1),IF(ROUND(100/N19*O19-100,1)&gt;999,999,-999)))</f>
        <v>15.1</v>
      </c>
      <c r="Q19" s="645">
        <v>-5.2515320000000001</v>
      </c>
      <c r="R19" s="428">
        <v>-5.1800259999999998</v>
      </c>
      <c r="S19" s="505">
        <f>IF(Q19=0, "    ---- ", IF(ABS(ROUND(100/Q19*R19-100,1))&lt;999,ROUND(100/Q19*R19-100,1),IF(ROUND(100/Q19*R19-100,1)&gt;999,999,-999)))</f>
        <v>-1.4</v>
      </c>
      <c r="T19" s="645">
        <v>-5335.073378</v>
      </c>
      <c r="U19" s="423">
        <v>-5766.3568670000004</v>
      </c>
      <c r="V19" s="505">
        <f>IF(T19=0, "    ---- ", IF(ABS(ROUND(100/T19*U19-100,1))&lt;999,ROUND(100/T19*U19-100,1),IF(ROUND(100/T19*U19-100,1)&gt;999,999,-999)))</f>
        <v>8.1</v>
      </c>
      <c r="W19" s="645">
        <v>-1525.97</v>
      </c>
      <c r="X19" s="423">
        <v>-2835.4</v>
      </c>
      <c r="Y19" s="505">
        <f>IF(W19=0, "    ---- ", IF(ABS(ROUND(100/W19*X19-100,1))&lt;999,ROUND(100/W19*X19-100,1),IF(ROUND(100/W19*X19-100,1)&gt;999,999,-999)))</f>
        <v>85.8</v>
      </c>
      <c r="Z19" s="645">
        <v>-755</v>
      </c>
      <c r="AA19" s="423">
        <v>-804</v>
      </c>
      <c r="AB19" s="505">
        <f>IF(Z19=0, "    ---- ", IF(ABS(ROUND(100/Z19*AA19-100,1))&lt;999,ROUND(100/Z19*AA19-100,1),IF(ROUND(100/Z19*AA19-100,1)&gt;999,999,-999)))</f>
        <v>6.5</v>
      </c>
      <c r="AC19" s="645">
        <v>-46.485803480000001</v>
      </c>
      <c r="AD19" s="428">
        <v>-48.9157498</v>
      </c>
      <c r="AE19" s="505">
        <f>IF(AC19=0, "    ---- ", IF(ABS(ROUND(100/AC19*AD19-100,1))&lt;999,ROUND(100/AC19*AD19-100,1),IF(ROUND(100/AC19*AD19-100,1)&gt;999,999,-999)))</f>
        <v>5.2</v>
      </c>
      <c r="AF19" s="667">
        <v>-397.74662798999992</v>
      </c>
      <c r="AG19" s="514">
        <v>-452.37723295000001</v>
      </c>
      <c r="AH19" s="505">
        <f>IF(AF19=0, "    ---- ", IF(ABS(ROUND(100/AF19*AG19-100,1))&lt;999,ROUND(100/AF19*AG19-100,1),IF(ROUND(100/AF19*AG19-100,1)&gt;999,999,-999)))</f>
        <v>13.7</v>
      </c>
      <c r="AI19" s="645">
        <f>-3065+7</f>
        <v>-3058</v>
      </c>
      <c r="AJ19" s="423">
        <v>-3400</v>
      </c>
      <c r="AK19" s="505">
        <f>IF(AI19=0, "    ---- ", IF(ABS(ROUND(100/AI19*AJ19-100,1))&lt;999,ROUND(100/AI19*AJ19-100,1),IF(ROUND(100/AI19*AJ19-100,1)&gt;999,999,-999)))</f>
        <v>11.2</v>
      </c>
      <c r="AL19" s="423"/>
      <c r="AM19" s="423">
        <v>0</v>
      </c>
      <c r="AN19" s="505" t="str">
        <f t="shared" si="11"/>
        <v xml:space="preserve">    ---- </v>
      </c>
      <c r="AO19" s="505">
        <f t="shared" ref="AO19:AP21" si="16">B19+E19+H19+K19+N19+T19+AL19+W19+Z19+AF19+AI19</f>
        <v>-15450.67862622</v>
      </c>
      <c r="AP19" s="505">
        <f t="shared" si="16"/>
        <v>-17894.080596010001</v>
      </c>
      <c r="AQ19" s="505">
        <f t="shared" si="13"/>
        <v>15.8</v>
      </c>
      <c r="AR19" s="508">
        <f t="shared" ref="AR19:AS21" si="17">+B19+E19+H19+K19+N19+Q19+T19+AL19+W19+Z19+AC19+AF19+AI19</f>
        <v>-15502.4159617</v>
      </c>
      <c r="AS19" s="508">
        <f t="shared" si="17"/>
        <v>-17948.176371810001</v>
      </c>
      <c r="AT19" s="505">
        <f>IF(AR19=0, "    ---- ", IF(ABS(ROUND(100/AR19*AS19-100,1))&lt;999,ROUND(100/AR19*AS19-100,1),IF(ROUND(100/AR19*AS19-100,1)&gt;999,999,-999)))</f>
        <v>15.8</v>
      </c>
    </row>
    <row r="20" spans="1:46" s="482" customFormat="1" ht="18.75" customHeight="1" x14ac:dyDescent="0.3">
      <c r="A20" s="503" t="s">
        <v>357</v>
      </c>
      <c r="B20" s="646">
        <v>-618.60199999999998</v>
      </c>
      <c r="C20" s="328">
        <v>-917.23</v>
      </c>
      <c r="D20" s="505">
        <f>IF(B20=0, "    ---- ", IF(ABS(ROUND(100/B20*C20-100,1))&lt;999,ROUND(100/B20*C20-100,1),IF(ROUND(100/B20*C20-100,1)&gt;999,999,-999)))</f>
        <v>48.3</v>
      </c>
      <c r="E20" s="646">
        <v>-4183.9956177599997</v>
      </c>
      <c r="F20" s="328">
        <v>-3988.1275068899999</v>
      </c>
      <c r="G20" s="505">
        <f>IF(E20=0, "    ---- ", IF(ABS(ROUND(100/E20*F20-100,1))&lt;999,ROUND(100/E20*F20-100,1),IF(ROUND(100/E20*F20-100,1)&gt;999,999,-999)))</f>
        <v>-4.7</v>
      </c>
      <c r="H20" s="646">
        <v>36.321869530000001</v>
      </c>
      <c r="I20" s="328">
        <v>35.601720880000002</v>
      </c>
      <c r="J20" s="505">
        <f>IF(H20=0, "    ---- ", IF(ABS(ROUND(100/H20*I20-100,1))&lt;999,ROUND(100/H20*I20-100,1),IF(ROUND(100/H20*I20-100,1)&gt;999,999,-999)))</f>
        <v>-2</v>
      </c>
      <c r="K20" s="646"/>
      <c r="L20" s="328"/>
      <c r="M20" s="505"/>
      <c r="N20" s="646">
        <v>-1431.6</v>
      </c>
      <c r="O20" s="328">
        <v>-1232</v>
      </c>
      <c r="P20" s="505">
        <f>IF(N20=0, "    ---- ", IF(ABS(ROUND(100/N20*O20-100,1))&lt;999,ROUND(100/N20*O20-100,1),IF(ROUND(100/N20*O20-100,1)&gt;999,999,-999)))</f>
        <v>-13.9</v>
      </c>
      <c r="Q20" s="646"/>
      <c r="R20" s="429"/>
      <c r="S20" s="505"/>
      <c r="T20" s="646">
        <v>-8418.8035180000006</v>
      </c>
      <c r="U20" s="328">
        <v>-4875.4002250000003</v>
      </c>
      <c r="V20" s="505">
        <f>IF(T20=0, "    ---- ", IF(ABS(ROUND(100/T20*U20-100,1))&lt;999,ROUND(100/T20*U20-100,1),IF(ROUND(100/T20*U20-100,1)&gt;999,999,-999)))</f>
        <v>-42.1</v>
      </c>
      <c r="W20" s="664">
        <v>-1813</v>
      </c>
      <c r="X20" s="515">
        <v>-1647</v>
      </c>
      <c r="Y20" s="505">
        <f>IF(W20=0, "    ---- ", IF(ABS(ROUND(100/W20*X20-100,1))&lt;999,ROUND(100/W20*X20-100,1),IF(ROUND(100/W20*X20-100,1)&gt;999,999,-999)))</f>
        <v>-9.1999999999999993</v>
      </c>
      <c r="Z20" s="664">
        <v>0</v>
      </c>
      <c r="AA20" s="515"/>
      <c r="AB20" s="505"/>
      <c r="AC20" s="645">
        <v>-9.9322434000000008</v>
      </c>
      <c r="AD20" s="429">
        <v>-26.36670947</v>
      </c>
      <c r="AE20" s="505">
        <f>IF(AC20=0, "    ---- ", IF(ABS(ROUND(100/AC20*AD20-100,1))&lt;999,ROUND(100/AC20*AD20-100,1),IF(ROUND(100/AC20*AD20-100,1)&gt;999,999,-999)))</f>
        <v>165.5</v>
      </c>
      <c r="AF20" s="664">
        <v>-1504.8587970100002</v>
      </c>
      <c r="AG20" s="515">
        <v>-1424.3037259900002</v>
      </c>
      <c r="AH20" s="505">
        <f>IF(AF20=0, "    ---- ", IF(ABS(ROUND(100/AF20*AG20-100,1))&lt;999,ROUND(100/AF20*AG20-100,1),IF(ROUND(100/AF20*AG20-100,1)&gt;999,999,-999)))</f>
        <v>-5.4</v>
      </c>
      <c r="AI20" s="646">
        <v>-2726</v>
      </c>
      <c r="AJ20" s="328">
        <v>-3323</v>
      </c>
      <c r="AK20" s="505">
        <f>IF(AI20=0, "    ---- ", IF(ABS(ROUND(100/AI20*AJ20-100,1))&lt;999,ROUND(100/AI20*AJ20-100,1),IF(ROUND(100/AI20*AJ20-100,1)&gt;999,999,-999)))</f>
        <v>21.9</v>
      </c>
      <c r="AL20" s="328"/>
      <c r="AM20" s="328"/>
      <c r="AN20" s="505"/>
      <c r="AO20" s="505">
        <f t="shared" si="16"/>
        <v>-20660.538063240001</v>
      </c>
      <c r="AP20" s="505">
        <f t="shared" si="16"/>
        <v>-17371.459737000001</v>
      </c>
      <c r="AQ20" s="505">
        <f t="shared" si="13"/>
        <v>-15.9</v>
      </c>
      <c r="AR20" s="508">
        <f t="shared" si="17"/>
        <v>-20670.47030664</v>
      </c>
      <c r="AS20" s="508">
        <f t="shared" si="17"/>
        <v>-17397.826446470001</v>
      </c>
      <c r="AT20" s="505">
        <f>IF(AR20=0, "    ---- ", IF(ABS(ROUND(100/AR20*AS20-100,1))&lt;999,ROUND(100/AR20*AS20-100,1),IF(ROUND(100/AR20*AS20-100,1)&gt;999,999,-999)))</f>
        <v>-15.8</v>
      </c>
    </row>
    <row r="21" spans="1:46" s="482" customFormat="1" ht="18.75" customHeight="1" x14ac:dyDescent="0.3">
      <c r="A21" s="503" t="s">
        <v>296</v>
      </c>
      <c r="B21" s="645">
        <f>SUM(B19:B20)</f>
        <v>-800.84799999999996</v>
      </c>
      <c r="C21" s="423">
        <f>SUM(C19:C20)</f>
        <v>-1127.309</v>
      </c>
      <c r="D21" s="505">
        <f>IF(B21=0, "    ---- ", IF(ABS(ROUND(100/B21*C21-100,1))&lt;999,ROUND(100/B21*C21-100,1),IF(ROUND(100/B21*C21-100,1)&gt;999,999,-999)))</f>
        <v>40.799999999999997</v>
      </c>
      <c r="E21" s="645">
        <f>SUM(E19:E20)</f>
        <v>-7811.2391556900002</v>
      </c>
      <c r="F21" s="423">
        <f>SUM(F19:F20)</f>
        <v>-7743.0115449000004</v>
      </c>
      <c r="G21" s="505">
        <f>IF(E21=0, "    ---- ", IF(ABS(ROUND(100/E21*F21-100,1))&lt;999,ROUND(100/E21*F21-100,1),IF(ROUND(100/E21*F21-100,1)&gt;999,999,-999)))</f>
        <v>-0.9</v>
      </c>
      <c r="H21" s="645">
        <f>SUM(H19:H20)</f>
        <v>-318.98321277000002</v>
      </c>
      <c r="I21" s="423">
        <f>SUM(I19:I20)</f>
        <v>-379.44073716999992</v>
      </c>
      <c r="J21" s="505">
        <f>IF(H21=0, "    ---- ", IF(ABS(ROUND(100/H21*I21-100,1))&lt;999,ROUND(100/H21*I21-100,1),IF(ROUND(100/H21*I21-100,1)&gt;999,999,-999)))</f>
        <v>19</v>
      </c>
      <c r="K21" s="645">
        <f>SUM(K19:K20)</f>
        <v>-32.494</v>
      </c>
      <c r="L21" s="423">
        <f>SUM(L19:L20)</f>
        <v>-46.941000000000003</v>
      </c>
      <c r="M21" s="505">
        <f>IF(K21=0, "    ---- ", IF(ABS(ROUND(100/K21*L21-100,1))&lt;999,ROUND(100/K21*L21-100,1),IF(ROUND(100/K21*L21-100,1)&gt;999,999,-999)))</f>
        <v>44.5</v>
      </c>
      <c r="N21" s="645">
        <f>SUM(N19:N20)</f>
        <v>-1613.1999999999998</v>
      </c>
      <c r="O21" s="423">
        <f>SUM(O19:O20)</f>
        <v>-1441</v>
      </c>
      <c r="P21" s="505">
        <f>IF(N21=0, "    ---- ", IF(ABS(ROUND(100/N21*O21-100,1))&lt;999,ROUND(100/N21*O21-100,1),IF(ROUND(100/N21*O21-100,1)&gt;999,999,-999)))</f>
        <v>-10.7</v>
      </c>
      <c r="Q21" s="645">
        <f>SUM(Q19:Q20)</f>
        <v>-5.2515320000000001</v>
      </c>
      <c r="R21" s="428">
        <f>SUM(R19:R20)</f>
        <v>-5.1800259999999998</v>
      </c>
      <c r="S21" s="505">
        <f>IF(Q21=0, "    ---- ", IF(ABS(ROUND(100/Q21*R21-100,1))&lt;999,ROUND(100/Q21*R21-100,1),IF(ROUND(100/Q21*R21-100,1)&gt;999,999,-999)))</f>
        <v>-1.4</v>
      </c>
      <c r="T21" s="645">
        <v>-13753.876896000002</v>
      </c>
      <c r="U21" s="423">
        <v>-10641.757092</v>
      </c>
      <c r="V21" s="505">
        <f>IF(T21=0, "    ---- ", IF(ABS(ROUND(100/T21*U21-100,1))&lt;999,ROUND(100/T21*U21-100,1),IF(ROUND(100/T21*U21-100,1)&gt;999,999,-999)))</f>
        <v>-22.6</v>
      </c>
      <c r="W21" s="645">
        <f>SUM(W19:W20)</f>
        <v>-3338.9700000000003</v>
      </c>
      <c r="X21" s="423">
        <f>SUM(X19:X20)</f>
        <v>-4482.3999999999996</v>
      </c>
      <c r="Y21" s="505">
        <f>IF(W21=0, "    ---- ", IF(ABS(ROUND(100/W21*X21-100,1))&lt;999,ROUND(100/W21*X21-100,1),IF(ROUND(100/W21*X21-100,1)&gt;999,999,-999)))</f>
        <v>34.200000000000003</v>
      </c>
      <c r="Z21" s="645">
        <f>SUM(Z19:Z20)</f>
        <v>-755</v>
      </c>
      <c r="AA21" s="423">
        <f>SUM(AA19:AA20)</f>
        <v>-804</v>
      </c>
      <c r="AB21" s="505">
        <f>IF(Z21=0, "    ---- ", IF(ABS(ROUND(100/Z21*AA21-100,1))&lt;999,ROUND(100/Z21*AA21-100,1),IF(ROUND(100/Z21*AA21-100,1)&gt;999,999,-999)))</f>
        <v>6.5</v>
      </c>
      <c r="AC21" s="645">
        <f>SUM(AC19:AC20)</f>
        <v>-56.418046880000006</v>
      </c>
      <c r="AD21" s="428">
        <f>SUM(AD19:AD20)</f>
        <v>-75.282459270000004</v>
      </c>
      <c r="AE21" s="505">
        <f>IF(AC21=0, "    ---- ", IF(ABS(ROUND(100/AC21*AD21-100,1))&lt;999,ROUND(100/AC21*AD21-100,1),IF(ROUND(100/AC21*AD21-100,1)&gt;999,999,-999)))</f>
        <v>33.4</v>
      </c>
      <c r="AF21" s="645">
        <f>SUM(AF19:AF20)</f>
        <v>-1902.6054250000002</v>
      </c>
      <c r="AG21" s="423">
        <f>SUM(AG19:AG20)</f>
        <v>-1876.6809589400002</v>
      </c>
      <c r="AH21" s="505">
        <f>IF(AF21=0, "    ---- ", IF(ABS(ROUND(100/AF21*AG21-100,1))&lt;999,ROUND(100/AF21*AG21-100,1),IF(ROUND(100/AF21*AG21-100,1)&gt;999,999,-999)))</f>
        <v>-1.4</v>
      </c>
      <c r="AI21" s="645">
        <f>SUM(AI19:AI20)</f>
        <v>-5784</v>
      </c>
      <c r="AJ21" s="423">
        <f>SUM(AJ19:AJ20)</f>
        <v>-6723</v>
      </c>
      <c r="AK21" s="505">
        <f>IF(AI21=0, "    ---- ", IF(ABS(ROUND(100/AI21*AJ21-100,1))&lt;999,ROUND(100/AI21*AJ21-100,1),IF(ROUND(100/AI21*AJ21-100,1)&gt;999,999,-999)))</f>
        <v>16.2</v>
      </c>
      <c r="AL21" s="423"/>
      <c r="AM21" s="423">
        <f>SUM(AM19:AM20)</f>
        <v>0</v>
      </c>
      <c r="AN21" s="505" t="str">
        <f t="shared" si="11"/>
        <v xml:space="preserve">    ---- </v>
      </c>
      <c r="AO21" s="505">
        <f t="shared" si="16"/>
        <v>-36111.216689460009</v>
      </c>
      <c r="AP21" s="505">
        <f t="shared" si="16"/>
        <v>-35265.540333010002</v>
      </c>
      <c r="AQ21" s="505">
        <f t="shared" si="13"/>
        <v>-2.2999999999999998</v>
      </c>
      <c r="AR21" s="508">
        <f t="shared" si="17"/>
        <v>-36172.886268340008</v>
      </c>
      <c r="AS21" s="508">
        <f t="shared" si="17"/>
        <v>-35346.002818280002</v>
      </c>
      <c r="AT21" s="505">
        <f>IF(AR21=0, "    ---- ", IF(ABS(ROUND(100/AR21*AS21-100,1))&lt;999,ROUND(100/AR21*AS21-100,1),IF(ROUND(100/AR21*AS21-100,1)&gt;999,999,-999)))</f>
        <v>-2.2999999999999998</v>
      </c>
    </row>
    <row r="22" spans="1:46" s="482" customFormat="1" ht="18.75" customHeight="1" x14ac:dyDescent="0.3">
      <c r="A22" s="503" t="s">
        <v>297</v>
      </c>
      <c r="B22" s="192"/>
      <c r="C22" s="432"/>
      <c r="D22" s="505"/>
      <c r="E22" s="192"/>
      <c r="F22" s="432"/>
      <c r="G22" s="505"/>
      <c r="H22" s="648"/>
      <c r="I22" s="563"/>
      <c r="J22" s="505"/>
      <c r="K22" s="648"/>
      <c r="L22" s="563"/>
      <c r="M22" s="505"/>
      <c r="N22" s="192"/>
      <c r="O22" s="432"/>
      <c r="P22" s="505"/>
      <c r="Q22" s="648"/>
      <c r="R22" s="688"/>
      <c r="S22" s="505"/>
      <c r="T22" s="192"/>
      <c r="U22" s="432"/>
      <c r="V22" s="505"/>
      <c r="W22" s="648"/>
      <c r="X22" s="563"/>
      <c r="Y22" s="505"/>
      <c r="Z22" s="648"/>
      <c r="AA22" s="563"/>
      <c r="AB22" s="505"/>
      <c r="AC22" s="648"/>
      <c r="AD22" s="688"/>
      <c r="AE22" s="505"/>
      <c r="AF22" s="648"/>
      <c r="AG22" s="563"/>
      <c r="AH22" s="505"/>
      <c r="AI22" s="192"/>
      <c r="AJ22" s="432"/>
      <c r="AK22" s="505"/>
      <c r="AL22" s="563"/>
      <c r="AM22" s="432"/>
      <c r="AN22" s="505"/>
      <c r="AO22" s="505"/>
      <c r="AP22" s="505"/>
      <c r="AQ22" s="505"/>
      <c r="AR22" s="505"/>
      <c r="AS22" s="505"/>
      <c r="AT22" s="505"/>
    </row>
    <row r="23" spans="1:46" s="482" customFormat="1" ht="18.75" customHeight="1" x14ac:dyDescent="0.3">
      <c r="A23" s="503" t="s">
        <v>298</v>
      </c>
      <c r="B23" s="646">
        <f>-35.773+17.234</f>
        <v>-18.539000000000001</v>
      </c>
      <c r="C23" s="328">
        <f>-18.105+8.098</f>
        <v>-10.007</v>
      </c>
      <c r="D23" s="505">
        <f t="shared" ref="D23:D29" si="18">IF(B23=0, "    ---- ", IF(ABS(ROUND(100/B23*C23-100,1))&lt;999,ROUND(100/B23*C23-100,1),IF(ROUND(100/B23*C23-100,1)&gt;999,999,-999)))</f>
        <v>-46</v>
      </c>
      <c r="E23" s="646">
        <v>296.60422095999996</v>
      </c>
      <c r="F23" s="328">
        <v>1029.87274314</v>
      </c>
      <c r="G23" s="505">
        <f t="shared" ref="G23:G29" si="19">IF(E23=0, "    ---- ", IF(ABS(ROUND(100/E23*F23-100,1))&lt;999,ROUND(100/E23*F23-100,1),IF(ROUND(100/E23*F23-100,1)&gt;999,999,-999)))</f>
        <v>247.2</v>
      </c>
      <c r="H23" s="646">
        <v>-237.89240616000063</v>
      </c>
      <c r="I23" s="328">
        <v>-266.9219162900003</v>
      </c>
      <c r="J23" s="505">
        <f>IF(H23=0, "    ---- ", IF(ABS(ROUND(100/H23*I23-100,1))&lt;999,ROUND(100/H23*I23-100,1),IF(ROUND(100/H23*I23-100,1)&gt;999,999,-999)))</f>
        <v>12.2</v>
      </c>
      <c r="K23" s="646">
        <v>-489.339</v>
      </c>
      <c r="L23" s="328">
        <v>-505.00200000000001</v>
      </c>
      <c r="M23" s="505">
        <f>IF(K23=0, "    ---- ", IF(ABS(ROUND(100/K23*L23-100,1))&lt;999,ROUND(100/K23*L23-100,1),IF(ROUND(100/K23*L23-100,1)&gt;999,999,-999)))</f>
        <v>3.2</v>
      </c>
      <c r="N23" s="646">
        <v>-164.3</v>
      </c>
      <c r="O23" s="328">
        <v>-197</v>
      </c>
      <c r="P23" s="505">
        <f t="shared" ref="P23:P31" si="20">IF(N23=0, "    ---- ", IF(ABS(ROUND(100/N23*O23-100,1))&lt;999,ROUND(100/N23*O23-100,1),IF(ROUND(100/N23*O23-100,1)&gt;999,999,-999)))</f>
        <v>19.899999999999999</v>
      </c>
      <c r="Q23" s="646">
        <v>5.3560540000000003</v>
      </c>
      <c r="R23" s="429">
        <v>1.324443</v>
      </c>
      <c r="S23" s="505">
        <f>IF(Q23=0, "    ---- ", IF(ABS(ROUND(100/Q23*R23-100,1))&lt;999,ROUND(100/Q23*R23-100,1),IF(ROUND(100/Q23*R23-100,1)&gt;999,999,-999)))</f>
        <v>-75.3</v>
      </c>
      <c r="T23" s="646">
        <v>4800.4944059999998</v>
      </c>
      <c r="U23" s="328">
        <v>1620.20618218</v>
      </c>
      <c r="V23" s="505">
        <f t="shared" ref="V23:V30" si="21">IF(T23=0, "    ---- ", IF(ABS(ROUND(100/T23*U23-100,1))&lt;999,ROUND(100/T23*U23-100,1),IF(ROUND(100/T23*U23-100,1)&gt;999,999,-999)))</f>
        <v>-66.2</v>
      </c>
      <c r="W23" s="646">
        <v>-270.10000000000002</v>
      </c>
      <c r="X23" s="328">
        <v>-292.79000000000002</v>
      </c>
      <c r="Y23" s="505">
        <f t="shared" ref="Y23:Y29" si="22">IF(W23=0, "    ---- ", IF(ABS(ROUND(100/W23*X23-100,1))&lt;999,ROUND(100/W23*X23-100,1),IF(ROUND(100/W23*X23-100,1)&gt;999,999,-999)))</f>
        <v>8.4</v>
      </c>
      <c r="Z23" s="646">
        <v>-380</v>
      </c>
      <c r="AA23" s="328">
        <v>-567</v>
      </c>
      <c r="AB23" s="505">
        <f t="shared" ref="AB23:AB29" si="23">IF(Z23=0, "    ---- ", IF(ABS(ROUND(100/Z23*AA23-100,1))&lt;999,ROUND(100/Z23*AA23-100,1),IF(ROUND(100/Z23*AA23-100,1)&gt;999,999,-999)))</f>
        <v>49.2</v>
      </c>
      <c r="AC23" s="646"/>
      <c r="AD23" s="429"/>
      <c r="AE23" s="505"/>
      <c r="AF23" s="646">
        <v>-198.85092699</v>
      </c>
      <c r="AG23" s="328">
        <v>103.37426186999993</v>
      </c>
      <c r="AH23" s="505">
        <f t="shared" ref="AH23:AH29" si="24">IF(AF23=0, "    ---- ", IF(ABS(ROUND(100/AF23*AG23-100,1))&lt;999,ROUND(100/AF23*AG23-100,1),IF(ROUND(100/AF23*AG23-100,1)&gt;999,999,-999)))</f>
        <v>-152</v>
      </c>
      <c r="AI23" s="646">
        <v>-7358</v>
      </c>
      <c r="AJ23" s="328">
        <v>-3726</v>
      </c>
      <c r="AK23" s="505">
        <f t="shared" ref="AK23:AK29" si="25">IF(AI23=0, "    ---- ", IF(ABS(ROUND(100/AI23*AJ23-100,1))&lt;999,ROUND(100/AI23*AJ23-100,1),IF(ROUND(100/AI23*AJ23-100,1)&gt;999,999,-999)))</f>
        <v>-49.4</v>
      </c>
      <c r="AL23" s="328"/>
      <c r="AM23" s="328">
        <v>-1</v>
      </c>
      <c r="AN23" s="505" t="str">
        <f t="shared" si="11"/>
        <v xml:space="preserve">    ---- </v>
      </c>
      <c r="AO23" s="505">
        <f t="shared" ref="AO23:AO34" si="26">B23+E23+H23+K23+N23+T23+AL23+W23+Z23+AF23+AI23</f>
        <v>-4019.922706190001</v>
      </c>
      <c r="AP23" s="505">
        <f t="shared" ref="AP23:AP34" si="27">C23+F23+I23+L23+O23+U23+AM23+X23+AA23+AG23+AJ23</f>
        <v>-2812.2677291</v>
      </c>
      <c r="AQ23" s="505">
        <f t="shared" si="13"/>
        <v>-30</v>
      </c>
      <c r="AR23" s="505"/>
      <c r="AS23" s="505"/>
      <c r="AT23" s="505"/>
    </row>
    <row r="24" spans="1:46" s="482" customFormat="1" ht="18.75" customHeight="1" x14ac:dyDescent="0.3">
      <c r="A24" s="503" t="s">
        <v>299</v>
      </c>
      <c r="B24" s="646"/>
      <c r="C24" s="328"/>
      <c r="D24" s="505"/>
      <c r="E24" s="646">
        <v>-20.661720899999999</v>
      </c>
      <c r="F24" s="328">
        <v>-3.9315634799999999</v>
      </c>
      <c r="G24" s="505">
        <f t="shared" si="19"/>
        <v>-81</v>
      </c>
      <c r="H24" s="646"/>
      <c r="I24" s="328"/>
      <c r="J24" s="505"/>
      <c r="K24" s="646"/>
      <c r="L24" s="328"/>
      <c r="M24" s="505"/>
      <c r="N24" s="646">
        <v>0.3</v>
      </c>
      <c r="O24" s="328">
        <v>-1</v>
      </c>
      <c r="P24" s="505">
        <f t="shared" si="20"/>
        <v>-433.3</v>
      </c>
      <c r="Q24" s="646"/>
      <c r="R24" s="429"/>
      <c r="S24" s="505"/>
      <c r="T24" s="646">
        <v>0</v>
      </c>
      <c r="U24" s="328">
        <v>0</v>
      </c>
      <c r="V24" s="505" t="str">
        <f t="shared" si="21"/>
        <v xml:space="preserve">    ---- </v>
      </c>
      <c r="W24" s="646">
        <v>27</v>
      </c>
      <c r="X24" s="328">
        <v>64</v>
      </c>
      <c r="Y24" s="505">
        <f t="shared" si="22"/>
        <v>137</v>
      </c>
      <c r="Z24" s="646"/>
      <c r="AA24" s="429">
        <v>0</v>
      </c>
      <c r="AB24" s="505" t="str">
        <f t="shared" si="23"/>
        <v xml:space="preserve">    ---- </v>
      </c>
      <c r="AC24" s="646"/>
      <c r="AD24" s="429"/>
      <c r="AE24" s="505"/>
      <c r="AF24" s="646">
        <v>-120.10838437000001</v>
      </c>
      <c r="AG24" s="328">
        <v>0.81771671999999884</v>
      </c>
      <c r="AH24" s="505">
        <f t="shared" si="24"/>
        <v>-100.7</v>
      </c>
      <c r="AI24" s="646">
        <v>-434</v>
      </c>
      <c r="AJ24" s="328">
        <f>21-458</f>
        <v>-437</v>
      </c>
      <c r="AK24" s="505">
        <f t="shared" si="25"/>
        <v>0.7</v>
      </c>
      <c r="AL24" s="328"/>
      <c r="AM24" s="328"/>
      <c r="AN24" s="505"/>
      <c r="AO24" s="505">
        <f t="shared" si="26"/>
        <v>-547.47010526999998</v>
      </c>
      <c r="AP24" s="505">
        <f t="shared" si="27"/>
        <v>-377.11384676</v>
      </c>
      <c r="AQ24" s="505">
        <f t="shared" si="13"/>
        <v>-31.1</v>
      </c>
      <c r="AR24" s="505"/>
      <c r="AS24" s="505"/>
      <c r="AT24" s="505"/>
    </row>
    <row r="25" spans="1:46" s="482" customFormat="1" ht="18.75" customHeight="1" x14ac:dyDescent="0.3">
      <c r="A25" s="503" t="s">
        <v>300</v>
      </c>
      <c r="B25" s="646">
        <v>4.452</v>
      </c>
      <c r="C25" s="328">
        <v>39.731999999999999</v>
      </c>
      <c r="D25" s="505">
        <f t="shared" si="18"/>
        <v>792.5</v>
      </c>
      <c r="E25" s="646">
        <v>1609.3180409000001</v>
      </c>
      <c r="F25" s="328">
        <v>2192.4411228200001</v>
      </c>
      <c r="G25" s="505">
        <f t="shared" si="19"/>
        <v>36.200000000000003</v>
      </c>
      <c r="H25" s="646">
        <v>46.184984669999999</v>
      </c>
      <c r="I25" s="328">
        <v>6</v>
      </c>
      <c r="J25" s="505">
        <f>IF(H25=0, "    ---- ", IF(ABS(ROUND(100/H25*I25-100,1))&lt;999,ROUND(100/H25*I25-100,1),IF(ROUND(100/H25*I25-100,1)&gt;999,999,-999)))</f>
        <v>-87</v>
      </c>
      <c r="K25" s="646"/>
      <c r="L25" s="328"/>
      <c r="M25" s="505"/>
      <c r="N25" s="646">
        <v>-0.7</v>
      </c>
      <c r="O25" s="328">
        <v>11</v>
      </c>
      <c r="P25" s="505">
        <f t="shared" si="20"/>
        <v>-999</v>
      </c>
      <c r="Q25" s="646"/>
      <c r="R25" s="429"/>
      <c r="S25" s="505"/>
      <c r="T25" s="646">
        <v>-1437.84956175</v>
      </c>
      <c r="U25" s="328">
        <v>0</v>
      </c>
      <c r="V25" s="505">
        <f t="shared" si="21"/>
        <v>-100</v>
      </c>
      <c r="W25" s="646">
        <v>-34</v>
      </c>
      <c r="X25" s="328">
        <v>423</v>
      </c>
      <c r="Y25" s="505">
        <f t="shared" si="22"/>
        <v>-999</v>
      </c>
      <c r="Z25" s="646">
        <v>-535</v>
      </c>
      <c r="AA25" s="429">
        <v>0</v>
      </c>
      <c r="AB25" s="505">
        <f t="shared" si="23"/>
        <v>-100</v>
      </c>
      <c r="AC25" s="646"/>
      <c r="AD25" s="429"/>
      <c r="AE25" s="505"/>
      <c r="AF25" s="646">
        <v>132.54795267</v>
      </c>
      <c r="AG25" s="328">
        <v>384.25424446000005</v>
      </c>
      <c r="AH25" s="505">
        <f t="shared" si="24"/>
        <v>189.9</v>
      </c>
      <c r="AI25" s="646">
        <v>1621</v>
      </c>
      <c r="AJ25" s="328">
        <v>3848</v>
      </c>
      <c r="AK25" s="505">
        <f t="shared" si="25"/>
        <v>137.4</v>
      </c>
      <c r="AL25" s="328"/>
      <c r="AM25" s="328"/>
      <c r="AN25" s="505"/>
      <c r="AO25" s="505">
        <f t="shared" si="26"/>
        <v>1405.9534164900001</v>
      </c>
      <c r="AP25" s="505">
        <f t="shared" si="27"/>
        <v>6904.42736728</v>
      </c>
      <c r="AQ25" s="505">
        <f t="shared" si="13"/>
        <v>391.1</v>
      </c>
      <c r="AR25" s="505"/>
      <c r="AS25" s="505"/>
      <c r="AT25" s="505"/>
    </row>
    <row r="26" spans="1:46" s="482" customFormat="1" ht="18.75" customHeight="1" x14ac:dyDescent="0.3">
      <c r="A26" s="503" t="s">
        <v>301</v>
      </c>
      <c r="B26" s="646"/>
      <c r="C26" s="328"/>
      <c r="D26" s="505"/>
      <c r="E26" s="646">
        <v>-2.5769564900000002</v>
      </c>
      <c r="F26" s="328">
        <v>-2.1872284900000003</v>
      </c>
      <c r="G26" s="505">
        <f t="shared" si="19"/>
        <v>-15.1</v>
      </c>
      <c r="H26" s="646"/>
      <c r="I26" s="328"/>
      <c r="J26" s="505"/>
      <c r="K26" s="646"/>
      <c r="L26" s="328"/>
      <c r="M26" s="505"/>
      <c r="N26" s="646">
        <v>1.6</v>
      </c>
      <c r="O26" s="328">
        <v>2</v>
      </c>
      <c r="P26" s="504">
        <f t="shared" si="20"/>
        <v>25</v>
      </c>
      <c r="Q26" s="646"/>
      <c r="R26" s="429"/>
      <c r="S26" s="505"/>
      <c r="T26" s="646">
        <v>-188.96504400000001</v>
      </c>
      <c r="U26" s="328">
        <v>-202.06684200000001</v>
      </c>
      <c r="V26" s="505">
        <f t="shared" si="21"/>
        <v>6.9</v>
      </c>
      <c r="W26" s="646">
        <v>-1</v>
      </c>
      <c r="X26" s="328">
        <v>-1</v>
      </c>
      <c r="Y26" s="505">
        <f t="shared" si="22"/>
        <v>0</v>
      </c>
      <c r="Z26" s="646">
        <v>-26</v>
      </c>
      <c r="AA26" s="429">
        <v>-36</v>
      </c>
      <c r="AB26" s="505">
        <f t="shared" si="23"/>
        <v>38.5</v>
      </c>
      <c r="AC26" s="646"/>
      <c r="AD26" s="429"/>
      <c r="AE26" s="505"/>
      <c r="AF26" s="646">
        <v>-0.89190599999999998</v>
      </c>
      <c r="AG26" s="328">
        <v>-1.540095</v>
      </c>
      <c r="AH26" s="505">
        <f t="shared" si="24"/>
        <v>72.7</v>
      </c>
      <c r="AI26" s="646">
        <v>-1</v>
      </c>
      <c r="AJ26" s="328">
        <v>0</v>
      </c>
      <c r="AK26" s="505">
        <f t="shared" si="25"/>
        <v>-100</v>
      </c>
      <c r="AL26" s="328"/>
      <c r="AM26" s="328"/>
      <c r="AN26" s="505"/>
      <c r="AO26" s="505">
        <f t="shared" si="26"/>
        <v>-218.83390649</v>
      </c>
      <c r="AP26" s="505">
        <f t="shared" si="27"/>
        <v>-240.79416549000001</v>
      </c>
      <c r="AQ26" s="505">
        <f t="shared" si="13"/>
        <v>10</v>
      </c>
      <c r="AR26" s="505"/>
      <c r="AS26" s="505"/>
      <c r="AT26" s="505"/>
    </row>
    <row r="27" spans="1:46" s="482" customFormat="1" ht="18.75" customHeight="1" x14ac:dyDescent="0.3">
      <c r="A27" s="503" t="s">
        <v>302</v>
      </c>
      <c r="B27" s="646">
        <v>1.3879999999999999</v>
      </c>
      <c r="C27" s="328">
        <v>6.7000000000000004E-2</v>
      </c>
      <c r="D27" s="505">
        <f t="shared" si="18"/>
        <v>-95.2</v>
      </c>
      <c r="E27" s="646">
        <v>-311.53329618999999</v>
      </c>
      <c r="F27" s="328">
        <v>-494.53367193000003</v>
      </c>
      <c r="G27" s="505">
        <f t="shared" si="19"/>
        <v>58.7</v>
      </c>
      <c r="H27" s="646"/>
      <c r="I27" s="328"/>
      <c r="J27" s="505"/>
      <c r="K27" s="646">
        <v>-2.548</v>
      </c>
      <c r="L27" s="328">
        <v>-1.4339999999999999</v>
      </c>
      <c r="M27" s="505">
        <f>IF(K27=0, "    ---- ", IF(ABS(ROUND(100/K27*L27-100,1))&lt;999,ROUND(100/K27*L27-100,1),IF(ROUND(100/K27*L27-100,1)&gt;999,999,-999)))</f>
        <v>-43.7</v>
      </c>
      <c r="N27" s="646"/>
      <c r="O27" s="328"/>
      <c r="P27" s="505"/>
      <c r="Q27" s="646"/>
      <c r="R27" s="429"/>
      <c r="S27" s="505"/>
      <c r="T27" s="646"/>
      <c r="U27" s="328"/>
      <c r="V27" s="505"/>
      <c r="W27" s="646">
        <v>0</v>
      </c>
      <c r="X27" s="328">
        <v>0</v>
      </c>
      <c r="Y27" s="505" t="str">
        <f t="shared" si="22"/>
        <v xml:space="preserve">    ---- </v>
      </c>
      <c r="Z27" s="646">
        <v>-2</v>
      </c>
      <c r="AA27" s="429">
        <v>-14</v>
      </c>
      <c r="AB27" s="505">
        <f t="shared" si="23"/>
        <v>600</v>
      </c>
      <c r="AC27" s="646"/>
      <c r="AD27" s="429"/>
      <c r="AE27" s="505"/>
      <c r="AF27" s="646">
        <v>0</v>
      </c>
      <c r="AG27" s="328">
        <v>0</v>
      </c>
      <c r="AH27" s="505" t="str">
        <f t="shared" si="24"/>
        <v xml:space="preserve">    ---- </v>
      </c>
      <c r="AI27" s="646">
        <v>-8</v>
      </c>
      <c r="AJ27" s="328">
        <v>-51</v>
      </c>
      <c r="AK27" s="505">
        <f t="shared" si="25"/>
        <v>537.5</v>
      </c>
      <c r="AL27" s="328"/>
      <c r="AM27" s="328"/>
      <c r="AN27" s="505"/>
      <c r="AO27" s="505">
        <f t="shared" si="26"/>
        <v>-322.69329619000001</v>
      </c>
      <c r="AP27" s="505">
        <f t="shared" si="27"/>
        <v>-560.90067193000004</v>
      </c>
      <c r="AQ27" s="505">
        <f t="shared" si="13"/>
        <v>73.8</v>
      </c>
      <c r="AR27" s="505"/>
      <c r="AS27" s="505"/>
      <c r="AT27" s="505"/>
    </row>
    <row r="28" spans="1:46" s="482" customFormat="1" ht="18.75" customHeight="1" x14ac:dyDescent="0.3">
      <c r="A28" s="503" t="s">
        <v>303</v>
      </c>
      <c r="B28" s="646"/>
      <c r="C28" s="328"/>
      <c r="D28" s="505"/>
      <c r="E28" s="646">
        <v>21.23</v>
      </c>
      <c r="F28" s="328">
        <v>4.8965791300000001</v>
      </c>
      <c r="G28" s="505">
        <f t="shared" si="19"/>
        <v>-76.900000000000006</v>
      </c>
      <c r="H28" s="646"/>
      <c r="I28" s="328"/>
      <c r="J28" s="505"/>
      <c r="K28" s="646"/>
      <c r="L28" s="328"/>
      <c r="M28" s="505"/>
      <c r="N28" s="646"/>
      <c r="O28" s="328"/>
      <c r="P28" s="505"/>
      <c r="Q28" s="646"/>
      <c r="R28" s="429"/>
      <c r="S28" s="505"/>
      <c r="T28" s="646">
        <v>0</v>
      </c>
      <c r="U28" s="328">
        <v>7911.3959759999998</v>
      </c>
      <c r="V28" s="505" t="str">
        <f t="shared" si="21"/>
        <v xml:space="preserve">    ---- </v>
      </c>
      <c r="W28" s="646">
        <v>1</v>
      </c>
      <c r="X28" s="328">
        <v>1</v>
      </c>
      <c r="Y28" s="505">
        <f t="shared" si="22"/>
        <v>0</v>
      </c>
      <c r="Z28" s="646"/>
      <c r="AA28" s="429"/>
      <c r="AB28" s="505"/>
      <c r="AC28" s="646"/>
      <c r="AD28" s="429"/>
      <c r="AE28" s="505"/>
      <c r="AF28" s="646">
        <v>0</v>
      </c>
      <c r="AG28" s="328">
        <v>1.552047</v>
      </c>
      <c r="AH28" s="505" t="str">
        <f t="shared" si="24"/>
        <v xml:space="preserve">    ---- </v>
      </c>
      <c r="AI28" s="646">
        <v>445</v>
      </c>
      <c r="AJ28" s="328">
        <f>757</f>
        <v>757</v>
      </c>
      <c r="AK28" s="505">
        <f t="shared" si="25"/>
        <v>70.099999999999994</v>
      </c>
      <c r="AL28" s="328"/>
      <c r="AM28" s="328"/>
      <c r="AN28" s="505"/>
      <c r="AO28" s="505">
        <f t="shared" si="26"/>
        <v>467.23</v>
      </c>
      <c r="AP28" s="505">
        <f t="shared" si="27"/>
        <v>8675.8446021300006</v>
      </c>
      <c r="AQ28" s="505">
        <f t="shared" si="13"/>
        <v>999</v>
      </c>
      <c r="AR28" s="505"/>
      <c r="AS28" s="505"/>
      <c r="AT28" s="505"/>
    </row>
    <row r="29" spans="1:46" s="482" customFormat="1" ht="18.75" customHeight="1" x14ac:dyDescent="0.3">
      <c r="A29" s="503" t="s">
        <v>304</v>
      </c>
      <c r="B29" s="646">
        <f>SUM(B23:B28)</f>
        <v>-12.699000000000002</v>
      </c>
      <c r="C29" s="328">
        <f>SUM(C23:C28)</f>
        <v>29.792000000000002</v>
      </c>
      <c r="D29" s="505">
        <f t="shared" si="18"/>
        <v>-334.6</v>
      </c>
      <c r="E29" s="646">
        <f>SUM(E23:E28)</f>
        <v>1592.3802882800001</v>
      </c>
      <c r="F29" s="328">
        <f>SUM(F23:F28)</f>
        <v>2726.5579811900006</v>
      </c>
      <c r="G29" s="505">
        <f t="shared" si="19"/>
        <v>71.2</v>
      </c>
      <c r="H29" s="646">
        <f>SUM(H23:H28)</f>
        <v>-191.70742149000063</v>
      </c>
      <c r="I29" s="328">
        <f>SUM(I23:I28)</f>
        <v>-260.9219162900003</v>
      </c>
      <c r="J29" s="505">
        <f>IF(H29=0, "    ---- ", IF(ABS(ROUND(100/H29*I29-100,1))&lt;999,ROUND(100/H29*I29-100,1),IF(ROUND(100/H29*I29-100,1)&gt;999,999,-999)))</f>
        <v>36.1</v>
      </c>
      <c r="K29" s="646">
        <f>SUM(K23:K28)</f>
        <v>-491.887</v>
      </c>
      <c r="L29" s="328">
        <f>SUM(L23:L28)</f>
        <v>-506.43600000000004</v>
      </c>
      <c r="M29" s="505">
        <f>IF(K29=0, "    ---- ", IF(ABS(ROUND(100/K29*L29-100,1))&lt;999,ROUND(100/K29*L29-100,1),IF(ROUND(100/K29*L29-100,1)&gt;999,999,-999)))</f>
        <v>3</v>
      </c>
      <c r="N29" s="646">
        <f>SUM(N23:N28)</f>
        <v>-163.1</v>
      </c>
      <c r="O29" s="328">
        <f>SUM(O23:O28)</f>
        <v>-185</v>
      </c>
      <c r="P29" s="505">
        <f t="shared" si="20"/>
        <v>13.4</v>
      </c>
      <c r="Q29" s="646">
        <f>SUM(Q23:Q28)</f>
        <v>5.3560540000000003</v>
      </c>
      <c r="R29" s="429">
        <f>SUM(R23:R28)</f>
        <v>1.324443</v>
      </c>
      <c r="S29" s="505">
        <f>IF(Q29=0, "    ---- ", IF(ABS(ROUND(100/Q29*R29-100,1))&lt;999,ROUND(100/Q29*R29-100,1),IF(ROUND(100/Q29*R29-100,1)&gt;999,999,-999)))</f>
        <v>-75.3</v>
      </c>
      <c r="T29" s="646">
        <v>3173.6798002499995</v>
      </c>
      <c r="U29" s="328">
        <v>9329.5353161799994</v>
      </c>
      <c r="V29" s="505">
        <f t="shared" si="21"/>
        <v>194</v>
      </c>
      <c r="W29" s="646">
        <f>SUM(W23:W28)</f>
        <v>-277.10000000000002</v>
      </c>
      <c r="X29" s="328">
        <f>SUM(X23:X28)</f>
        <v>194.20999999999998</v>
      </c>
      <c r="Y29" s="505">
        <f t="shared" si="22"/>
        <v>-170.1</v>
      </c>
      <c r="Z29" s="646">
        <f>SUM(Z23:Z28)</f>
        <v>-943</v>
      </c>
      <c r="AA29" s="429">
        <f>SUM(AA23:AA28)</f>
        <v>-617</v>
      </c>
      <c r="AB29" s="505">
        <f t="shared" si="23"/>
        <v>-34.6</v>
      </c>
      <c r="AC29" s="646">
        <f>SUM(AC23:AC28)</f>
        <v>0</v>
      </c>
      <c r="AD29" s="429">
        <f>SUM(AD23:AD28)</f>
        <v>0</v>
      </c>
      <c r="AE29" s="505" t="str">
        <f>IF(AC29=0, "    ---- ", IF(ABS(ROUND(100/AC29*AD29-100,1))&lt;999,ROUND(100/AC29*AD29-100,1),IF(ROUND(100/AC29*AD29-100,1)&gt;999,999,-999)))</f>
        <v xml:space="preserve">    ---- </v>
      </c>
      <c r="AF29" s="646">
        <f>SUM(AF23:AF28)</f>
        <v>-187.30326469000002</v>
      </c>
      <c r="AG29" s="328">
        <f>SUM(AG23:AG28)</f>
        <v>488.45817504999997</v>
      </c>
      <c r="AH29" s="505">
        <f t="shared" si="24"/>
        <v>-360.8</v>
      </c>
      <c r="AI29" s="646">
        <f>SUM(AI23:AI28)</f>
        <v>-5735</v>
      </c>
      <c r="AJ29" s="328">
        <f>SUM(AJ23:AJ28)</f>
        <v>391</v>
      </c>
      <c r="AK29" s="505">
        <f t="shared" si="25"/>
        <v>-106.8</v>
      </c>
      <c r="AL29" s="328"/>
      <c r="AM29" s="328">
        <f>SUM(AM23:AM28)</f>
        <v>-1</v>
      </c>
      <c r="AN29" s="505" t="str">
        <f t="shared" si="11"/>
        <v xml:space="preserve">    ---- </v>
      </c>
      <c r="AO29" s="505">
        <f t="shared" si="26"/>
        <v>-3235.7365976500009</v>
      </c>
      <c r="AP29" s="505">
        <f t="shared" si="27"/>
        <v>11589.195556129998</v>
      </c>
      <c r="AQ29" s="505">
        <f t="shared" si="13"/>
        <v>-458.2</v>
      </c>
      <c r="AR29" s="505"/>
      <c r="AS29" s="505"/>
      <c r="AT29" s="505"/>
    </row>
    <row r="30" spans="1:46" s="482" customFormat="1" ht="18.75" customHeight="1" x14ac:dyDescent="0.3">
      <c r="A30" s="503" t="s">
        <v>305</v>
      </c>
      <c r="B30" s="646">
        <v>-1097.519</v>
      </c>
      <c r="C30" s="328">
        <v>997.65200000000004</v>
      </c>
      <c r="D30" s="505">
        <f>IF(B30=0, "    ---- ", IF(ABS(ROUND(100/B30*C30-100,1))&lt;999,ROUND(100/B30*C30-100,1),IF(ROUND(100/B30*C30-100,1)&gt;999,999,-999)))</f>
        <v>-190.9</v>
      </c>
      <c r="E30" s="646">
        <v>-5887.6430225599997</v>
      </c>
      <c r="F30" s="328">
        <v>2087.1448143500002</v>
      </c>
      <c r="G30" s="505">
        <f>IF(E30=0, "    ---- ", IF(ABS(ROUND(100/E30*F30-100,1))&lt;999,ROUND(100/E30*F30-100,1),IF(ROUND(100/E30*F30-100,1)&gt;999,999,-999)))</f>
        <v>-135.4</v>
      </c>
      <c r="H30" s="646"/>
      <c r="I30" s="328"/>
      <c r="J30" s="505"/>
      <c r="K30" s="646"/>
      <c r="L30" s="328"/>
      <c r="M30" s="505"/>
      <c r="N30" s="646">
        <v>-1631.7</v>
      </c>
      <c r="O30" s="328">
        <v>470</v>
      </c>
      <c r="P30" s="505">
        <f t="shared" si="20"/>
        <v>-128.80000000000001</v>
      </c>
      <c r="Q30" s="646"/>
      <c r="R30" s="429"/>
      <c r="S30" s="505"/>
      <c r="T30" s="646">
        <v>3.0654560000000002</v>
      </c>
      <c r="U30" s="328">
        <v>-756.38638500000002</v>
      </c>
      <c r="V30" s="505">
        <f t="shared" si="21"/>
        <v>-999</v>
      </c>
      <c r="W30" s="646">
        <v>-6684.29</v>
      </c>
      <c r="X30" s="328">
        <v>2857.19</v>
      </c>
      <c r="Y30" s="505">
        <f>IF(W30=0, "    ---- ", IF(ABS(ROUND(100/W30*X30-100,1))&lt;999,ROUND(100/W30*X30-100,1),IF(ROUND(100/W30*X30-100,1)&gt;999,999,-999)))</f>
        <v>-142.69999999999999</v>
      </c>
      <c r="Z30" s="646"/>
      <c r="AA30" s="429"/>
      <c r="AB30" s="505"/>
      <c r="AC30" s="646">
        <v>-119.53727236</v>
      </c>
      <c r="AD30" s="429">
        <v>281.31943143000001</v>
      </c>
      <c r="AE30" s="505">
        <f>IF(AC30=0, "    ---- ", IF(ABS(ROUND(100/AC30*AD30-100,1))&lt;999,ROUND(100/AC30*AD30-100,1),IF(ROUND(100/AC30*AD30-100,1)&gt;999,999,-999)))</f>
        <v>-335.3</v>
      </c>
      <c r="AF30" s="646">
        <v>-3567.1634894900012</v>
      </c>
      <c r="AG30" s="328">
        <v>779.70267668000008</v>
      </c>
      <c r="AH30" s="505">
        <f>IF(AF30=0, "    ---- ", IF(ABS(ROUND(100/AF30*AG30-100,1))&lt;999,ROUND(100/AF30*AG30-100,1),IF(ROUND(100/AF30*AG30-100,1)&gt;999,999,-999)))</f>
        <v>-121.9</v>
      </c>
      <c r="AI30" s="646">
        <v>-7261</v>
      </c>
      <c r="AJ30" s="328">
        <v>3690</v>
      </c>
      <c r="AK30" s="505">
        <f>IF(AI30=0, "    ---- ", IF(ABS(ROUND(100/AI30*AJ30-100,1))&lt;999,ROUND(100/AI30*AJ30-100,1),IF(ROUND(100/AI30*AJ30-100,1)&gt;999,999,-999)))</f>
        <v>-150.80000000000001</v>
      </c>
      <c r="AL30" s="328"/>
      <c r="AM30" s="328"/>
      <c r="AN30" s="505"/>
      <c r="AO30" s="505">
        <f t="shared" si="26"/>
        <v>-26126.250056050001</v>
      </c>
      <c r="AP30" s="505">
        <f t="shared" si="27"/>
        <v>10125.303106030002</v>
      </c>
      <c r="AQ30" s="505">
        <f t="shared" si="13"/>
        <v>-138.80000000000001</v>
      </c>
      <c r="AR30" s="505"/>
      <c r="AS30" s="505"/>
      <c r="AT30" s="505"/>
    </row>
    <row r="31" spans="1:46" s="482" customFormat="1" ht="18.75" customHeight="1" x14ac:dyDescent="0.3">
      <c r="A31" s="503" t="s">
        <v>306</v>
      </c>
      <c r="B31" s="646"/>
      <c r="C31" s="328"/>
      <c r="D31" s="505"/>
      <c r="E31" s="646">
        <v>-1743.8234192899999</v>
      </c>
      <c r="F31" s="328">
        <v>-360.35403538000003</v>
      </c>
      <c r="G31" s="505">
        <f>IF(E31=0, "    ---- ", IF(ABS(ROUND(100/E31*F31-100,1))&lt;999,ROUND(100/E31*F31-100,1),IF(ROUND(100/E31*F31-100,1)&gt;999,999,-999)))</f>
        <v>-79.3</v>
      </c>
      <c r="H31" s="646"/>
      <c r="I31" s="328"/>
      <c r="J31" s="505"/>
      <c r="K31" s="646"/>
      <c r="L31" s="328"/>
      <c r="M31" s="505"/>
      <c r="N31" s="646">
        <v>-14.4</v>
      </c>
      <c r="O31" s="328">
        <v>-19</v>
      </c>
      <c r="P31" s="505">
        <f t="shared" si="20"/>
        <v>31.9</v>
      </c>
      <c r="Q31" s="646"/>
      <c r="R31" s="429"/>
      <c r="S31" s="505"/>
      <c r="T31" s="646">
        <v>0</v>
      </c>
      <c r="U31" s="328">
        <v>-104.88882</v>
      </c>
      <c r="V31" s="505" t="str">
        <f>IF(T31=0, "    ---- ", IF(ABS(ROUND(100/T31*U31-100,1))&lt;999,ROUND(100/T31*U31-100,1),IF(ROUND(100/T31*U31-100,1)&gt;999,999,-999)))</f>
        <v xml:space="preserve">    ---- </v>
      </c>
      <c r="W31" s="646">
        <v>-893.12</v>
      </c>
      <c r="X31" s="328">
        <v>-426.78</v>
      </c>
      <c r="Y31" s="505">
        <f>IF(W31=0, "    ---- ", IF(ABS(ROUND(100/W31*X31-100,1))&lt;999,ROUND(100/W31*X31-100,1),IF(ROUND(100/W31*X31-100,1)&gt;999,999,-999)))</f>
        <v>-52.2</v>
      </c>
      <c r="Z31" s="646">
        <v>-2218</v>
      </c>
      <c r="AA31" s="429">
        <f>-28948+8555+21261</f>
        <v>868</v>
      </c>
      <c r="AB31" s="505">
        <f>IF(Z31=0, "    ---- ", IF(ABS(ROUND(100/Z31*AA31-100,1))&lt;999,ROUND(100/Z31*AA31-100,1),IF(ROUND(100/Z31*AA31-100,1)&gt;999,999,-999)))</f>
        <v>-139.1</v>
      </c>
      <c r="AC31" s="646"/>
      <c r="AD31" s="429"/>
      <c r="AE31" s="505"/>
      <c r="AF31" s="646">
        <v>-131.45932286999999</v>
      </c>
      <c r="AG31" s="328">
        <v>-205.00802603</v>
      </c>
      <c r="AH31" s="505">
        <f>IF(AF31=0, "    ---- ", IF(ABS(ROUND(100/AF31*AG31-100,1))&lt;999,ROUND(100/AF31*AG31-100,1),IF(ROUND(100/AF31*AG31-100,1)&gt;999,999,-999)))</f>
        <v>55.9</v>
      </c>
      <c r="AI31" s="646">
        <v>-345</v>
      </c>
      <c r="AJ31" s="328">
        <v>-83</v>
      </c>
      <c r="AK31" s="505">
        <f>IF(AI31=0, "    ---- ", IF(ABS(ROUND(100/AI31*AJ31-100,1))&lt;999,ROUND(100/AI31*AJ31-100,1),IF(ROUND(100/AI31*AJ31-100,1)&gt;999,999,-999)))</f>
        <v>-75.900000000000006</v>
      </c>
      <c r="AL31" s="328"/>
      <c r="AM31" s="328"/>
      <c r="AN31" s="505"/>
      <c r="AO31" s="505">
        <f t="shared" si="26"/>
        <v>-5345.80274216</v>
      </c>
      <c r="AP31" s="505">
        <f t="shared" si="27"/>
        <v>-331.03088141000001</v>
      </c>
      <c r="AQ31" s="505">
        <f t="shared" si="13"/>
        <v>-93.8</v>
      </c>
      <c r="AR31" s="505"/>
      <c r="AS31" s="505"/>
      <c r="AT31" s="505"/>
    </row>
    <row r="32" spans="1:46" s="482" customFormat="1" ht="18.75" customHeight="1" x14ac:dyDescent="0.3">
      <c r="A32" s="503" t="s">
        <v>307</v>
      </c>
      <c r="B32" s="646">
        <v>-52.658999999999999</v>
      </c>
      <c r="C32" s="328">
        <v>-53.470999999999997</v>
      </c>
      <c r="D32" s="505">
        <f>IF(B32=0, "    ---- ", IF(ABS(ROUND(100/B32*C32-100,1))&lt;999,ROUND(100/B32*C32-100,1),IF(ROUND(100/B32*C32-100,1)&gt;999,999,-999)))</f>
        <v>1.5</v>
      </c>
      <c r="E32" s="646">
        <v>-272.07860531</v>
      </c>
      <c r="F32" s="328">
        <v>-307.08357636000005</v>
      </c>
      <c r="G32" s="505">
        <f>IF(E32=0, "    ---- ", IF(ABS(ROUND(100/E32*F32-100,1))&lt;999,ROUND(100/E32*F32-100,1),IF(ROUND(100/E32*F32-100,1)&gt;999,999,-999)))</f>
        <v>12.9</v>
      </c>
      <c r="H32" s="646">
        <v>-209.87416355999997</v>
      </c>
      <c r="I32" s="328">
        <v>-215.39181605000002</v>
      </c>
      <c r="J32" s="505">
        <f>IF(H32=0, "    ---- ", IF(ABS(ROUND(100/H32*I32-100,1))&lt;999,ROUND(100/H32*I32-100,1),IF(ROUND(100/H32*I32-100,1)&gt;999,999,-999)))</f>
        <v>2.6</v>
      </c>
      <c r="K32" s="646">
        <v>-55.863</v>
      </c>
      <c r="L32" s="328">
        <v>-64.591999999999999</v>
      </c>
      <c r="M32" s="505">
        <f>IF(K32=0, "    ---- ", IF(ABS(ROUND(100/K32*L32-100,1))&lt;999,ROUND(100/K32*L32-100,1),IF(ROUND(100/K32*L32-100,1)&gt;999,999,-999)))</f>
        <v>15.6</v>
      </c>
      <c r="N32" s="646">
        <v>-74.400000000000006</v>
      </c>
      <c r="O32" s="328">
        <v>-77</v>
      </c>
      <c r="P32" s="505">
        <f>IF(N32=0, "    ---- ", IF(ABS(ROUND(100/N32*O32-100,1))&lt;999,ROUND(100/N32*O32-100,1),IF(ROUND(100/N32*O32-100,1)&gt;999,999,-999)))</f>
        <v>3.5</v>
      </c>
      <c r="Q32" s="646">
        <v>-2.54462214</v>
      </c>
      <c r="R32" s="429">
        <v>-2.824859</v>
      </c>
      <c r="S32" s="505">
        <f>IF(Q32=0, "    ---- ", IF(ABS(ROUND(100/Q32*R32-100,1))&lt;999,ROUND(100/Q32*R32-100,1),IF(ROUND(100/Q32*R32-100,1)&gt;999,999,-999)))</f>
        <v>11</v>
      </c>
      <c r="T32" s="646">
        <v>-298.68409070000001</v>
      </c>
      <c r="U32" s="328">
        <v>-367.66429635000003</v>
      </c>
      <c r="V32" s="505">
        <f>IF(T32=0, "    ---- ", IF(ABS(ROUND(100/T32*U32-100,1))&lt;999,ROUND(100/T32*U32-100,1),IF(ROUND(100/T32*U32-100,1)&gt;999,999,-999)))</f>
        <v>23.1</v>
      </c>
      <c r="W32" s="646">
        <v>-177.72</v>
      </c>
      <c r="X32" s="328">
        <v>-195.12</v>
      </c>
      <c r="Y32" s="505">
        <f>IF(W32=0, "    ---- ", IF(ABS(ROUND(100/W32*X32-100,1))&lt;999,ROUND(100/W32*X32-100,1),IF(ROUND(100/W32*X32-100,1)&gt;999,999,-999)))</f>
        <v>9.8000000000000007</v>
      </c>
      <c r="Z32" s="646"/>
      <c r="AA32" s="328"/>
      <c r="AB32" s="505"/>
      <c r="AC32" s="646">
        <v>1.8805163899999999</v>
      </c>
      <c r="AD32" s="429">
        <v>11.272140050000001</v>
      </c>
      <c r="AE32" s="505">
        <f>IF(AC32=0, "    ---- ", IF(ABS(ROUND(100/AC32*AD32-100,1))&lt;999,ROUND(100/AC32*AD32-100,1),IF(ROUND(100/AC32*AD32-100,1)&gt;999,999,-999)))</f>
        <v>499.4</v>
      </c>
      <c r="AF32" s="646">
        <v>-168.77801501999991</v>
      </c>
      <c r="AG32" s="328">
        <v>-184.7810882794</v>
      </c>
      <c r="AH32" s="505">
        <f>IF(AF32=0, "    ---- ", IF(ABS(ROUND(100/AF32*AG32-100,1))&lt;999,ROUND(100/AF32*AG32-100,1),IF(ROUND(100/AF32*AG32-100,1)&gt;999,999,-999)))</f>
        <v>9.5</v>
      </c>
      <c r="AI32" s="646">
        <v>-323</v>
      </c>
      <c r="AJ32" s="328">
        <v>-357</v>
      </c>
      <c r="AK32" s="505">
        <f>IF(AI32=0, "    ---- ", IF(ABS(ROUND(100/AI32*AJ32-100,1))&lt;999,ROUND(100/AI32*AJ32-100,1),IF(ROUND(100/AI32*AJ32-100,1)&gt;999,999,-999)))</f>
        <v>10.5</v>
      </c>
      <c r="AL32" s="328"/>
      <c r="AM32" s="328">
        <v>-7</v>
      </c>
      <c r="AN32" s="505" t="str">
        <f>IF(AL32=0, "    ---- ", IF(ABS(ROUND(100/AL32*AM32-100,1))&lt;999,ROUND(100/AL32*AM32-100,1),IF(ROUND(100/AL32*AM32-100,1)&gt;999,999,-999)))</f>
        <v xml:space="preserve">    ---- </v>
      </c>
      <c r="AO32" s="505">
        <f t="shared" si="26"/>
        <v>-1633.0568745899998</v>
      </c>
      <c r="AP32" s="505">
        <f t="shared" si="27"/>
        <v>-1829.1037770393998</v>
      </c>
      <c r="AQ32" s="505">
        <f t="shared" si="13"/>
        <v>12</v>
      </c>
      <c r="AR32" s="505"/>
      <c r="AS32" s="505"/>
      <c r="AT32" s="505"/>
    </row>
    <row r="33" spans="1:46" s="516" customFormat="1" ht="18.75" customHeight="1" x14ac:dyDescent="0.3">
      <c r="A33" s="503" t="s">
        <v>308</v>
      </c>
      <c r="B33" s="192"/>
      <c r="C33" s="432"/>
      <c r="D33" s="508"/>
      <c r="E33" s="192">
        <v>-32.473955279999998</v>
      </c>
      <c r="F33" s="432">
        <v>4.2267120999999994</v>
      </c>
      <c r="G33" s="508">
        <f>IF(E33=0, "    ---- ", IF(ABS(ROUND(100/E33*F33-100,1))&lt;999,ROUND(100/E33*F33-100,1),IF(ROUND(100/E33*F33-100,1)&gt;999,999,-999)))</f>
        <v>-113</v>
      </c>
      <c r="H33" s="192">
        <v>-24.21155353</v>
      </c>
      <c r="I33" s="432">
        <v>-3.748866</v>
      </c>
      <c r="J33" s="505">
        <f>IF(H33=0, "    ---- ", IF(ABS(ROUND(100/H33*I33-100,1))&lt;999,ROUND(100/H33*I33-100,1),IF(ROUND(100/H33*I33-100,1)&gt;999,999,-999)))</f>
        <v>-84.5</v>
      </c>
      <c r="K33" s="192"/>
      <c r="L33" s="432"/>
      <c r="M33" s="508"/>
      <c r="N33" s="192"/>
      <c r="O33" s="432"/>
      <c r="P33" s="508"/>
      <c r="Q33" s="192"/>
      <c r="R33" s="429"/>
      <c r="S33" s="508"/>
      <c r="T33" s="192">
        <v>-300.32050199999998</v>
      </c>
      <c r="U33" s="432">
        <v>-330.80192699999998</v>
      </c>
      <c r="V33" s="508">
        <f>IF(T33=0, "    ---- ", IF(ABS(ROUND(100/T33*U33-100,1))&lt;999,ROUND(100/T33*U33-100,1),IF(ROUND(100/T33*U33-100,1)&gt;999,999,-999)))</f>
        <v>10.1</v>
      </c>
      <c r="W33" s="192">
        <v>-13.235226750000001</v>
      </c>
      <c r="X33" s="432">
        <v>-5.9300295700000003</v>
      </c>
      <c r="Y33" s="508">
        <f>IF(W33=0, "    ---- ", IF(ABS(ROUND(100/W33*X33-100,1))&lt;999,ROUND(100/W33*X33-100,1),IF(ROUND(100/W33*X33-100,1)&gt;999,999,-999)))</f>
        <v>-55.2</v>
      </c>
      <c r="Z33" s="192">
        <f>-59+1</f>
        <v>-58</v>
      </c>
      <c r="AA33" s="432">
        <v>-69</v>
      </c>
      <c r="AB33" s="505">
        <f t="shared" ref="AB33" si="28">IF(Z33=0, "    ---- ", IF(ABS(ROUND(100/Z33*AA33-100,1))&lt;999,ROUND(100/Z33*AA33-100,1),IF(ROUND(100/Z33*AA33-100,1)&gt;999,999,-999)))</f>
        <v>19</v>
      </c>
      <c r="AC33" s="192"/>
      <c r="AD33" s="429"/>
      <c r="AE33" s="508"/>
      <c r="AF33" s="192">
        <v>-9.2992399999999989E-2</v>
      </c>
      <c r="AG33" s="432">
        <v>-0.27183763</v>
      </c>
      <c r="AH33" s="508">
        <f>IF(AF33=0, "    ---- ", IF(ABS(ROUND(100/AF33*AG33-100,1))&lt;999,ROUND(100/AF33*AG33-100,1),IF(ROUND(100/AF33*AG33-100,1)&gt;999,999,-999)))</f>
        <v>192.3</v>
      </c>
      <c r="AI33" s="192">
        <v>-32</v>
      </c>
      <c r="AJ33" s="432">
        <v>-36</v>
      </c>
      <c r="AK33" s="508">
        <f>IF(AI33=0, "    ---- ", IF(ABS(ROUND(100/AI33*AJ33-100,1))&lt;999,ROUND(100/AI33*AJ33-100,1),IF(ROUND(100/AI33*AJ33-100,1)&gt;999,999,-999)))</f>
        <v>12.5</v>
      </c>
      <c r="AL33" s="432"/>
      <c r="AM33" s="432"/>
      <c r="AN33" s="508"/>
      <c r="AO33" s="505">
        <f t="shared" si="26"/>
        <v>-460.33422995999996</v>
      </c>
      <c r="AP33" s="505">
        <f t="shared" si="27"/>
        <v>-441.52594809999994</v>
      </c>
      <c r="AQ33" s="508">
        <f t="shared" si="13"/>
        <v>-4.0999999999999996</v>
      </c>
      <c r="AR33" s="508"/>
      <c r="AS33" s="508"/>
      <c r="AT33" s="508"/>
    </row>
    <row r="34" spans="1:46" s="519" customFormat="1" ht="18.75" customHeight="1" x14ac:dyDescent="0.3">
      <c r="A34" s="517" t="s">
        <v>309</v>
      </c>
      <c r="B34" s="195">
        <f>SUM(B14+B15+B16+B17+B21+B29+B30+B31+B32+B33)</f>
        <v>35.836000000000119</v>
      </c>
      <c r="C34" s="438">
        <f>SUM(C14+C15+C16+C17+C21+C29+C30+C31+C32+C33)</f>
        <v>34.417000000000264</v>
      </c>
      <c r="D34" s="518">
        <f>IF(B34=0, "    ---- ", IF(ABS(ROUND(100/B34*C34-100,1))&lt;999,ROUND(100/B34*C34-100,1),IF(ROUND(100/B34*C34-100,1)&gt;999,999,-999)))</f>
        <v>-4</v>
      </c>
      <c r="E34" s="195">
        <f>SUM(E14+E15+E16+E17+E21+E29+E30+E31+E32+E33)</f>
        <v>284.08035091999795</v>
      </c>
      <c r="F34" s="438">
        <f>SUM(F14+F15+F16+F17+F21+F29+F30+F31+F32+F33)</f>
        <v>231.8882319400019</v>
      </c>
      <c r="G34" s="518">
        <f>IF(E34=0, "    ---- ", IF(ABS(ROUND(100/E34*F34-100,1))&lt;999,ROUND(100/E34*F34-100,1),IF(ROUND(100/E34*F34-100,1)&gt;999,999,-999)))</f>
        <v>-18.399999999999999</v>
      </c>
      <c r="H34" s="195">
        <f>SUM(H14+H15+H16+H17+H21+H29+H30+H31+H32+H33)</f>
        <v>211.6737030699995</v>
      </c>
      <c r="I34" s="438">
        <f>SUM(I14+I15+I16+I17+I21+I29+I30+I31+I32+I33)</f>
        <v>36.30881134999975</v>
      </c>
      <c r="J34" s="518">
        <f>IF(H34=0, "    ---- ", IF(ABS(ROUND(100/H34*I34-100,1))&lt;999,ROUND(100/H34*I34-100,1),IF(ROUND(100/H34*I34-100,1)&gt;999,999,-999)))</f>
        <v>-82.8</v>
      </c>
      <c r="K34" s="195">
        <f>SUM(K14+K15+K16+K17+K21+K29+K30+K31+K32+K33)</f>
        <v>-4.47199999999998</v>
      </c>
      <c r="L34" s="438">
        <f>SUM(L14+L15+L16+L17+L21+L29+L30+L31+L32+L33)</f>
        <v>-17.619999999999905</v>
      </c>
      <c r="M34" s="518">
        <f>IF(K34=0, "    ---- ", IF(ABS(ROUND(100/K34*L34-100,1))&lt;999,ROUND(100/K34*L34-100,1),IF(ROUND(100/K34*L34-100,1)&gt;999,999,-999)))</f>
        <v>294</v>
      </c>
      <c r="N34" s="195">
        <f>SUM(N14+N15+N16+N17+N21+N29+N30+N31+N32+N33)</f>
        <v>45.900000000000944</v>
      </c>
      <c r="O34" s="438">
        <f>SUM(O14+O15+O16+O17+O21+O29+O30+O31+O32+O33)</f>
        <v>53</v>
      </c>
      <c r="P34" s="518">
        <f>IF(N34=0, "    ---- ", IF(ABS(ROUND(100/N34*O34-100,1))&lt;999,ROUND(100/N34*O34-100,1),IF(ROUND(100/N34*O34-100,1)&gt;999,999,-999)))</f>
        <v>15.5</v>
      </c>
      <c r="Q34" s="195">
        <f>SUM(Q14+Q15+Q16+Q17+Q21+Q29+Q30+Q31+Q32+Q33)</f>
        <v>6.4001156199999993</v>
      </c>
      <c r="R34" s="438">
        <f>SUM(R14+R15+R16+R17+R21+R29+R30+R31+R32+R33)</f>
        <v>2.052710900000001</v>
      </c>
      <c r="S34" s="518">
        <f>IF(Q34=0, "    ---- ", IF(ABS(ROUND(100/Q34*R34-100,1))&lt;999,ROUND(100/Q34*R34-100,1),IF(ROUND(100/Q34*R34-100,1)&gt;999,999,-999)))</f>
        <v>-67.900000000000006</v>
      </c>
      <c r="T34" s="195">
        <v>5102.1030213100003</v>
      </c>
      <c r="U34" s="438">
        <v>17.639145649999762</v>
      </c>
      <c r="V34" s="518">
        <f>IF(T34=0, "    ---- ", IF(ABS(ROUND(100/T34*U34-100,1))&lt;999,ROUND(100/T34*U34-100,1),IF(ROUND(100/T34*U34-100,1)&gt;999,999,-999)))</f>
        <v>-99.7</v>
      </c>
      <c r="W34" s="195">
        <f>SUM(W14+W15+W16+W17+W21+W29+W30+W31+W32+W33)</f>
        <v>244.80477325000007</v>
      </c>
      <c r="X34" s="438">
        <f>SUM(X14+X15+X16+X17+X21+X29+X30+X31+X32+X33)</f>
        <v>221.50997043000109</v>
      </c>
      <c r="Y34" s="518">
        <f>IF(W34=0, "    ---- ", IF(ABS(ROUND(100/W34*X34-100,1))&lt;999,ROUND(100/W34*X34-100,1),IF(ROUND(100/W34*X34-100,1)&gt;999,999,-999)))</f>
        <v>-9.5</v>
      </c>
      <c r="Z34" s="195">
        <f>SUM(Z14+Z15+Z16+Z17+Z21+Z29+Z30+Z31+Z32+Z33)</f>
        <v>98</v>
      </c>
      <c r="AA34" s="438">
        <f>SUM(AA14+AA15+AA16+AA17+AA21+AA29+AA30+AA31+AA32+AA33)</f>
        <v>94</v>
      </c>
      <c r="AB34" s="518">
        <f>IF(Z34=0, "    ---- ", IF(ABS(ROUND(100/Z34*AA34-100,1))&lt;999,ROUND(100/Z34*AA34-100,1),IF(ROUND(100/Z34*AA34-100,1)&gt;999,999,-999)))</f>
        <v>-4.0999999999999996</v>
      </c>
      <c r="AC34" s="195">
        <f>SUM(AC14+AC15+AC16+AC17+AC21+AC29+AC30+AC31+AC32+AC33)</f>
        <v>4.6953985100000075</v>
      </c>
      <c r="AD34" s="438">
        <f>SUM(AD14+AD15+AD16+AD17+AD21+AD29+AD30+AD31+AD32+AD33)</f>
        <v>13.853324129999958</v>
      </c>
      <c r="AE34" s="518">
        <f>IF(AC34=0, "    ---- ", IF(ABS(ROUND(100/AC34*AD34-100,1))&lt;999,ROUND(100/AC34*AD34-100,1),IF(ROUND(100/AC34*AD34-100,1)&gt;999,999,-999)))</f>
        <v>195</v>
      </c>
      <c r="AF34" s="195">
        <f>SUM(AF14+AF15+AF16+AF17+AF21+AF29+AF30+AF31+AF32+AF33)</f>
        <v>-13.347696510001256</v>
      </c>
      <c r="AG34" s="438">
        <f>SUM(AG14+AG15+AG16+AG17+AG21+AG29+AG30+AG31+AG32+AG33)</f>
        <v>33.205964620598841</v>
      </c>
      <c r="AH34" s="518">
        <f>IF(AF34=0, "    ---- ", IF(ABS(ROUND(100/AF34*AG34-100,1))&lt;999,ROUND(100/AF34*AG34-100,1),IF(ROUND(100/AF34*AG34-100,1)&gt;999,999,-999)))</f>
        <v>-348.8</v>
      </c>
      <c r="AI34" s="195">
        <f>SUM(AI14+AI15+AI16+AI17+AI21+AI29+AI30+AI31+AI32+AI33)</f>
        <v>199</v>
      </c>
      <c r="AJ34" s="438">
        <f>SUM(AJ14+AJ15+AJ16+AJ17+AJ21+AJ29+AJ30+AJ31+AJ32+AJ33)</f>
        <v>-197</v>
      </c>
      <c r="AK34" s="518">
        <f>IF(AI34=0, "    ---- ", IF(ABS(ROUND(100/AI34*AJ34-100,1))&lt;999,ROUND(100/AI34*AJ34-100,1),IF(ROUND(100/AI34*AJ34-100,1)&gt;999,999,-999)))</f>
        <v>-199</v>
      </c>
      <c r="AL34" s="438"/>
      <c r="AM34" s="438">
        <f>SUM(AM14+AM15+AM16+AM17+AM21+AM29+AM30+AM31+AM32+AM33)</f>
        <v>-7.1</v>
      </c>
      <c r="AN34" s="518" t="str">
        <f>IF(AL34=0, "    ---- ", IF(ABS(ROUND(100/AL34*AM34-100,1))&lt;999,ROUND(100/AL34*AM34-100,1),IF(ROUND(100/AL34*AM34-100,1)&gt;999,999,-999)))</f>
        <v xml:space="preserve">    ---- </v>
      </c>
      <c r="AO34" s="518">
        <f t="shared" si="26"/>
        <v>6203.5781520399969</v>
      </c>
      <c r="AP34" s="518">
        <f t="shared" si="27"/>
        <v>500.24912399060167</v>
      </c>
      <c r="AQ34" s="518">
        <f t="shared" si="13"/>
        <v>-91.9</v>
      </c>
      <c r="AR34" s="518"/>
      <c r="AS34" s="518"/>
      <c r="AT34" s="518"/>
    </row>
    <row r="35" spans="1:46" s="519" customFormat="1" ht="18.75" customHeight="1" x14ac:dyDescent="0.3">
      <c r="A35" s="520"/>
      <c r="B35" s="649"/>
      <c r="C35" s="521"/>
      <c r="D35" s="522"/>
      <c r="E35" s="649"/>
      <c r="F35" s="521"/>
      <c r="G35" s="522"/>
      <c r="H35" s="649"/>
      <c r="I35" s="521"/>
      <c r="J35" s="522"/>
      <c r="K35" s="649"/>
      <c r="L35" s="521"/>
      <c r="M35" s="522"/>
      <c r="N35" s="649"/>
      <c r="O35" s="521"/>
      <c r="P35" s="522"/>
      <c r="Q35" s="649"/>
      <c r="R35" s="521"/>
      <c r="S35" s="522"/>
      <c r="T35" s="649"/>
      <c r="U35" s="521"/>
      <c r="V35" s="522"/>
      <c r="W35" s="649"/>
      <c r="X35" s="521"/>
      <c r="Y35" s="522"/>
      <c r="Z35" s="649"/>
      <c r="AA35" s="521"/>
      <c r="AB35" s="522"/>
      <c r="AC35" s="649"/>
      <c r="AD35" s="521"/>
      <c r="AE35" s="522"/>
      <c r="AF35" s="649"/>
      <c r="AG35" s="521"/>
      <c r="AH35" s="523"/>
      <c r="AI35" s="649"/>
      <c r="AJ35" s="521"/>
      <c r="AK35" s="523"/>
      <c r="AL35" s="521"/>
      <c r="AM35" s="521"/>
      <c r="AN35" s="522"/>
      <c r="AO35" s="523"/>
      <c r="AP35" s="523"/>
      <c r="AQ35" s="523"/>
      <c r="AR35" s="524"/>
      <c r="AS35" s="525"/>
      <c r="AT35" s="526"/>
    </row>
    <row r="36" spans="1:46" s="519" customFormat="1" ht="18.75" customHeight="1" x14ac:dyDescent="0.3">
      <c r="A36" s="496" t="s">
        <v>310</v>
      </c>
      <c r="B36" s="649"/>
      <c r="C36" s="521"/>
      <c r="D36" s="522"/>
      <c r="E36" s="649"/>
      <c r="F36" s="521"/>
      <c r="G36" s="522"/>
      <c r="H36" s="649"/>
      <c r="I36" s="521"/>
      <c r="J36" s="522"/>
      <c r="K36" s="649"/>
      <c r="L36" s="521"/>
      <c r="M36" s="522"/>
      <c r="N36" s="649"/>
      <c r="O36" s="521"/>
      <c r="P36" s="522"/>
      <c r="Q36" s="649"/>
      <c r="R36" s="521"/>
      <c r="S36" s="522"/>
      <c r="T36" s="649"/>
      <c r="U36" s="521"/>
      <c r="V36" s="522"/>
      <c r="W36" s="649"/>
      <c r="X36" s="521"/>
      <c r="Y36" s="522"/>
      <c r="Z36" s="649"/>
      <c r="AA36" s="521"/>
      <c r="AB36" s="522"/>
      <c r="AC36" s="649"/>
      <c r="AD36" s="521"/>
      <c r="AE36" s="522"/>
      <c r="AF36" s="649"/>
      <c r="AG36" s="521"/>
      <c r="AH36" s="522"/>
      <c r="AI36" s="649"/>
      <c r="AJ36" s="521"/>
      <c r="AK36" s="522"/>
      <c r="AL36" s="521"/>
      <c r="AM36" s="521"/>
      <c r="AN36" s="522"/>
      <c r="AO36" s="522"/>
      <c r="AP36" s="522"/>
      <c r="AQ36" s="522"/>
      <c r="AR36" s="527"/>
      <c r="AS36" s="528"/>
      <c r="AT36" s="529"/>
    </row>
    <row r="37" spans="1:46" s="531" customFormat="1" ht="18.75" customHeight="1" x14ac:dyDescent="0.3">
      <c r="A37" s="503" t="s">
        <v>311</v>
      </c>
      <c r="B37" s="650">
        <v>1.772</v>
      </c>
      <c r="C37" s="506">
        <v>-4.6219999999999999</v>
      </c>
      <c r="D37" s="505">
        <f t="shared" ref="D37:D43" si="29">IF(B37=0, "    ---- ", IF(ABS(ROUND(100/B37*C37-100,1))&lt;999,ROUND(100/B37*C37-100,1),IF(ROUND(100/B37*C37-100,1)&gt;999,999,-999)))</f>
        <v>-360.8</v>
      </c>
      <c r="E37" s="650">
        <v>230.48308046</v>
      </c>
      <c r="F37" s="506">
        <v>25.720842480000016</v>
      </c>
      <c r="G37" s="505">
        <f t="shared" ref="G37:G44" si="30">IF(E37=0, "    ---- ", IF(ABS(ROUND(100/E37*F37-100,1))&lt;999,ROUND(100/E37*F37-100,1),IF(ROUND(100/E37*F37-100,1)&gt;999,999,-999)))</f>
        <v>-88.8</v>
      </c>
      <c r="H37" s="650">
        <v>7.6341016200000009</v>
      </c>
      <c r="I37" s="506">
        <v>4.5825202299999992</v>
      </c>
      <c r="J37" s="505">
        <f t="shared" ref="J37:J43" si="31">IF(H37=0, "    ---- ", IF(ABS(ROUND(100/H37*I37-100,1))&lt;999,ROUND(100/H37*I37-100,1),IF(ROUND(100/H37*I37-100,1)&gt;999,999,-999)))</f>
        <v>-40</v>
      </c>
      <c r="K37" s="650">
        <v>10.135</v>
      </c>
      <c r="L37" s="506">
        <v>-5.2220000000000004</v>
      </c>
      <c r="M37" s="505">
        <f t="shared" ref="M37:M43" si="32">IF(K37=0, "    ---- ", IF(ABS(ROUND(100/K37*L37-100,1))&lt;999,ROUND(100/K37*L37-100,1),IF(ROUND(100/K37*L37-100,1)&gt;999,999,-999)))</f>
        <v>-151.5</v>
      </c>
      <c r="N37" s="650">
        <v>1.9</v>
      </c>
      <c r="O37" s="506">
        <v>3</v>
      </c>
      <c r="P37" s="505">
        <f t="shared" ref="P37:P43" si="33">IF(N37=0, "    ---- ", IF(ABS(ROUND(100/N37*O37-100,1))&lt;999,ROUND(100/N37*O37-100,1),IF(ROUND(100/N37*O37-100,1)&gt;999,999,-999)))</f>
        <v>57.9</v>
      </c>
      <c r="Q37" s="650">
        <v>0.18786855999999999</v>
      </c>
      <c r="R37" s="506"/>
      <c r="S37" s="505">
        <f t="shared" ref="S37:S43" si="34">IF(Q37=0, "    ---- ", IF(ABS(ROUND(100/Q37*R37-100,1))&lt;999,ROUND(100/Q37*R37-100,1),IF(ROUND(100/Q37*R37-100,1)&gt;999,999,-999)))</f>
        <v>-100</v>
      </c>
      <c r="T37" s="650">
        <v>271.8638866</v>
      </c>
      <c r="U37" s="506">
        <v>111.58918088999999</v>
      </c>
      <c r="V37" s="505">
        <f t="shared" ref="V37:V44" si="35">IF(T37=0, "    ---- ", IF(ABS(ROUND(100/T37*U37-100,1))&lt;999,ROUND(100/T37*U37-100,1),IF(ROUND(100/T37*U37-100,1)&gt;999,999,-999)))</f>
        <v>-59</v>
      </c>
      <c r="W37" s="650">
        <v>0.9</v>
      </c>
      <c r="X37" s="506">
        <v>-30.7</v>
      </c>
      <c r="Y37" s="505">
        <f t="shared" ref="Y37:Y44" si="36">IF(W37=0, "    ---- ", IF(ABS(ROUND(100/W37*X37-100,1))&lt;999,ROUND(100/W37*X37-100,1),IF(ROUND(100/W37*X37-100,1)&gt;999,999,-999)))</f>
        <v>-999</v>
      </c>
      <c r="Z37" s="650">
        <v>154</v>
      </c>
      <c r="AA37" s="506">
        <v>-22</v>
      </c>
      <c r="AB37" s="505">
        <f t="shared" ref="AB37:AB43" si="37">IF(Z37=0, "    ---- ", IF(ABS(ROUND(100/Z37*AA37-100,1))&lt;999,ROUND(100/Z37*AA37-100,1),IF(ROUND(100/Z37*AA37-100,1)&gt;999,999,-999)))</f>
        <v>-114.3</v>
      </c>
      <c r="AC37" s="650">
        <v>8.4087560000000006E-2</v>
      </c>
      <c r="AD37" s="506">
        <v>0</v>
      </c>
      <c r="AE37" s="505">
        <f>IF(AC37=0, "    ---- ", IF(ABS(ROUND(100/AC37*AD37-100,1))&lt;999,ROUND(100/AC37*AD37-100,1),IF(ROUND(100/AC37*AD37-100,1)&gt;999,999,-999)))</f>
        <v>-100</v>
      </c>
      <c r="AF37" s="650">
        <v>15.02580172</v>
      </c>
      <c r="AG37" s="506">
        <v>-36.093703120000008</v>
      </c>
      <c r="AH37" s="505">
        <f t="shared" ref="AH37:AH43" si="38">IF(AF37=0, "    ---- ", IF(ABS(ROUND(100/AF37*AG37-100,1))&lt;999,ROUND(100/AF37*AG37-100,1),IF(ROUND(100/AF37*AG37-100,1)&gt;999,999,-999)))</f>
        <v>-340.2</v>
      </c>
      <c r="AI37" s="650">
        <v>1302</v>
      </c>
      <c r="AJ37" s="506">
        <v>1449</v>
      </c>
      <c r="AK37" s="505">
        <f t="shared" ref="AK37:AK44" si="39">IF(AI37=0, "    ---- ", IF(ABS(ROUND(100/AI37*AJ37-100,1))&lt;999,ROUND(100/AI37*AJ37-100,1),IF(ROUND(100/AI37*AJ37-100,1)&gt;999,999,-999)))</f>
        <v>11.3</v>
      </c>
      <c r="AL37" s="506"/>
      <c r="AM37" s="506"/>
      <c r="AN37" s="505"/>
      <c r="AO37" s="505">
        <f t="shared" ref="AO37:AO45" si="40">B37+E37+H37+K37+N37+T37+AL37+W37+Z37+AF37+AI37</f>
        <v>1995.7138703999999</v>
      </c>
      <c r="AP37" s="505">
        <f t="shared" ref="AP37:AP45" si="41">C37+F37+I37+L37+O37+U37+AM37+X37+AA37+AG37+AJ37</f>
        <v>1495.25484048</v>
      </c>
      <c r="AQ37" s="505">
        <f t="shared" si="13"/>
        <v>-25.1</v>
      </c>
      <c r="AR37" s="507"/>
      <c r="AS37" s="530"/>
      <c r="AT37" s="509"/>
    </row>
    <row r="38" spans="1:46" s="531" customFormat="1" ht="18.75" customHeight="1" x14ac:dyDescent="0.3">
      <c r="A38" s="503" t="s">
        <v>312</v>
      </c>
      <c r="B38" s="650"/>
      <c r="C38" s="506"/>
      <c r="D38" s="505"/>
      <c r="E38" s="650">
        <v>23.649785999999999</v>
      </c>
      <c r="F38" s="506">
        <v>2.5101550000000001</v>
      </c>
      <c r="G38" s="505">
        <f t="shared" si="30"/>
        <v>-89.4</v>
      </c>
      <c r="H38" s="650">
        <v>0</v>
      </c>
      <c r="I38" s="506"/>
      <c r="J38" s="505"/>
      <c r="K38" s="650">
        <v>1.4E-2</v>
      </c>
      <c r="L38" s="506"/>
      <c r="M38" s="505">
        <f t="shared" si="32"/>
        <v>-100</v>
      </c>
      <c r="N38" s="650"/>
      <c r="O38" s="506"/>
      <c r="P38" s="505"/>
      <c r="Q38" s="650"/>
      <c r="R38" s="506">
        <v>0.41050500000000001</v>
      </c>
      <c r="S38" s="505" t="str">
        <f>IF(Q38=0, "    ---- ", IF(ABS(ROUND(100/Q38*R38-100,1))&lt;999,ROUND(100/Q38*R38-100,1),IF(ROUND(100/Q38*R38-100,1)&gt;999,999,-999)))</f>
        <v xml:space="preserve">    ---- </v>
      </c>
      <c r="T38" s="650">
        <v>8.988684619999999</v>
      </c>
      <c r="U38" s="506">
        <v>2.08116272</v>
      </c>
      <c r="V38" s="505">
        <f t="shared" si="35"/>
        <v>-76.8</v>
      </c>
      <c r="W38" s="650">
        <v>0</v>
      </c>
      <c r="X38" s="506">
        <v>0</v>
      </c>
      <c r="Y38" s="505" t="str">
        <f t="shared" si="36"/>
        <v xml:space="preserve">    ---- </v>
      </c>
      <c r="Z38" s="650">
        <v>1</v>
      </c>
      <c r="AA38" s="506">
        <v>2</v>
      </c>
      <c r="AB38" s="505">
        <f t="shared" si="37"/>
        <v>100</v>
      </c>
      <c r="AC38" s="650"/>
      <c r="AD38" s="506"/>
      <c r="AE38" s="505"/>
      <c r="AF38" s="650">
        <v>0.63537060999999995</v>
      </c>
      <c r="AG38" s="506">
        <v>1.33180959</v>
      </c>
      <c r="AH38" s="505">
        <f t="shared" si="38"/>
        <v>109.6</v>
      </c>
      <c r="AI38" s="650">
        <v>1</v>
      </c>
      <c r="AJ38" s="506">
        <v>2</v>
      </c>
      <c r="AK38" s="505">
        <f t="shared" si="39"/>
        <v>100</v>
      </c>
      <c r="AL38" s="506"/>
      <c r="AM38" s="506"/>
      <c r="AN38" s="505"/>
      <c r="AO38" s="505">
        <f t="shared" si="40"/>
        <v>35.287841229999998</v>
      </c>
      <c r="AP38" s="505">
        <f t="shared" si="41"/>
        <v>9.9231273099999999</v>
      </c>
      <c r="AQ38" s="505">
        <f t="shared" si="13"/>
        <v>-71.900000000000006</v>
      </c>
      <c r="AR38" s="505"/>
      <c r="AS38" s="532"/>
      <c r="AT38" s="505"/>
    </row>
    <row r="39" spans="1:46" s="531" customFormat="1" ht="18.75" customHeight="1" x14ac:dyDescent="0.3">
      <c r="A39" s="503" t="s">
        <v>313</v>
      </c>
      <c r="B39" s="650"/>
      <c r="C39" s="506"/>
      <c r="D39" s="505"/>
      <c r="E39" s="650">
        <v>-82.463551109999997</v>
      </c>
      <c r="F39" s="506">
        <v>-68.347258229999994</v>
      </c>
      <c r="G39" s="505">
        <f t="shared" si="30"/>
        <v>-17.100000000000001</v>
      </c>
      <c r="H39" s="650">
        <v>-4.5108181500000004</v>
      </c>
      <c r="I39" s="506">
        <v>-4.5373922800000006</v>
      </c>
      <c r="J39" s="505">
        <f t="shared" si="31"/>
        <v>0.6</v>
      </c>
      <c r="K39" s="650"/>
      <c r="L39" s="506"/>
      <c r="M39" s="505"/>
      <c r="N39" s="650">
        <v>-2.6</v>
      </c>
      <c r="O39" s="506">
        <v>-2</v>
      </c>
      <c r="P39" s="505">
        <f t="shared" si="33"/>
        <v>-23.1</v>
      </c>
      <c r="Q39" s="650"/>
      <c r="R39" s="506"/>
      <c r="S39" s="505"/>
      <c r="T39" s="650">
        <v>-59.135021939999994</v>
      </c>
      <c r="U39" s="506">
        <v>-60.392508770000006</v>
      </c>
      <c r="V39" s="505">
        <f t="shared" si="35"/>
        <v>2.1</v>
      </c>
      <c r="W39" s="650">
        <v>-20.43</v>
      </c>
      <c r="X39" s="506">
        <v>-26.82</v>
      </c>
      <c r="Y39" s="505">
        <f t="shared" si="36"/>
        <v>31.3</v>
      </c>
      <c r="Z39" s="650">
        <v>-26</v>
      </c>
      <c r="AA39" s="506">
        <v>-26</v>
      </c>
      <c r="AB39" s="505">
        <f t="shared" si="37"/>
        <v>0</v>
      </c>
      <c r="AC39" s="650"/>
      <c r="AD39" s="506"/>
      <c r="AE39" s="505"/>
      <c r="AF39" s="650">
        <v>-28.414693900000003</v>
      </c>
      <c r="AG39" s="506">
        <v>-0.99211520060000014</v>
      </c>
      <c r="AH39" s="505">
        <f t="shared" si="38"/>
        <v>-96.5</v>
      </c>
      <c r="AI39" s="650">
        <v>-100</v>
      </c>
      <c r="AJ39" s="506">
        <v>-89</v>
      </c>
      <c r="AK39" s="505">
        <f t="shared" si="39"/>
        <v>-11</v>
      </c>
      <c r="AL39" s="506"/>
      <c r="AM39" s="506">
        <v>0</v>
      </c>
      <c r="AN39" s="505" t="str">
        <f t="shared" ref="AN39:AN43" si="42">IF(AL39=0, "    ---- ", IF(ABS(ROUND(100/AL39*AM39-100,1))&lt;999,ROUND(100/AL39*AM39-100,1),IF(ROUND(100/AL39*AM39-100,1)&gt;999,999,-999)))</f>
        <v xml:space="preserve">    ---- </v>
      </c>
      <c r="AO39" s="505">
        <f t="shared" si="40"/>
        <v>-323.55408510000001</v>
      </c>
      <c r="AP39" s="505">
        <f t="shared" si="41"/>
        <v>-278.08927448060001</v>
      </c>
      <c r="AQ39" s="505">
        <f t="shared" si="13"/>
        <v>-14.1</v>
      </c>
      <c r="AR39" s="505"/>
      <c r="AS39" s="532"/>
      <c r="AT39" s="505"/>
    </row>
    <row r="40" spans="1:46" s="534" customFormat="1" ht="18.75" customHeight="1" x14ac:dyDescent="0.3">
      <c r="A40" s="520" t="s">
        <v>314</v>
      </c>
      <c r="B40" s="649">
        <f>SUM(B37:B39)</f>
        <v>1.772</v>
      </c>
      <c r="C40" s="521">
        <f>SUM(C37:C39)</f>
        <v>-4.6219999999999999</v>
      </c>
      <c r="D40" s="522">
        <f t="shared" si="29"/>
        <v>-360.8</v>
      </c>
      <c r="E40" s="649">
        <f>SUM(E37:E39)</f>
        <v>171.66931535000001</v>
      </c>
      <c r="F40" s="521">
        <f>SUM(F37:F39)</f>
        <v>-40.116260749999981</v>
      </c>
      <c r="G40" s="522">
        <f t="shared" si="30"/>
        <v>-123.4</v>
      </c>
      <c r="H40" s="649">
        <f>SUM(H37:H39)</f>
        <v>3.1232834700000005</v>
      </c>
      <c r="I40" s="521">
        <f>SUM(I37:I39)</f>
        <v>4.5127949999998584E-2</v>
      </c>
      <c r="J40" s="522">
        <f t="shared" si="31"/>
        <v>-98.6</v>
      </c>
      <c r="K40" s="649">
        <f>SUM(K37:K39)</f>
        <v>10.148999999999999</v>
      </c>
      <c r="L40" s="521">
        <f>SUM(L37:L39)</f>
        <v>-5.2220000000000004</v>
      </c>
      <c r="M40" s="522">
        <f t="shared" si="32"/>
        <v>-151.5</v>
      </c>
      <c r="N40" s="649">
        <f>SUM(N37:N39)</f>
        <v>-0.70000000000000018</v>
      </c>
      <c r="O40" s="521">
        <f>SUM(O37:O39)</f>
        <v>1</v>
      </c>
      <c r="P40" s="522">
        <f t="shared" si="33"/>
        <v>-242.9</v>
      </c>
      <c r="Q40" s="649">
        <f>SUM(Q37:Q39)</f>
        <v>0.18786855999999999</v>
      </c>
      <c r="R40" s="521">
        <f>SUM(R37:R39)</f>
        <v>0.41050500000000001</v>
      </c>
      <c r="S40" s="522">
        <f t="shared" si="34"/>
        <v>118.5</v>
      </c>
      <c r="T40" s="649">
        <v>221.71754928000001</v>
      </c>
      <c r="U40" s="521">
        <v>53.277834839999983</v>
      </c>
      <c r="V40" s="522">
        <f t="shared" si="35"/>
        <v>-76</v>
      </c>
      <c r="W40" s="649">
        <f>SUM(W37:W39)</f>
        <v>-19.53</v>
      </c>
      <c r="X40" s="521">
        <f>SUM(X37:X39)</f>
        <v>-57.519999999999996</v>
      </c>
      <c r="Y40" s="522">
        <f t="shared" si="36"/>
        <v>194.5</v>
      </c>
      <c r="Z40" s="649">
        <f>SUM(Z37:Z39)</f>
        <v>129</v>
      </c>
      <c r="AA40" s="521">
        <f>SUM(AA37:AA39)</f>
        <v>-46</v>
      </c>
      <c r="AB40" s="522">
        <f t="shared" si="37"/>
        <v>-135.69999999999999</v>
      </c>
      <c r="AC40" s="649">
        <f>SUM(AC37:AC39)</f>
        <v>8.4087560000000006E-2</v>
      </c>
      <c r="AD40" s="521">
        <f>SUM(AD37:AD39)</f>
        <v>0</v>
      </c>
      <c r="AE40" s="522">
        <f>IF(AC40=0, "    ---- ", IF(ABS(ROUND(100/AC40*AD40-100,1))&lt;999,ROUND(100/AC40*AD40-100,1),IF(ROUND(100/AC40*AD40-100,1)&gt;999,999,-999)))</f>
        <v>-100</v>
      </c>
      <c r="AF40" s="649">
        <f>SUM(AF37:AF39)</f>
        <v>-12.753521570000002</v>
      </c>
      <c r="AG40" s="521">
        <f>SUM(AG37:AG39)</f>
        <v>-35.754008730600006</v>
      </c>
      <c r="AH40" s="522">
        <f t="shared" si="38"/>
        <v>180.3</v>
      </c>
      <c r="AI40" s="649">
        <f>SUM(AI37:AI39)</f>
        <v>1203</v>
      </c>
      <c r="AJ40" s="521">
        <f>SUM(AJ37:AJ39)</f>
        <v>1362</v>
      </c>
      <c r="AK40" s="522">
        <f t="shared" si="39"/>
        <v>13.2</v>
      </c>
      <c r="AL40" s="521"/>
      <c r="AM40" s="521">
        <f>SUM(AM37:AM39)</f>
        <v>0</v>
      </c>
      <c r="AN40" s="522" t="str">
        <f t="shared" si="42"/>
        <v xml:space="preserve">    ---- </v>
      </c>
      <c r="AO40" s="522">
        <f t="shared" si="40"/>
        <v>1707.44762653</v>
      </c>
      <c r="AP40" s="522">
        <f t="shared" si="41"/>
        <v>1227.0886933094</v>
      </c>
      <c r="AQ40" s="522">
        <f t="shared" si="13"/>
        <v>-28.1</v>
      </c>
      <c r="AR40" s="522"/>
      <c r="AS40" s="533"/>
      <c r="AT40" s="522"/>
    </row>
    <row r="41" spans="1:46" s="534" customFormat="1" ht="18.75" customHeight="1" x14ac:dyDescent="0.3">
      <c r="A41" s="520" t="s">
        <v>315</v>
      </c>
      <c r="B41" s="649">
        <f>B34+B40</f>
        <v>37.608000000000118</v>
      </c>
      <c r="C41" s="521">
        <f>C34+C40</f>
        <v>29.795000000000265</v>
      </c>
      <c r="D41" s="522">
        <f t="shared" si="29"/>
        <v>-20.8</v>
      </c>
      <c r="E41" s="649">
        <f>E34+E40</f>
        <v>455.74966626999799</v>
      </c>
      <c r="F41" s="521">
        <f>F34+F40</f>
        <v>191.77197119000192</v>
      </c>
      <c r="G41" s="522">
        <f t="shared" si="30"/>
        <v>-57.9</v>
      </c>
      <c r="H41" s="649">
        <f>H34+H40</f>
        <v>214.79698653999949</v>
      </c>
      <c r="I41" s="521">
        <f>I34+I40</f>
        <v>36.353939299999752</v>
      </c>
      <c r="J41" s="522">
        <f t="shared" si="31"/>
        <v>-83.1</v>
      </c>
      <c r="K41" s="649">
        <f>K34+K40</f>
        <v>5.6770000000000191</v>
      </c>
      <c r="L41" s="521">
        <f>L34+L40</f>
        <v>-22.841999999999906</v>
      </c>
      <c r="M41" s="522">
        <f t="shared" si="32"/>
        <v>-502.4</v>
      </c>
      <c r="N41" s="649">
        <f>N34+N40</f>
        <v>45.200000000000941</v>
      </c>
      <c r="O41" s="521">
        <f>O34+O40</f>
        <v>54</v>
      </c>
      <c r="P41" s="522">
        <f t="shared" si="33"/>
        <v>19.5</v>
      </c>
      <c r="Q41" s="649">
        <f>Q34+Q40</f>
        <v>6.5879841799999994</v>
      </c>
      <c r="R41" s="521">
        <f>R34+R40</f>
        <v>2.4632159000000011</v>
      </c>
      <c r="S41" s="522">
        <f t="shared" si="34"/>
        <v>-62.6</v>
      </c>
      <c r="T41" s="649">
        <v>5323.82057059</v>
      </c>
      <c r="U41" s="521">
        <v>70.916980489999744</v>
      </c>
      <c r="V41" s="522">
        <f t="shared" si="35"/>
        <v>-98.7</v>
      </c>
      <c r="W41" s="649">
        <f>W34+W40</f>
        <v>225.27477325000007</v>
      </c>
      <c r="X41" s="521">
        <f>X34+X40</f>
        <v>163.98997043000111</v>
      </c>
      <c r="Y41" s="522">
        <f t="shared" si="36"/>
        <v>-27.2</v>
      </c>
      <c r="Z41" s="649">
        <f>Z34+Z40</f>
        <v>227</v>
      </c>
      <c r="AA41" s="521">
        <f>AA34+AA40</f>
        <v>48</v>
      </c>
      <c r="AB41" s="522">
        <f t="shared" si="37"/>
        <v>-78.900000000000006</v>
      </c>
      <c r="AC41" s="649">
        <f>AC34+AC40</f>
        <v>4.7794860700000079</v>
      </c>
      <c r="AD41" s="521">
        <f>AD34+AD40</f>
        <v>13.853324129999958</v>
      </c>
      <c r="AE41" s="522">
        <f>IF(AC41=0, "    ---- ", IF(ABS(ROUND(100/AC41*AD41-100,1))&lt;999,ROUND(100/AC41*AD41-100,1),IF(ROUND(100/AC41*AD41-100,1)&gt;999,999,-999)))</f>
        <v>189.8</v>
      </c>
      <c r="AF41" s="649">
        <f>AF34+AF40</f>
        <v>-26.10121808000126</v>
      </c>
      <c r="AG41" s="521">
        <f>AG34+AG40</f>
        <v>-2.5480441100011646</v>
      </c>
      <c r="AH41" s="522">
        <f t="shared" si="38"/>
        <v>-90.2</v>
      </c>
      <c r="AI41" s="649">
        <f>AI34+AI40</f>
        <v>1402</v>
      </c>
      <c r="AJ41" s="521">
        <f>AJ34+AJ40</f>
        <v>1165</v>
      </c>
      <c r="AK41" s="522">
        <f t="shared" si="39"/>
        <v>-16.899999999999999</v>
      </c>
      <c r="AL41" s="521"/>
      <c r="AM41" s="521">
        <f>AM34+AM40</f>
        <v>-7.1</v>
      </c>
      <c r="AN41" s="522" t="str">
        <f t="shared" si="42"/>
        <v xml:space="preserve">    ---- </v>
      </c>
      <c r="AO41" s="522">
        <f t="shared" si="40"/>
        <v>7911.0257785699969</v>
      </c>
      <c r="AP41" s="522">
        <f t="shared" si="41"/>
        <v>1727.3378173000019</v>
      </c>
      <c r="AQ41" s="522">
        <f t="shared" si="13"/>
        <v>-78.2</v>
      </c>
      <c r="AR41" s="522"/>
      <c r="AS41" s="533"/>
      <c r="AT41" s="522"/>
    </row>
    <row r="42" spans="1:46" s="531" customFormat="1" ht="18.75" customHeight="1" x14ac:dyDescent="0.3">
      <c r="A42" s="503" t="s">
        <v>316</v>
      </c>
      <c r="B42" s="650">
        <v>-9.4019999999999992</v>
      </c>
      <c r="C42" s="506">
        <v>-7.4489999999999998</v>
      </c>
      <c r="D42" s="505">
        <f t="shared" si="29"/>
        <v>-20.8</v>
      </c>
      <c r="E42" s="650">
        <v>-100.646528</v>
      </c>
      <c r="F42" s="506">
        <v>-35.392471999999998</v>
      </c>
      <c r="G42" s="505">
        <f t="shared" si="30"/>
        <v>-64.8</v>
      </c>
      <c r="H42" s="650">
        <v>-61.05555957</v>
      </c>
      <c r="I42" s="506">
        <v>-15.5954335</v>
      </c>
      <c r="J42" s="505">
        <f t="shared" si="31"/>
        <v>-74.5</v>
      </c>
      <c r="K42" s="650">
        <v>-0.58199999999999996</v>
      </c>
      <c r="L42" s="506">
        <v>2.0939999999999999</v>
      </c>
      <c r="M42" s="505">
        <f t="shared" si="32"/>
        <v>-459.8</v>
      </c>
      <c r="N42" s="650">
        <v>-11.3</v>
      </c>
      <c r="O42" s="506">
        <v>-14</v>
      </c>
      <c r="P42" s="505">
        <f t="shared" si="33"/>
        <v>23.9</v>
      </c>
      <c r="Q42" s="650">
        <v>-1.6529450000000001</v>
      </c>
      <c r="R42" s="506">
        <v>-0.860545</v>
      </c>
      <c r="S42" s="505">
        <f t="shared" si="34"/>
        <v>-47.9</v>
      </c>
      <c r="T42" s="650">
        <v>-9.8931004749999989</v>
      </c>
      <c r="U42" s="506">
        <v>-3.799046474999999</v>
      </c>
      <c r="V42" s="505">
        <f t="shared" si="35"/>
        <v>-61.6</v>
      </c>
      <c r="W42" s="650">
        <v>-56.32</v>
      </c>
      <c r="X42" s="506">
        <v>-41.08</v>
      </c>
      <c r="Y42" s="505">
        <f t="shared" si="36"/>
        <v>-27.1</v>
      </c>
      <c r="Z42" s="650"/>
      <c r="AA42" s="506">
        <v>-33</v>
      </c>
      <c r="AB42" s="505" t="str">
        <f t="shared" si="37"/>
        <v xml:space="preserve">    ---- </v>
      </c>
      <c r="AC42" s="650">
        <v>-1.0514870000000001</v>
      </c>
      <c r="AD42" s="687">
        <v>-0.61642300000000005</v>
      </c>
      <c r="AE42" s="505">
        <f>IF(AC42=0, "    ---- ", IF(ABS(ROUND(100/AC42*AD42-100,1))&lt;999,ROUND(100/AC42*AD42-100,1),IF(ROUND(100/AC42*AD42-100,1)&gt;999,999,-999)))</f>
        <v>-41.4</v>
      </c>
      <c r="AF42" s="650">
        <v>9.4362700000000004</v>
      </c>
      <c r="AG42" s="506">
        <v>5.7208670000000001</v>
      </c>
      <c r="AH42" s="505">
        <f t="shared" si="38"/>
        <v>-39.4</v>
      </c>
      <c r="AI42" s="650">
        <v>-184</v>
      </c>
      <c r="AJ42" s="506">
        <v>545</v>
      </c>
      <c r="AK42" s="505">
        <f t="shared" si="39"/>
        <v>-396.2</v>
      </c>
      <c r="AL42" s="506"/>
      <c r="AM42" s="506"/>
      <c r="AN42" s="505"/>
      <c r="AO42" s="505">
        <f t="shared" si="40"/>
        <v>-423.76291804499999</v>
      </c>
      <c r="AP42" s="505">
        <f t="shared" si="41"/>
        <v>402.49891502499997</v>
      </c>
      <c r="AQ42" s="505">
        <f t="shared" si="13"/>
        <v>-195</v>
      </c>
      <c r="AR42" s="505"/>
      <c r="AS42" s="532"/>
      <c r="AT42" s="505"/>
    </row>
    <row r="43" spans="1:46" s="534" customFormat="1" ht="18.75" customHeight="1" x14ac:dyDescent="0.3">
      <c r="A43" s="520" t="s">
        <v>317</v>
      </c>
      <c r="B43" s="649">
        <f>B41+B42</f>
        <v>28.206000000000117</v>
      </c>
      <c r="C43" s="521">
        <f>C41+C42</f>
        <v>22.346000000000267</v>
      </c>
      <c r="D43" s="522">
        <f t="shared" si="29"/>
        <v>-20.8</v>
      </c>
      <c r="E43" s="649">
        <f>E41+E42</f>
        <v>355.103138269998</v>
      </c>
      <c r="F43" s="521">
        <f>F41+F42</f>
        <v>156.37949919000192</v>
      </c>
      <c r="G43" s="522">
        <f t="shared" si="30"/>
        <v>-56</v>
      </c>
      <c r="H43" s="649">
        <f>H41+H42</f>
        <v>153.74142696999951</v>
      </c>
      <c r="I43" s="521">
        <f>I41+I42</f>
        <v>20.758505799999753</v>
      </c>
      <c r="J43" s="522">
        <f t="shared" si="31"/>
        <v>-86.5</v>
      </c>
      <c r="K43" s="649">
        <f>K41+K42</f>
        <v>5.0950000000000193</v>
      </c>
      <c r="L43" s="521">
        <f>L41+L42</f>
        <v>-20.747999999999905</v>
      </c>
      <c r="M43" s="522">
        <f t="shared" si="32"/>
        <v>-507.2</v>
      </c>
      <c r="N43" s="649">
        <f>N41+N42</f>
        <v>33.900000000000944</v>
      </c>
      <c r="O43" s="521">
        <f>O41+O42</f>
        <v>40</v>
      </c>
      <c r="P43" s="522">
        <f t="shared" si="33"/>
        <v>18</v>
      </c>
      <c r="Q43" s="649">
        <f>Q41+Q42</f>
        <v>4.9350391799999995</v>
      </c>
      <c r="R43" s="521">
        <f>R41+R42</f>
        <v>1.602670900000001</v>
      </c>
      <c r="S43" s="522">
        <f t="shared" si="34"/>
        <v>-67.5</v>
      </c>
      <c r="T43" s="649">
        <v>5313.9274701149998</v>
      </c>
      <c r="U43" s="521">
        <v>67.117934014999747</v>
      </c>
      <c r="V43" s="522">
        <f t="shared" si="35"/>
        <v>-98.7</v>
      </c>
      <c r="W43" s="649">
        <f>W41+W42</f>
        <v>168.95477325000007</v>
      </c>
      <c r="X43" s="521">
        <f>X41+X42</f>
        <v>122.90997043000111</v>
      </c>
      <c r="Y43" s="522">
        <f t="shared" si="36"/>
        <v>-27.3</v>
      </c>
      <c r="Z43" s="649">
        <f>Z41+Z42</f>
        <v>227</v>
      </c>
      <c r="AA43" s="521">
        <f>AA41+AA42</f>
        <v>15</v>
      </c>
      <c r="AB43" s="522">
        <f t="shared" si="37"/>
        <v>-93.4</v>
      </c>
      <c r="AC43" s="649">
        <f>AC41+AC42</f>
        <v>3.7279990700000081</v>
      </c>
      <c r="AD43" s="521">
        <f>AD41+AD42</f>
        <v>13.236901129999959</v>
      </c>
      <c r="AE43" s="522">
        <f>IF(AC43=0, "    ---- ", IF(ABS(ROUND(100/AC43*AD43-100,1))&lt;999,ROUND(100/AC43*AD43-100,1),IF(ROUND(100/AC43*AD43-100,1)&gt;999,999,-999)))</f>
        <v>255.1</v>
      </c>
      <c r="AF43" s="649">
        <f>AF41+AF42</f>
        <v>-16.66494808000126</v>
      </c>
      <c r="AG43" s="521">
        <f>AG41+AG42</f>
        <v>3.1728228899988355</v>
      </c>
      <c r="AH43" s="522">
        <f t="shared" si="38"/>
        <v>-119</v>
      </c>
      <c r="AI43" s="649">
        <f>AI41+AI42</f>
        <v>1218</v>
      </c>
      <c r="AJ43" s="521">
        <f>AJ41+AJ42</f>
        <v>1710</v>
      </c>
      <c r="AK43" s="522">
        <f t="shared" si="39"/>
        <v>40.4</v>
      </c>
      <c r="AL43" s="521"/>
      <c r="AM43" s="521">
        <f>AM41+AM42</f>
        <v>-7.1</v>
      </c>
      <c r="AN43" s="522" t="str">
        <f t="shared" si="42"/>
        <v xml:space="preserve">    ---- </v>
      </c>
      <c r="AO43" s="522">
        <f t="shared" si="40"/>
        <v>7487.2628605249974</v>
      </c>
      <c r="AP43" s="522">
        <f t="shared" si="41"/>
        <v>2129.8367323250018</v>
      </c>
      <c r="AQ43" s="522">
        <f t="shared" si="13"/>
        <v>-71.599999999999994</v>
      </c>
      <c r="AR43" s="522"/>
      <c r="AS43" s="533"/>
      <c r="AT43" s="522"/>
    </row>
    <row r="44" spans="1:46" s="531" customFormat="1" ht="18.75" customHeight="1" x14ac:dyDescent="0.3">
      <c r="A44" s="503" t="s">
        <v>318</v>
      </c>
      <c r="B44" s="650"/>
      <c r="C44" s="506"/>
      <c r="D44" s="505"/>
      <c r="E44" s="650">
        <v>4.9324360499999997</v>
      </c>
      <c r="F44" s="506">
        <v>9.0198332299999997</v>
      </c>
      <c r="G44" s="505">
        <f t="shared" si="30"/>
        <v>82.9</v>
      </c>
      <c r="H44" s="650">
        <v>0</v>
      </c>
      <c r="I44" s="506"/>
      <c r="J44" s="505"/>
      <c r="K44" s="650"/>
      <c r="L44" s="506"/>
      <c r="M44" s="505"/>
      <c r="N44" s="650"/>
      <c r="O44" s="506"/>
      <c r="P44" s="505"/>
      <c r="Q44" s="650"/>
      <c r="R44" s="506"/>
      <c r="S44" s="505"/>
      <c r="T44" s="650">
        <v>194.60160976500001</v>
      </c>
      <c r="U44" s="506">
        <v>320.77533093499994</v>
      </c>
      <c r="V44" s="505">
        <f t="shared" si="35"/>
        <v>64.8</v>
      </c>
      <c r="W44" s="650">
        <v>9.49</v>
      </c>
      <c r="X44" s="506">
        <v>17.53</v>
      </c>
      <c r="Y44" s="505">
        <f t="shared" si="36"/>
        <v>84.7</v>
      </c>
      <c r="Z44" s="650"/>
      <c r="AA44" s="506"/>
      <c r="AB44" s="505"/>
      <c r="AC44" s="650"/>
      <c r="AD44" s="506"/>
      <c r="AE44" s="505"/>
      <c r="AF44" s="650"/>
      <c r="AG44" s="506"/>
      <c r="AH44" s="505"/>
      <c r="AI44" s="650">
        <v>-17</v>
      </c>
      <c r="AJ44" s="506">
        <v>-6</v>
      </c>
      <c r="AK44" s="505">
        <f t="shared" si="39"/>
        <v>-64.7</v>
      </c>
      <c r="AL44" s="506"/>
      <c r="AM44" s="506"/>
      <c r="AN44" s="505"/>
      <c r="AO44" s="505">
        <f t="shared" si="40"/>
        <v>192.02404581500002</v>
      </c>
      <c r="AP44" s="505">
        <f t="shared" si="41"/>
        <v>341.32516416499993</v>
      </c>
      <c r="AQ44" s="505">
        <f t="shared" si="13"/>
        <v>77.8</v>
      </c>
      <c r="AR44" s="505"/>
      <c r="AS44" s="532"/>
      <c r="AT44" s="505"/>
    </row>
    <row r="45" spans="1:46" s="534" customFormat="1" ht="18.75" customHeight="1" x14ac:dyDescent="0.3">
      <c r="A45" s="517" t="s">
        <v>319</v>
      </c>
      <c r="B45" s="651">
        <f>B43+B44</f>
        <v>28.206000000000117</v>
      </c>
      <c r="C45" s="535">
        <f>C43+C44</f>
        <v>22.346000000000267</v>
      </c>
      <c r="D45" s="518">
        <f>IF(B45=0, "    ---- ", IF(ABS(ROUND(100/B45*C45-100,1))&lt;999,ROUND(100/B45*C45-100,1),IF(ROUND(100/B45*C45-100,1)&gt;999,999,-999)))</f>
        <v>-20.8</v>
      </c>
      <c r="E45" s="651">
        <f>E43+E44</f>
        <v>360.03557431999798</v>
      </c>
      <c r="F45" s="535">
        <f>F43+F44</f>
        <v>165.39933242000191</v>
      </c>
      <c r="G45" s="518">
        <f>IF(E45=0, "    ---- ", IF(ABS(ROUND(100/E45*F45-100,1))&lt;999,ROUND(100/E45*F45-100,1),IF(ROUND(100/E45*F45-100,1)&gt;999,999,-999)))</f>
        <v>-54.1</v>
      </c>
      <c r="H45" s="651">
        <f>H43+H44</f>
        <v>153.74142696999951</v>
      </c>
      <c r="I45" s="535">
        <f>I43+I44</f>
        <v>20.758505799999753</v>
      </c>
      <c r="J45" s="518">
        <f>IF(H45=0, "    ---- ", IF(ABS(ROUND(100/H45*I45-100,1))&lt;999,ROUND(100/H45*I45-100,1),IF(ROUND(100/H45*I45-100,1)&gt;999,999,-999)))</f>
        <v>-86.5</v>
      </c>
      <c r="K45" s="651">
        <f>K43+K44</f>
        <v>5.0950000000000193</v>
      </c>
      <c r="L45" s="535">
        <f>L43+L44</f>
        <v>-20.747999999999905</v>
      </c>
      <c r="M45" s="518">
        <f>IF(K45=0, "    ---- ", IF(ABS(ROUND(100/K45*L45-100,1))&lt;999,ROUND(100/K45*L45-100,1),IF(ROUND(100/K45*L45-100,1)&gt;999,999,-999)))</f>
        <v>-507.2</v>
      </c>
      <c r="N45" s="651">
        <f>N43+N44</f>
        <v>33.900000000000944</v>
      </c>
      <c r="O45" s="535">
        <f>O43+O44</f>
        <v>40</v>
      </c>
      <c r="P45" s="518">
        <f>IF(N45=0, "    ---- ", IF(ABS(ROUND(100/N45*O45-100,1))&lt;999,ROUND(100/N45*O45-100,1),IF(ROUND(100/N45*O45-100,1)&gt;999,999,-999)))</f>
        <v>18</v>
      </c>
      <c r="Q45" s="651">
        <f>Q43+Q44</f>
        <v>4.9350391799999995</v>
      </c>
      <c r="R45" s="535">
        <f>R43+R44</f>
        <v>1.602670900000001</v>
      </c>
      <c r="S45" s="518">
        <f>IF(Q45=0, "    ---- ", IF(ABS(ROUND(100/Q45*R45-100,1))&lt;999,ROUND(100/Q45*R45-100,1),IF(ROUND(100/Q45*R45-100,1)&gt;999,999,-999)))</f>
        <v>-67.5</v>
      </c>
      <c r="T45" s="651">
        <v>5508.5290798799997</v>
      </c>
      <c r="U45" s="535">
        <v>387.89326494999966</v>
      </c>
      <c r="V45" s="518">
        <f>IF(T45=0, "    ---- ", IF(ABS(ROUND(100/T45*U45-100,1))&lt;999,ROUND(100/T45*U45-100,1),IF(ROUND(100/T45*U45-100,1)&gt;999,999,-999)))</f>
        <v>-93</v>
      </c>
      <c r="W45" s="651">
        <f>W43+W44</f>
        <v>178.44477325000008</v>
      </c>
      <c r="X45" s="535">
        <f>X43+X44</f>
        <v>140.4399704300011</v>
      </c>
      <c r="Y45" s="518">
        <f>IF(W45=0, "    ---- ", IF(ABS(ROUND(100/W45*X45-100,1))&lt;999,ROUND(100/W45*X45-100,1),IF(ROUND(100/W45*X45-100,1)&gt;999,999,-999)))</f>
        <v>-21.3</v>
      </c>
      <c r="Z45" s="651">
        <f>Z43+Z44</f>
        <v>227</v>
      </c>
      <c r="AA45" s="535">
        <f>AA43+AA44</f>
        <v>15</v>
      </c>
      <c r="AB45" s="518">
        <f>IF(Z45=0, "    ---- ", IF(ABS(ROUND(100/Z45*AA45-100,1))&lt;999,ROUND(100/Z45*AA45-100,1),IF(ROUND(100/Z45*AA45-100,1)&gt;999,999,-999)))</f>
        <v>-93.4</v>
      </c>
      <c r="AC45" s="651">
        <f>AC43+AC44</f>
        <v>3.7279990700000081</v>
      </c>
      <c r="AD45" s="535">
        <f>AD43+AD44</f>
        <v>13.236901129999959</v>
      </c>
      <c r="AE45" s="518">
        <f>IF(AC45=0, "    ---- ", IF(ABS(ROUND(100/AC45*AD45-100,1))&lt;999,ROUND(100/AC45*AD45-100,1),IF(ROUND(100/AC45*AD45-100,1)&gt;999,999,-999)))</f>
        <v>255.1</v>
      </c>
      <c r="AF45" s="651">
        <f>AF43+AF44</f>
        <v>-16.66494808000126</v>
      </c>
      <c r="AG45" s="535">
        <f>AG43+AG44</f>
        <v>3.1728228899988355</v>
      </c>
      <c r="AH45" s="518">
        <f>IF(AF45=0, "    ---- ", IF(ABS(ROUND(100/AF45*AG45-100,1))&lt;999,ROUND(100/AF45*AG45-100,1),IF(ROUND(100/AF45*AG45-100,1)&gt;999,999,-999)))</f>
        <v>-119</v>
      </c>
      <c r="AI45" s="651">
        <f>AI43+AI44</f>
        <v>1201</v>
      </c>
      <c r="AJ45" s="535">
        <f>AJ43+AJ44</f>
        <v>1704</v>
      </c>
      <c r="AK45" s="518">
        <f>IF(AI45=0, "    ---- ", IF(ABS(ROUND(100/AI45*AJ45-100,1))&lt;999,ROUND(100/AI45*AJ45-100,1),IF(ROUND(100/AI45*AJ45-100,1)&gt;999,999,-999)))</f>
        <v>41.9</v>
      </c>
      <c r="AL45" s="535"/>
      <c r="AM45" s="535">
        <f>AM43+AM44</f>
        <v>-7.1</v>
      </c>
      <c r="AN45" s="518" t="str">
        <f>IF(AL45=0, "    ---- ", IF(ABS(ROUND(100/AL45*AM45-100,1))&lt;999,ROUND(100/AL45*AM45-100,1),IF(ROUND(100/AL45*AM45-100,1)&gt;999,999,-999)))</f>
        <v xml:space="preserve">    ---- </v>
      </c>
      <c r="AO45" s="518">
        <f t="shared" si="40"/>
        <v>7679.2869063399976</v>
      </c>
      <c r="AP45" s="518">
        <f t="shared" si="41"/>
        <v>2471.1618964900017</v>
      </c>
      <c r="AQ45" s="518">
        <f t="shared" si="13"/>
        <v>-67.8</v>
      </c>
      <c r="AR45" s="536"/>
      <c r="AS45" s="537"/>
      <c r="AT45" s="538"/>
    </row>
    <row r="46" spans="1:46" s="534" customFormat="1" ht="18.75" customHeight="1" x14ac:dyDescent="0.3">
      <c r="A46" s="539"/>
      <c r="B46" s="652"/>
      <c r="C46" s="652"/>
      <c r="D46" s="540"/>
      <c r="E46" s="652"/>
      <c r="F46" s="652"/>
      <c r="G46" s="523"/>
      <c r="H46" s="652"/>
      <c r="I46" s="652"/>
      <c r="J46" s="523"/>
      <c r="K46" s="652"/>
      <c r="L46" s="652"/>
      <c r="M46" s="523"/>
      <c r="N46" s="652"/>
      <c r="O46" s="652"/>
      <c r="P46" s="540"/>
      <c r="Q46" s="652"/>
      <c r="R46" s="652"/>
      <c r="S46" s="523"/>
      <c r="T46" s="652"/>
      <c r="U46" s="652"/>
      <c r="V46" s="523"/>
      <c r="W46" s="652"/>
      <c r="X46" s="652"/>
      <c r="Y46" s="523"/>
      <c r="Z46" s="652"/>
      <c r="AA46" s="652"/>
      <c r="AB46" s="523"/>
      <c r="AC46" s="652"/>
      <c r="AD46" s="652"/>
      <c r="AE46" s="523"/>
      <c r="AF46" s="652"/>
      <c r="AG46" s="652"/>
      <c r="AH46" s="523"/>
      <c r="AI46" s="652"/>
      <c r="AJ46" s="652"/>
      <c r="AK46" s="523"/>
      <c r="AL46" s="632"/>
      <c r="AM46" s="652"/>
      <c r="AN46" s="523"/>
      <c r="AO46" s="540"/>
      <c r="AP46" s="540"/>
      <c r="AQ46" s="523"/>
      <c r="AR46" s="541"/>
      <c r="AS46" s="541"/>
      <c r="AT46" s="542"/>
    </row>
    <row r="47" spans="1:46" s="543" customFormat="1" ht="18.75" customHeight="1" x14ac:dyDescent="0.3">
      <c r="A47" s="560" t="s">
        <v>320</v>
      </c>
      <c r="B47" s="653"/>
      <c r="C47" s="653"/>
      <c r="D47" s="560"/>
      <c r="E47" s="653"/>
      <c r="F47" s="653"/>
      <c r="G47" s="560"/>
      <c r="H47" s="653"/>
      <c r="I47" s="653"/>
      <c r="J47" s="560"/>
      <c r="K47" s="653"/>
      <c r="L47" s="653"/>
      <c r="M47" s="560"/>
      <c r="N47" s="653"/>
      <c r="O47" s="653"/>
      <c r="P47" s="560"/>
      <c r="Q47" s="653"/>
      <c r="R47" s="653"/>
      <c r="S47" s="560"/>
      <c r="T47" s="653"/>
      <c r="U47" s="653"/>
      <c r="V47" s="560"/>
      <c r="W47" s="653"/>
      <c r="X47" s="653"/>
      <c r="Y47" s="560"/>
      <c r="Z47" s="653"/>
      <c r="AA47" s="653"/>
      <c r="AB47" s="560"/>
      <c r="AC47" s="653"/>
      <c r="AD47" s="653"/>
      <c r="AE47" s="560"/>
      <c r="AF47" s="653"/>
      <c r="AG47" s="653"/>
      <c r="AH47" s="560"/>
      <c r="AI47" s="653"/>
      <c r="AJ47" s="653"/>
      <c r="AK47" s="560"/>
      <c r="AL47" s="560"/>
      <c r="AM47" s="653"/>
      <c r="AN47" s="560"/>
      <c r="AO47" s="560"/>
      <c r="AP47" s="560"/>
      <c r="AQ47" s="560"/>
      <c r="AR47" s="560"/>
      <c r="AS47" s="560"/>
      <c r="AT47" s="560"/>
    </row>
    <row r="48" spans="1:46" s="544" customFormat="1" ht="18.75" customHeight="1" x14ac:dyDescent="0.3">
      <c r="A48" s="560" t="s">
        <v>321</v>
      </c>
      <c r="B48" s="653"/>
      <c r="C48" s="653"/>
      <c r="D48" s="560"/>
      <c r="E48" s="653"/>
      <c r="F48" s="653"/>
      <c r="G48" s="560"/>
      <c r="H48" s="653"/>
      <c r="I48" s="653"/>
      <c r="J48" s="560"/>
      <c r="K48" s="653"/>
      <c r="L48" s="653"/>
      <c r="M48" s="560"/>
      <c r="N48" s="653"/>
      <c r="O48" s="653"/>
      <c r="P48" s="560"/>
      <c r="Q48" s="653"/>
      <c r="R48" s="653"/>
      <c r="S48" s="560"/>
      <c r="T48" s="653"/>
      <c r="U48" s="653"/>
      <c r="V48" s="560"/>
      <c r="W48" s="653"/>
      <c r="X48" s="653"/>
      <c r="Y48" s="560"/>
      <c r="Z48" s="653"/>
      <c r="AA48" s="653"/>
      <c r="AB48" s="560"/>
      <c r="AC48" s="653"/>
      <c r="AD48" s="653"/>
      <c r="AE48" s="560"/>
      <c r="AF48" s="653"/>
      <c r="AG48" s="653"/>
      <c r="AH48" s="560"/>
      <c r="AI48" s="653"/>
      <c r="AJ48" s="653"/>
      <c r="AK48" s="560"/>
      <c r="AL48" s="560"/>
      <c r="AM48" s="653"/>
      <c r="AN48" s="560"/>
      <c r="AO48" s="560"/>
      <c r="AP48" s="560"/>
      <c r="AQ48" s="560"/>
      <c r="AR48" s="560"/>
      <c r="AS48" s="560"/>
      <c r="AT48" s="560"/>
    </row>
    <row r="49" spans="1:46" s="544" customFormat="1" ht="18.75" customHeight="1" x14ac:dyDescent="0.3">
      <c r="A49" s="560" t="s">
        <v>322</v>
      </c>
      <c r="B49" s="653"/>
      <c r="C49" s="653"/>
      <c r="D49" s="560"/>
      <c r="E49" s="653"/>
      <c r="F49" s="653"/>
      <c r="G49" s="560"/>
      <c r="H49" s="653"/>
      <c r="I49" s="653"/>
      <c r="J49" s="560"/>
      <c r="K49" s="653"/>
      <c r="L49" s="653"/>
      <c r="M49" s="560"/>
      <c r="N49" s="653"/>
      <c r="O49" s="653"/>
      <c r="P49" s="560"/>
      <c r="Q49" s="653"/>
      <c r="R49" s="653"/>
      <c r="S49" s="560"/>
      <c r="T49" s="653"/>
      <c r="U49" s="653"/>
      <c r="V49" s="560"/>
      <c r="W49" s="653"/>
      <c r="X49" s="653"/>
      <c r="Y49" s="560"/>
      <c r="Z49" s="653"/>
      <c r="AA49" s="653"/>
      <c r="AB49" s="560"/>
      <c r="AC49" s="653"/>
      <c r="AD49" s="653"/>
      <c r="AE49" s="560"/>
      <c r="AF49" s="653"/>
      <c r="AG49" s="653"/>
      <c r="AH49" s="560"/>
      <c r="AI49" s="653"/>
      <c r="AJ49" s="653"/>
      <c r="AK49" s="560"/>
      <c r="AL49" s="560"/>
      <c r="AM49" s="653"/>
      <c r="AN49" s="560"/>
      <c r="AO49" s="560"/>
      <c r="AP49" s="560"/>
      <c r="AQ49" s="560"/>
      <c r="AR49" s="560"/>
      <c r="AS49" s="560"/>
      <c r="AT49" s="560"/>
    </row>
    <row r="50" spans="1:46" s="544" customFormat="1" ht="18.75" customHeight="1" x14ac:dyDescent="0.3">
      <c r="A50" s="560" t="s">
        <v>323</v>
      </c>
      <c r="B50" s="653"/>
      <c r="C50" s="653"/>
      <c r="D50" s="560"/>
      <c r="E50" s="653"/>
      <c r="F50" s="653"/>
      <c r="G50" s="560"/>
      <c r="H50" s="653"/>
      <c r="I50" s="653"/>
      <c r="J50" s="560"/>
      <c r="K50" s="653"/>
      <c r="L50" s="653"/>
      <c r="M50" s="560"/>
      <c r="N50" s="653"/>
      <c r="O50" s="653"/>
      <c r="P50" s="560"/>
      <c r="Q50" s="653"/>
      <c r="R50" s="653"/>
      <c r="S50" s="560"/>
      <c r="T50" s="653"/>
      <c r="U50" s="653"/>
      <c r="V50" s="560"/>
      <c r="W50" s="653"/>
      <c r="X50" s="653"/>
      <c r="Y50" s="560"/>
      <c r="Z50" s="653"/>
      <c r="AA50" s="653"/>
      <c r="AB50" s="560"/>
      <c r="AC50" s="653"/>
      <c r="AD50" s="653"/>
      <c r="AE50" s="560"/>
      <c r="AF50" s="653"/>
      <c r="AG50" s="653"/>
      <c r="AH50" s="560"/>
      <c r="AI50" s="653"/>
      <c r="AJ50" s="653"/>
      <c r="AK50" s="560"/>
      <c r="AL50" s="560"/>
      <c r="AM50" s="653"/>
      <c r="AN50" s="560"/>
      <c r="AO50" s="560"/>
      <c r="AP50" s="560"/>
      <c r="AQ50" s="560"/>
      <c r="AR50" s="560"/>
      <c r="AS50" s="560"/>
      <c r="AT50" s="560"/>
    </row>
    <row r="51" spans="1:46" s="544" customFormat="1" ht="18.75" customHeight="1" x14ac:dyDescent="0.3">
      <c r="A51" s="560" t="s">
        <v>324</v>
      </c>
      <c r="B51" s="653"/>
      <c r="C51" s="653"/>
      <c r="D51" s="560"/>
      <c r="E51" s="653"/>
      <c r="F51" s="653"/>
      <c r="G51" s="560"/>
      <c r="H51" s="653"/>
      <c r="I51" s="653"/>
      <c r="J51" s="560"/>
      <c r="K51" s="653"/>
      <c r="L51" s="653"/>
      <c r="M51" s="560"/>
      <c r="N51" s="653"/>
      <c r="O51" s="653"/>
      <c r="P51" s="560"/>
      <c r="Q51" s="653"/>
      <c r="R51" s="653"/>
      <c r="S51" s="560"/>
      <c r="T51" s="653"/>
      <c r="U51" s="653"/>
      <c r="V51" s="560"/>
      <c r="W51" s="653"/>
      <c r="X51" s="653"/>
      <c r="Y51" s="560"/>
      <c r="Z51" s="653"/>
      <c r="AA51" s="653"/>
      <c r="AB51" s="560"/>
      <c r="AC51" s="653"/>
      <c r="AD51" s="653"/>
      <c r="AE51" s="560"/>
      <c r="AF51" s="653"/>
      <c r="AG51" s="653"/>
      <c r="AH51" s="560"/>
      <c r="AI51" s="653"/>
      <c r="AJ51" s="653"/>
      <c r="AK51" s="560"/>
      <c r="AL51" s="560"/>
      <c r="AM51" s="653"/>
      <c r="AN51" s="560"/>
      <c r="AO51" s="560"/>
      <c r="AP51" s="560"/>
      <c r="AQ51" s="560"/>
      <c r="AR51" s="560"/>
      <c r="AS51" s="560"/>
      <c r="AT51" s="560"/>
    </row>
    <row r="52" spans="1:46" s="544" customFormat="1" ht="18.75" customHeight="1" x14ac:dyDescent="0.3">
      <c r="A52" s="560" t="s">
        <v>325</v>
      </c>
      <c r="B52" s="653"/>
      <c r="C52" s="653"/>
      <c r="D52" s="560"/>
      <c r="E52" s="653"/>
      <c r="F52" s="653"/>
      <c r="G52" s="560"/>
      <c r="H52" s="653"/>
      <c r="I52" s="653"/>
      <c r="J52" s="560"/>
      <c r="K52" s="653"/>
      <c r="L52" s="653"/>
      <c r="M52" s="560"/>
      <c r="N52" s="653"/>
      <c r="O52" s="653"/>
      <c r="P52" s="560"/>
      <c r="Q52" s="653"/>
      <c r="R52" s="653"/>
      <c r="S52" s="560"/>
      <c r="T52" s="653"/>
      <c r="U52" s="653"/>
      <c r="V52" s="560"/>
      <c r="W52" s="653"/>
      <c r="X52" s="653"/>
      <c r="Y52" s="560"/>
      <c r="Z52" s="653"/>
      <c r="AA52" s="653"/>
      <c r="AB52" s="560"/>
      <c r="AC52" s="653"/>
      <c r="AD52" s="653"/>
      <c r="AE52" s="560"/>
      <c r="AF52" s="653"/>
      <c r="AG52" s="653"/>
      <c r="AH52" s="560"/>
      <c r="AI52" s="653"/>
      <c r="AJ52" s="653"/>
      <c r="AK52" s="560"/>
      <c r="AL52" s="560"/>
      <c r="AM52" s="653"/>
      <c r="AN52" s="560"/>
      <c r="AO52" s="560"/>
      <c r="AP52" s="560"/>
      <c r="AQ52" s="560"/>
      <c r="AR52" s="560"/>
      <c r="AS52" s="560"/>
      <c r="AT52" s="560"/>
    </row>
    <row r="53" spans="1:46" s="544" customFormat="1" ht="18.75" customHeight="1" x14ac:dyDescent="0.3">
      <c r="A53" s="560" t="s">
        <v>326</v>
      </c>
      <c r="B53" s="653"/>
      <c r="C53" s="653"/>
      <c r="D53" s="560"/>
      <c r="E53" s="653"/>
      <c r="F53" s="653"/>
      <c r="G53" s="560"/>
      <c r="H53" s="653"/>
      <c r="I53" s="653"/>
      <c r="J53" s="560"/>
      <c r="K53" s="653"/>
      <c r="L53" s="653"/>
      <c r="M53" s="560"/>
      <c r="N53" s="653"/>
      <c r="O53" s="653"/>
      <c r="P53" s="560"/>
      <c r="Q53" s="653"/>
      <c r="R53" s="653"/>
      <c r="S53" s="560"/>
      <c r="T53" s="653"/>
      <c r="U53" s="653"/>
      <c r="V53" s="560"/>
      <c r="W53" s="653"/>
      <c r="X53" s="653"/>
      <c r="Y53" s="560"/>
      <c r="Z53" s="653"/>
      <c r="AA53" s="653"/>
      <c r="AB53" s="560"/>
      <c r="AC53" s="653"/>
      <c r="AD53" s="653"/>
      <c r="AE53" s="560"/>
      <c r="AF53" s="653"/>
      <c r="AG53" s="653"/>
      <c r="AH53" s="560"/>
      <c r="AI53" s="653"/>
      <c r="AJ53" s="653"/>
      <c r="AK53" s="560"/>
      <c r="AL53" s="560"/>
      <c r="AM53" s="653"/>
      <c r="AN53" s="560"/>
      <c r="AO53" s="560"/>
      <c r="AP53" s="560"/>
      <c r="AQ53" s="560"/>
      <c r="AR53" s="560"/>
      <c r="AS53" s="560"/>
      <c r="AT53" s="560"/>
    </row>
    <row r="54" spans="1:46" s="544" customFormat="1" ht="18.75" customHeight="1" x14ac:dyDescent="0.3">
      <c r="A54" s="560" t="s">
        <v>327</v>
      </c>
      <c r="B54" s="653"/>
      <c r="C54" s="653"/>
      <c r="D54" s="560"/>
      <c r="E54" s="653"/>
      <c r="F54" s="653"/>
      <c r="G54" s="560"/>
      <c r="H54" s="653"/>
      <c r="I54" s="653"/>
      <c r="J54" s="560"/>
      <c r="K54" s="653"/>
      <c r="L54" s="653"/>
      <c r="M54" s="560"/>
      <c r="N54" s="653"/>
      <c r="O54" s="653"/>
      <c r="P54" s="560"/>
      <c r="Q54" s="653"/>
      <c r="R54" s="653"/>
      <c r="S54" s="560"/>
      <c r="T54" s="653"/>
      <c r="U54" s="653"/>
      <c r="V54" s="560"/>
      <c r="W54" s="653"/>
      <c r="X54" s="653"/>
      <c r="Y54" s="560"/>
      <c r="Z54" s="653"/>
      <c r="AA54" s="653"/>
      <c r="AB54" s="560"/>
      <c r="AC54" s="653"/>
      <c r="AD54" s="653"/>
      <c r="AE54" s="560"/>
      <c r="AF54" s="653"/>
      <c r="AG54" s="653"/>
      <c r="AH54" s="560"/>
      <c r="AI54" s="653"/>
      <c r="AJ54" s="653"/>
      <c r="AK54" s="560"/>
      <c r="AL54" s="560"/>
      <c r="AM54" s="653"/>
      <c r="AN54" s="560"/>
      <c r="AO54" s="560"/>
      <c r="AP54" s="560"/>
      <c r="AQ54" s="560"/>
      <c r="AR54" s="560"/>
      <c r="AS54" s="560"/>
      <c r="AT54" s="560"/>
    </row>
    <row r="55" spans="1:46" s="544" customFormat="1" ht="18.75" customHeight="1" x14ac:dyDescent="0.3">
      <c r="A55" s="560" t="s">
        <v>328</v>
      </c>
      <c r="B55" s="653"/>
      <c r="C55" s="653"/>
      <c r="D55" s="560"/>
      <c r="E55" s="653"/>
      <c r="F55" s="653"/>
      <c r="G55" s="560"/>
      <c r="H55" s="653"/>
      <c r="I55" s="653"/>
      <c r="J55" s="560"/>
      <c r="K55" s="653"/>
      <c r="L55" s="653"/>
      <c r="M55" s="560"/>
      <c r="N55" s="653"/>
      <c r="O55" s="653"/>
      <c r="P55" s="560"/>
      <c r="Q55" s="653"/>
      <c r="R55" s="653"/>
      <c r="S55" s="560"/>
      <c r="T55" s="653"/>
      <c r="U55" s="653"/>
      <c r="V55" s="560"/>
      <c r="W55" s="653"/>
      <c r="X55" s="653"/>
      <c r="Y55" s="560"/>
      <c r="Z55" s="653"/>
      <c r="AA55" s="653"/>
      <c r="AB55" s="560"/>
      <c r="AC55" s="653"/>
      <c r="AD55" s="653"/>
      <c r="AE55" s="560"/>
      <c r="AF55" s="653"/>
      <c r="AG55" s="653"/>
      <c r="AH55" s="560"/>
      <c r="AI55" s="653"/>
      <c r="AJ55" s="653"/>
      <c r="AK55" s="560"/>
      <c r="AL55" s="560"/>
      <c r="AM55" s="653"/>
      <c r="AN55" s="560"/>
      <c r="AO55" s="560"/>
      <c r="AP55" s="560"/>
      <c r="AQ55" s="560"/>
      <c r="AR55" s="560"/>
      <c r="AS55" s="560"/>
      <c r="AT55" s="560"/>
    </row>
    <row r="56" spans="1:46" s="544" customFormat="1" ht="18.75" customHeight="1" x14ac:dyDescent="0.3">
      <c r="A56" s="560" t="s">
        <v>329</v>
      </c>
      <c r="B56" s="653"/>
      <c r="C56" s="653"/>
      <c r="D56" s="560"/>
      <c r="E56" s="653"/>
      <c r="F56" s="653"/>
      <c r="G56" s="560"/>
      <c r="H56" s="653"/>
      <c r="I56" s="653"/>
      <c r="J56" s="560"/>
      <c r="K56" s="653"/>
      <c r="L56" s="653"/>
      <c r="M56" s="560"/>
      <c r="N56" s="653"/>
      <c r="O56" s="653"/>
      <c r="P56" s="560"/>
      <c r="Q56" s="653"/>
      <c r="R56" s="653"/>
      <c r="S56" s="560"/>
      <c r="T56" s="653"/>
      <c r="U56" s="653"/>
      <c r="V56" s="560"/>
      <c r="W56" s="653"/>
      <c r="X56" s="653"/>
      <c r="Y56" s="560"/>
      <c r="Z56" s="653"/>
      <c r="AA56" s="653"/>
      <c r="AB56" s="560"/>
      <c r="AC56" s="653"/>
      <c r="AD56" s="653"/>
      <c r="AE56" s="560"/>
      <c r="AF56" s="653"/>
      <c r="AG56" s="653"/>
      <c r="AH56" s="560"/>
      <c r="AI56" s="653"/>
      <c r="AJ56" s="653"/>
      <c r="AK56" s="560"/>
      <c r="AL56" s="560"/>
      <c r="AM56" s="653"/>
      <c r="AN56" s="560"/>
      <c r="AO56" s="560"/>
      <c r="AP56" s="560"/>
      <c r="AQ56" s="560"/>
      <c r="AR56" s="560"/>
      <c r="AS56" s="560"/>
      <c r="AT56" s="560"/>
    </row>
    <row r="57" spans="1:46" s="543" customFormat="1" ht="18.75" customHeight="1" x14ac:dyDescent="0.3">
      <c r="A57" s="561" t="s">
        <v>330</v>
      </c>
      <c r="B57" s="654"/>
      <c r="C57" s="654"/>
      <c r="D57" s="561"/>
      <c r="E57" s="654"/>
      <c r="F57" s="654"/>
      <c r="G57" s="561"/>
      <c r="H57" s="654"/>
      <c r="I57" s="654"/>
      <c r="J57" s="561"/>
      <c r="K57" s="654"/>
      <c r="L57" s="654"/>
      <c r="M57" s="561"/>
      <c r="N57" s="654"/>
      <c r="O57" s="654"/>
      <c r="P57" s="561"/>
      <c r="Q57" s="654"/>
      <c r="R57" s="654"/>
      <c r="S57" s="561"/>
      <c r="T57" s="654"/>
      <c r="U57" s="654"/>
      <c r="V57" s="561"/>
      <c r="W57" s="654"/>
      <c r="X57" s="654"/>
      <c r="Y57" s="561"/>
      <c r="Z57" s="654"/>
      <c r="AA57" s="654"/>
      <c r="AB57" s="561"/>
      <c r="AC57" s="654"/>
      <c r="AD57" s="654"/>
      <c r="AE57" s="561"/>
      <c r="AF57" s="654"/>
      <c r="AG57" s="654"/>
      <c r="AH57" s="561"/>
      <c r="AI57" s="654"/>
      <c r="AJ57" s="654"/>
      <c r="AK57" s="561"/>
      <c r="AL57" s="561"/>
      <c r="AM57" s="654"/>
      <c r="AN57" s="561"/>
      <c r="AO57" s="561"/>
      <c r="AP57" s="561"/>
      <c r="AQ57" s="561"/>
      <c r="AR57" s="561"/>
      <c r="AS57" s="561"/>
      <c r="AT57" s="561"/>
    </row>
    <row r="58" spans="1:46" s="546" customFormat="1" ht="18.75" customHeight="1" x14ac:dyDescent="0.3">
      <c r="A58" s="531" t="s">
        <v>246</v>
      </c>
      <c r="B58" s="531"/>
      <c r="C58" s="545"/>
      <c r="D58" s="545"/>
      <c r="E58" s="545"/>
      <c r="F58" s="545"/>
      <c r="G58" s="545"/>
      <c r="H58" s="54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row>
    <row r="59" spans="1:46" s="546" customFormat="1" ht="18.75" customHeight="1" x14ac:dyDescent="0.3">
      <c r="A59" s="531" t="s">
        <v>247</v>
      </c>
    </row>
    <row r="60" spans="1:46" s="546" customFormat="1" ht="18.75" customHeight="1" x14ac:dyDescent="0.3">
      <c r="A60" s="531" t="s">
        <v>248</v>
      </c>
    </row>
    <row r="61" spans="1:46" s="546" customFormat="1" ht="18.75" x14ac:dyDescent="0.3"/>
  </sheetData>
  <mergeCells count="26">
    <mergeCell ref="B5:D5"/>
    <mergeCell ref="E5:G5"/>
    <mergeCell ref="H5:J5"/>
    <mergeCell ref="K5:M5"/>
    <mergeCell ref="AF5:AH5"/>
    <mergeCell ref="N5:P5"/>
    <mergeCell ref="Z5:AB5"/>
    <mergeCell ref="AC6:AE6"/>
    <mergeCell ref="B6:D6"/>
    <mergeCell ref="E6:G6"/>
    <mergeCell ref="H6:J6"/>
    <mergeCell ref="K6:M6"/>
    <mergeCell ref="N6:P6"/>
    <mergeCell ref="Q6:S6"/>
    <mergeCell ref="T6:V6"/>
    <mergeCell ref="W6:Y6"/>
    <mergeCell ref="Z6:AB6"/>
    <mergeCell ref="AR5:AT5"/>
    <mergeCell ref="AR6:AT6"/>
    <mergeCell ref="AF6:AH6"/>
    <mergeCell ref="AI6:AK6"/>
    <mergeCell ref="AO6:AQ6"/>
    <mergeCell ref="AI5:AK5"/>
    <mergeCell ref="AO5:AQ5"/>
    <mergeCell ref="AL6:AN6"/>
    <mergeCell ref="AL5:AN5"/>
  </mergeCells>
  <conditionalFormatting sqref="AL29">
    <cfRule type="expression" dxfId="237" priority="231">
      <formula>#REF! ="30≠24+25+26+27+28+29"</formula>
    </cfRule>
  </conditionalFormatting>
  <conditionalFormatting sqref="AL34">
    <cfRule type="expression" dxfId="236" priority="232">
      <formula>#REF! ="35≠14+15+16+17+22+30+31+32+33+34"</formula>
    </cfRule>
  </conditionalFormatting>
  <conditionalFormatting sqref="AL45">
    <cfRule type="expression" dxfId="235" priority="233">
      <formula>#REF! ="46≠35+38+39+40+43+45"</formula>
    </cfRule>
  </conditionalFormatting>
  <conditionalFormatting sqref="AL14">
    <cfRule type="expression" dxfId="234" priority="234">
      <formula>#REF! ="14≠11+12+13"</formula>
    </cfRule>
  </conditionalFormatting>
  <conditionalFormatting sqref="AL21">
    <cfRule type="expression" dxfId="233" priority="235">
      <formula>#REF! ="22≠19+20+21"</formula>
    </cfRule>
  </conditionalFormatting>
  <conditionalFormatting sqref="H29">
    <cfRule type="expression" dxfId="232" priority="126">
      <formula>#REF! ="30≠24+25+26+27+28+29"</formula>
    </cfRule>
  </conditionalFormatting>
  <conditionalFormatting sqref="H34">
    <cfRule type="expression" dxfId="231" priority="127">
      <formula>#REF! ="35≠14+15+16+17+22+30+31+32+33+34"</formula>
    </cfRule>
  </conditionalFormatting>
  <conditionalFormatting sqref="H45">
    <cfRule type="expression" dxfId="230" priority="128">
      <formula>#REF! ="46≠35+38+39+40+43+45"</formula>
    </cfRule>
  </conditionalFormatting>
  <conditionalFormatting sqref="H14">
    <cfRule type="expression" dxfId="229" priority="129">
      <formula>#REF! ="14≠11+12+13"</formula>
    </cfRule>
  </conditionalFormatting>
  <conditionalFormatting sqref="H21">
    <cfRule type="expression" dxfId="228" priority="130">
      <formula>#REF! ="22≠19+20+21"</formula>
    </cfRule>
  </conditionalFormatting>
  <conditionalFormatting sqref="W29">
    <cfRule type="expression" dxfId="227" priority="116">
      <formula>#REF! ="30≠24+25+26+27+28+29"</formula>
    </cfRule>
  </conditionalFormatting>
  <conditionalFormatting sqref="W34">
    <cfRule type="expression" dxfId="226" priority="117">
      <formula>#REF! ="35≠14+15+16+17+22+30+31+32+33+34"</formula>
    </cfRule>
  </conditionalFormatting>
  <conditionalFormatting sqref="W45">
    <cfRule type="expression" dxfId="225" priority="118">
      <formula>#REF! ="46≠35+38+39+40+43+45"</formula>
    </cfRule>
  </conditionalFormatting>
  <conditionalFormatting sqref="W14">
    <cfRule type="expression" dxfId="224" priority="119">
      <formula>#REF! ="14≠11+12+13"</formula>
    </cfRule>
  </conditionalFormatting>
  <conditionalFormatting sqref="W21">
    <cfRule type="expression" dxfId="223" priority="120">
      <formula>#REF! ="22≠19+20+21"</formula>
    </cfRule>
  </conditionalFormatting>
  <conditionalFormatting sqref="AF29">
    <cfRule type="expression" dxfId="222" priority="106">
      <formula>#REF! ="30≠24+25+26+27+28+29"</formula>
    </cfRule>
  </conditionalFormatting>
  <conditionalFormatting sqref="AF34">
    <cfRule type="expression" dxfId="221" priority="107">
      <formula>#REF! ="35≠14+15+16+17+22+30+31+32+33+34"</formula>
    </cfRule>
  </conditionalFormatting>
  <conditionalFormatting sqref="AF45">
    <cfRule type="expression" dxfId="220" priority="108">
      <formula>#REF! ="46≠35+38+39+40+43+45"</formula>
    </cfRule>
  </conditionalFormatting>
  <conditionalFormatting sqref="AF14">
    <cfRule type="expression" dxfId="219" priority="109">
      <formula>#REF! ="14≠11+12+13"</formula>
    </cfRule>
  </conditionalFormatting>
  <conditionalFormatting sqref="AF21">
    <cfRule type="expression" dxfId="218" priority="110">
      <formula>#REF! ="22≠19+20+21"</formula>
    </cfRule>
  </conditionalFormatting>
  <conditionalFormatting sqref="N29">
    <cfRule type="expression" dxfId="217" priority="96">
      <formula>#REF! ="30≠24+25+26+27+28+29"</formula>
    </cfRule>
  </conditionalFormatting>
  <conditionalFormatting sqref="N34">
    <cfRule type="expression" dxfId="216" priority="97">
      <formula>#REF! ="35≠14+15+16+17+22+30+31+32+33+34"</formula>
    </cfRule>
  </conditionalFormatting>
  <conditionalFormatting sqref="N45">
    <cfRule type="expression" dxfId="215" priority="98">
      <formula>#REF! ="46≠35+38+39+40+43+45"</formula>
    </cfRule>
  </conditionalFormatting>
  <conditionalFormatting sqref="N14">
    <cfRule type="expression" dxfId="214" priority="99">
      <formula>#REF! ="14≠11+12+13"</formula>
    </cfRule>
  </conditionalFormatting>
  <conditionalFormatting sqref="N21">
    <cfRule type="expression" dxfId="213" priority="100">
      <formula>#REF! ="22≠19+20+21"</formula>
    </cfRule>
  </conditionalFormatting>
  <conditionalFormatting sqref="AI29">
    <cfRule type="expression" dxfId="212" priority="81">
      <formula>#REF! ="30≠24+25+26+27+28+29"</formula>
    </cfRule>
  </conditionalFormatting>
  <conditionalFormatting sqref="AI34">
    <cfRule type="expression" dxfId="211" priority="82">
      <formula>#REF! ="35≠14+15+16+17+22+30+31+32+33+34"</formula>
    </cfRule>
  </conditionalFormatting>
  <conditionalFormatting sqref="AI45">
    <cfRule type="expression" dxfId="210" priority="83">
      <formula>#REF! ="46≠35+38+39+40+43+45"</formula>
    </cfRule>
  </conditionalFormatting>
  <conditionalFormatting sqref="AI14">
    <cfRule type="expression" dxfId="209" priority="84">
      <formula>#REF! ="14≠11+12+13"</formula>
    </cfRule>
  </conditionalFormatting>
  <conditionalFormatting sqref="AI21">
    <cfRule type="expression" dxfId="208" priority="85">
      <formula>#REF! ="22≠19+20+21"</formula>
    </cfRule>
  </conditionalFormatting>
  <conditionalFormatting sqref="K29">
    <cfRule type="expression" dxfId="207" priority="71">
      <formula>#REF! ="30≠24+25+26+27+28+29"</formula>
    </cfRule>
  </conditionalFormatting>
  <conditionalFormatting sqref="K34">
    <cfRule type="expression" dxfId="206" priority="72">
      <formula>#REF! ="35≠14+15+16+17+22+30+31+32+33+34"</formula>
    </cfRule>
  </conditionalFormatting>
  <conditionalFormatting sqref="K45">
    <cfRule type="expression" dxfId="205" priority="73">
      <formula>#REF! ="46≠35+38+39+40+43+45"</formula>
    </cfRule>
  </conditionalFormatting>
  <conditionalFormatting sqref="K14">
    <cfRule type="expression" dxfId="204" priority="74">
      <formula>#REF! ="14≠11+12+13"</formula>
    </cfRule>
  </conditionalFormatting>
  <conditionalFormatting sqref="K21">
    <cfRule type="expression" dxfId="203" priority="75">
      <formula>#REF! ="22≠19+20+21"</formula>
    </cfRule>
  </conditionalFormatting>
  <conditionalFormatting sqref="B29">
    <cfRule type="expression" dxfId="202" priority="61">
      <formula>#REF! ="30≠24+25+26+27+28+29"</formula>
    </cfRule>
  </conditionalFormatting>
  <conditionalFormatting sqref="B34">
    <cfRule type="expression" dxfId="201" priority="62">
      <formula>#REF! ="35≠14+15+16+17+22+30+31+32+33+34"</formula>
    </cfRule>
  </conditionalFormatting>
  <conditionalFormatting sqref="B45">
    <cfRule type="expression" dxfId="200" priority="63">
      <formula>#REF! ="46≠35+38+39+40+43+45"</formula>
    </cfRule>
  </conditionalFormatting>
  <conditionalFormatting sqref="B14">
    <cfRule type="expression" dxfId="199" priority="64">
      <formula>#REF! ="14≠11+12+13"</formula>
    </cfRule>
  </conditionalFormatting>
  <conditionalFormatting sqref="B21">
    <cfRule type="expression" dxfId="198" priority="65">
      <formula>#REF! ="22≠19+20+21"</formula>
    </cfRule>
  </conditionalFormatting>
  <conditionalFormatting sqref="E29">
    <cfRule type="expression" dxfId="197" priority="51">
      <formula>#REF! ="30≠24+25+26+27+28+29"</formula>
    </cfRule>
  </conditionalFormatting>
  <conditionalFormatting sqref="E34">
    <cfRule type="expression" dxfId="196" priority="52">
      <formula>#REF! ="35≠14+15+16+17+22+30+31+32+33+34"</formula>
    </cfRule>
  </conditionalFormatting>
  <conditionalFormatting sqref="E45">
    <cfRule type="expression" dxfId="195" priority="53">
      <formula>#REF! ="46≠35+38+39+40+43+45"</formula>
    </cfRule>
  </conditionalFormatting>
  <conditionalFormatting sqref="E14">
    <cfRule type="expression" dxfId="194" priority="54">
      <formula>#REF! ="14≠11+12+13"</formula>
    </cfRule>
  </conditionalFormatting>
  <conditionalFormatting sqref="E21">
    <cfRule type="expression" dxfId="193" priority="55">
      <formula>#REF! ="22≠19+20+21"</formula>
    </cfRule>
  </conditionalFormatting>
  <conditionalFormatting sqref="T29">
    <cfRule type="expression" dxfId="192" priority="31">
      <formula>#REF! ="30≠24+25+26+27+28+29"</formula>
    </cfRule>
  </conditionalFormatting>
  <conditionalFormatting sqref="T34">
    <cfRule type="expression" dxfId="191" priority="32">
      <formula>#REF! ="35≠14+15+16+17+22+30+31+32+33+34"</formula>
    </cfRule>
  </conditionalFormatting>
  <conditionalFormatting sqref="T45">
    <cfRule type="expression" dxfId="190" priority="33">
      <formula>#REF! ="46≠35+38+39+40+43+45"</formula>
    </cfRule>
  </conditionalFormatting>
  <conditionalFormatting sqref="T14">
    <cfRule type="expression" dxfId="189" priority="34">
      <formula>#REF! ="14≠11+12+13"</formula>
    </cfRule>
  </conditionalFormatting>
  <conditionalFormatting sqref="T21">
    <cfRule type="expression" dxfId="188" priority="35">
      <formula>#REF! ="22≠19+20+21"</formula>
    </cfRule>
  </conditionalFormatting>
  <conditionalFormatting sqref="Q29">
    <cfRule type="expression" dxfId="187" priority="24">
      <formula>#REF! ="30≠24+25+26+27+28+29"</formula>
    </cfRule>
  </conditionalFormatting>
  <conditionalFormatting sqref="Q34">
    <cfRule type="expression" dxfId="186" priority="25">
      <formula>#REF! ="35≠14+15+16+17+22+30+31+32+33+34"</formula>
    </cfRule>
  </conditionalFormatting>
  <conditionalFormatting sqref="Q45">
    <cfRule type="expression" dxfId="185" priority="26">
      <formula>#REF! ="46≠35+38+39+40+43+45"</formula>
    </cfRule>
  </conditionalFormatting>
  <conditionalFormatting sqref="Q14">
    <cfRule type="expression" dxfId="184" priority="27">
      <formula>#REF! ="14≠11+12+13"</formula>
    </cfRule>
  </conditionalFormatting>
  <conditionalFormatting sqref="Q21">
    <cfRule type="expression" dxfId="183" priority="28">
      <formula>#REF! ="22≠19+20+21"</formula>
    </cfRule>
  </conditionalFormatting>
  <conditionalFormatting sqref="Z29">
    <cfRule type="expression" dxfId="182" priority="11">
      <formula>#REF! ="30≠24+25+26+27+28+29"</formula>
    </cfRule>
  </conditionalFormatting>
  <conditionalFormatting sqref="Z34">
    <cfRule type="expression" dxfId="181" priority="12">
      <formula>#REF! ="35≠14+15+16+17+22+30+31+32+33+34"</formula>
    </cfRule>
  </conditionalFormatting>
  <conditionalFormatting sqref="Z45">
    <cfRule type="expression" dxfId="180" priority="13">
      <formula>#REF! ="46≠35+38+39+40+43+45"</formula>
    </cfRule>
  </conditionalFormatting>
  <conditionalFormatting sqref="Z14">
    <cfRule type="expression" dxfId="179" priority="14">
      <formula>#REF! ="14≠11+12+13"</formula>
    </cfRule>
  </conditionalFormatting>
  <conditionalFormatting sqref="Z21">
    <cfRule type="expression" dxfId="178" priority="15">
      <formula>#REF! ="22≠19+20+21"</formula>
    </cfRule>
  </conditionalFormatting>
  <conditionalFormatting sqref="AC29">
    <cfRule type="expression" dxfId="177" priority="6">
      <formula>#REF! ="30≠24+25+26+27+28+29"</formula>
    </cfRule>
  </conditionalFormatting>
  <conditionalFormatting sqref="AC34">
    <cfRule type="expression" dxfId="176" priority="7">
      <formula>#REF! ="35≠14+15+16+17+22+30+31+32+33+34"</formula>
    </cfRule>
  </conditionalFormatting>
  <conditionalFormatting sqref="AC45">
    <cfRule type="expression" dxfId="175" priority="8">
      <formula>#REF! ="46≠35+38+39+40+43+45"</formula>
    </cfRule>
  </conditionalFormatting>
  <conditionalFormatting sqref="AC14">
    <cfRule type="expression" dxfId="174" priority="9">
      <formula>#REF! ="14≠11+12+13"</formula>
    </cfRule>
  </conditionalFormatting>
  <conditionalFormatting sqref="AC21">
    <cfRule type="expression" dxfId="173" priority="10">
      <formula>#REF! ="22≠19+20+21"</formula>
    </cfRule>
  </conditionalFormatting>
  <conditionalFormatting sqref="AR29:AS29 I29 X29 AG29 O29 AM29 AJ29 L29 C29 F29 U29 R29 AA29 AD29">
    <cfRule type="expression" dxfId="172" priority="1337">
      <formula>#REF! ="30≠24+25+26+27+28+29"</formula>
    </cfRule>
  </conditionalFormatting>
  <conditionalFormatting sqref="AR34:AS34 AO34:AP34 AO45:AP45 I34 X34 AG34 O34 AM34 AJ34 L34 C34 F34 U34 R34 AA34 AD34">
    <cfRule type="expression" dxfId="171" priority="1338">
      <formula>#REF! ="35≠14+15+16+17+22+30+31+32+33+34"</formula>
    </cfRule>
  </conditionalFormatting>
  <conditionalFormatting sqref="AR45:AS45 I45 X45 AG45 O45 AM45 AJ45 L45 C45 F45 U45 R45 AA45 AD45">
    <cfRule type="expression" dxfId="170" priority="1341">
      <formula>#REF! ="46≠35+38+39+40+43+45"</formula>
    </cfRule>
  </conditionalFormatting>
  <conditionalFormatting sqref="I14 X14 AG14 O14 AM14 AJ14 L14 C14 F14 U14 R14 AA14 AD14">
    <cfRule type="expression" dxfId="169" priority="1342">
      <formula>#REF! ="14≠11+12+13"</formula>
    </cfRule>
  </conditionalFormatting>
  <conditionalFormatting sqref="I21 X21 AG21 O21 AM21 AJ21 L21 C21 F21 U21 R21 AA21 AD21">
    <cfRule type="expression" dxfId="168" priority="1343">
      <formula>#REF! ="22≠19+20+21"</formula>
    </cfRule>
  </conditionalFormatting>
  <hyperlinks>
    <hyperlink ref="B1" location="Innhold!A1" display="Tilbake" xr:uid="{00000000-0004-0000-1E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4"/>
  <dimension ref="A1:BE130"/>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106.7109375" style="451" customWidth="1"/>
    <col min="2" max="40" width="11.7109375" style="451" customWidth="1"/>
    <col min="41" max="42" width="13" style="451" customWidth="1"/>
    <col min="43" max="43" width="11.7109375" style="451" customWidth="1"/>
    <col min="44" max="16384" width="11.42578125" style="451"/>
  </cols>
  <sheetData>
    <row r="1" spans="1:57" ht="20.25" customHeight="1" x14ac:dyDescent="0.3">
      <c r="A1" s="456" t="s">
        <v>167</v>
      </c>
      <c r="B1" s="457" t="s">
        <v>52</v>
      </c>
      <c r="C1" s="458"/>
      <c r="D1" s="458"/>
      <c r="E1" s="458"/>
      <c r="F1" s="458"/>
      <c r="G1" s="458"/>
      <c r="H1" s="458"/>
      <c r="I1" s="458"/>
      <c r="J1" s="458"/>
      <c r="K1" s="458"/>
      <c r="L1" s="458"/>
      <c r="M1" s="458"/>
    </row>
    <row r="2" spans="1:57" ht="20.100000000000001" customHeight="1" x14ac:dyDescent="0.3">
      <c r="A2" s="456" t="s">
        <v>168</v>
      </c>
    </row>
    <row r="3" spans="1:57" ht="20.100000000000001" customHeight="1" x14ac:dyDescent="0.3">
      <c r="A3" s="459" t="s">
        <v>169</v>
      </c>
      <c r="B3" s="460"/>
      <c r="C3" s="460"/>
      <c r="D3" s="460"/>
      <c r="E3" s="460"/>
      <c r="F3" s="460"/>
      <c r="G3" s="460"/>
      <c r="H3" s="460"/>
      <c r="I3" s="460"/>
      <c r="J3" s="460"/>
      <c r="K3" s="460"/>
      <c r="L3" s="460"/>
      <c r="M3" s="460"/>
    </row>
    <row r="4" spans="1:57" ht="18.75" customHeight="1" x14ac:dyDescent="0.25">
      <c r="A4" s="461" t="s">
        <v>425</v>
      </c>
      <c r="B4" s="462"/>
      <c r="C4" s="462"/>
      <c r="D4" s="463"/>
      <c r="E4" s="462"/>
      <c r="F4" s="462"/>
      <c r="G4" s="463"/>
      <c r="H4" s="464"/>
      <c r="I4" s="462"/>
      <c r="J4" s="463"/>
      <c r="K4" s="464"/>
      <c r="L4" s="462"/>
      <c r="M4" s="463"/>
      <c r="N4" s="465"/>
      <c r="O4" s="465"/>
      <c r="P4" s="465"/>
      <c r="Q4" s="466"/>
      <c r="R4" s="465"/>
      <c r="S4" s="467"/>
      <c r="T4" s="466"/>
      <c r="U4" s="465"/>
      <c r="V4" s="467"/>
      <c r="W4" s="466"/>
      <c r="X4" s="465"/>
      <c r="Y4" s="467"/>
      <c r="Z4" s="466"/>
      <c r="AA4" s="465"/>
      <c r="AB4" s="467"/>
      <c r="AC4" s="466"/>
      <c r="AD4" s="465"/>
      <c r="AE4" s="467"/>
      <c r="AF4" s="466"/>
      <c r="AG4" s="465"/>
      <c r="AH4" s="467"/>
      <c r="AI4" s="466"/>
      <c r="AJ4" s="465"/>
      <c r="AK4" s="467"/>
      <c r="AL4" s="466"/>
      <c r="AM4" s="465"/>
      <c r="AN4" s="467"/>
      <c r="AO4" s="466"/>
      <c r="AP4" s="465"/>
      <c r="AQ4" s="467"/>
      <c r="AR4" s="468"/>
      <c r="AS4" s="468"/>
      <c r="AT4" s="468"/>
      <c r="AU4" s="468"/>
      <c r="AV4" s="468"/>
      <c r="AW4" s="468"/>
      <c r="AX4" s="468"/>
      <c r="AY4" s="468"/>
      <c r="AZ4" s="468"/>
      <c r="BA4" s="468"/>
      <c r="BB4" s="468"/>
      <c r="BC4" s="468"/>
      <c r="BD4" s="468"/>
      <c r="BE4" s="468"/>
    </row>
    <row r="5" spans="1:57" ht="18.75" customHeight="1" x14ac:dyDescent="0.3">
      <c r="A5" s="469" t="s">
        <v>100</v>
      </c>
      <c r="B5" s="744" t="s">
        <v>170</v>
      </c>
      <c r="C5" s="745"/>
      <c r="D5" s="746"/>
      <c r="E5" s="744" t="s">
        <v>171</v>
      </c>
      <c r="F5" s="745"/>
      <c r="G5" s="746"/>
      <c r="H5" s="744" t="s">
        <v>396</v>
      </c>
      <c r="I5" s="745"/>
      <c r="J5" s="746"/>
      <c r="K5" s="744" t="s">
        <v>172</v>
      </c>
      <c r="L5" s="745"/>
      <c r="M5" s="746"/>
      <c r="N5" s="744" t="s">
        <v>173</v>
      </c>
      <c r="O5" s="745"/>
      <c r="P5" s="746"/>
      <c r="Q5" s="676" t="s">
        <v>174</v>
      </c>
      <c r="R5" s="677"/>
      <c r="S5" s="678"/>
      <c r="T5" s="676" t="s">
        <v>174</v>
      </c>
      <c r="U5" s="677"/>
      <c r="V5" s="678"/>
      <c r="W5" s="660"/>
      <c r="X5" s="661"/>
      <c r="Y5" s="662"/>
      <c r="Z5" s="744" t="s">
        <v>175</v>
      </c>
      <c r="AA5" s="745"/>
      <c r="AB5" s="746"/>
      <c r="AC5" s="695"/>
      <c r="AD5" s="696"/>
      <c r="AE5" s="697"/>
      <c r="AF5" s="740" t="s">
        <v>67</v>
      </c>
      <c r="AG5" s="741"/>
      <c r="AH5" s="742"/>
      <c r="AI5" s="744" t="s">
        <v>72</v>
      </c>
      <c r="AJ5" s="745"/>
      <c r="AK5" s="746"/>
      <c r="AL5" s="744" t="s">
        <v>423</v>
      </c>
      <c r="AM5" s="745"/>
      <c r="AN5" s="746"/>
      <c r="AO5" s="744" t="s">
        <v>2</v>
      </c>
      <c r="AP5" s="745"/>
      <c r="AQ5" s="746"/>
      <c r="AR5" s="640"/>
      <c r="AS5" s="640"/>
      <c r="AT5" s="743"/>
      <c r="AU5" s="743"/>
      <c r="AV5" s="743"/>
      <c r="AW5" s="743"/>
      <c r="AX5" s="743"/>
      <c r="AY5" s="743"/>
      <c r="AZ5" s="743"/>
      <c r="BA5" s="743"/>
      <c r="BB5" s="743"/>
      <c r="BC5" s="743"/>
      <c r="BD5" s="743"/>
      <c r="BE5" s="743"/>
    </row>
    <row r="6" spans="1:57" ht="21" customHeight="1" x14ac:dyDescent="0.3">
      <c r="A6" s="471"/>
      <c r="B6" s="747" t="s">
        <v>176</v>
      </c>
      <c r="C6" s="748"/>
      <c r="D6" s="749"/>
      <c r="E6" s="747" t="s">
        <v>177</v>
      </c>
      <c r="F6" s="748"/>
      <c r="G6" s="749"/>
      <c r="H6" s="747" t="s">
        <v>177</v>
      </c>
      <c r="I6" s="748"/>
      <c r="J6" s="749"/>
      <c r="K6" s="747" t="s">
        <v>177</v>
      </c>
      <c r="L6" s="748"/>
      <c r="M6" s="749"/>
      <c r="N6" s="747" t="s">
        <v>178</v>
      </c>
      <c r="O6" s="748"/>
      <c r="P6" s="749"/>
      <c r="Q6" s="747" t="s">
        <v>90</v>
      </c>
      <c r="R6" s="748"/>
      <c r="S6" s="749"/>
      <c r="T6" s="747" t="s">
        <v>63</v>
      </c>
      <c r="U6" s="748"/>
      <c r="V6" s="749"/>
      <c r="W6" s="747" t="s">
        <v>65</v>
      </c>
      <c r="X6" s="748"/>
      <c r="Y6" s="749"/>
      <c r="Z6" s="747" t="s">
        <v>176</v>
      </c>
      <c r="AA6" s="748"/>
      <c r="AB6" s="749"/>
      <c r="AC6" s="747" t="s">
        <v>71</v>
      </c>
      <c r="AD6" s="748"/>
      <c r="AE6" s="749"/>
      <c r="AF6" s="737" t="s">
        <v>420</v>
      </c>
      <c r="AG6" s="738"/>
      <c r="AH6" s="739"/>
      <c r="AI6" s="747" t="s">
        <v>177</v>
      </c>
      <c r="AJ6" s="748"/>
      <c r="AK6" s="749"/>
      <c r="AL6" s="747" t="s">
        <v>426</v>
      </c>
      <c r="AM6" s="748"/>
      <c r="AN6" s="749"/>
      <c r="AO6" s="747" t="s">
        <v>179</v>
      </c>
      <c r="AP6" s="748"/>
      <c r="AQ6" s="749"/>
      <c r="AR6" s="640"/>
      <c r="AS6" s="640"/>
      <c r="AT6" s="743"/>
      <c r="AU6" s="743"/>
      <c r="AV6" s="743"/>
      <c r="AW6" s="743"/>
      <c r="AX6" s="743"/>
      <c r="AY6" s="743"/>
      <c r="AZ6" s="743"/>
      <c r="BA6" s="743"/>
      <c r="BB6" s="743"/>
      <c r="BC6" s="743"/>
      <c r="BD6" s="743"/>
      <c r="BE6" s="743"/>
    </row>
    <row r="7" spans="1:57" ht="18.75" customHeight="1" x14ac:dyDescent="0.3">
      <c r="A7" s="471"/>
      <c r="B7" s="495"/>
      <c r="C7" s="495"/>
      <c r="D7" s="472" t="s">
        <v>80</v>
      </c>
      <c r="E7" s="495"/>
      <c r="F7" s="495"/>
      <c r="G7" s="472" t="s">
        <v>80</v>
      </c>
      <c r="H7" s="495"/>
      <c r="I7" s="495"/>
      <c r="J7" s="472" t="s">
        <v>80</v>
      </c>
      <c r="K7" s="495"/>
      <c r="L7" s="495"/>
      <c r="M7" s="472" t="s">
        <v>80</v>
      </c>
      <c r="N7" s="495"/>
      <c r="O7" s="495"/>
      <c r="P7" s="472" t="s">
        <v>80</v>
      </c>
      <c r="Q7" s="495"/>
      <c r="R7" s="495"/>
      <c r="S7" s="472" t="s">
        <v>80</v>
      </c>
      <c r="T7" s="495"/>
      <c r="U7" s="495"/>
      <c r="V7" s="472" t="s">
        <v>80</v>
      </c>
      <c r="W7" s="495"/>
      <c r="X7" s="495"/>
      <c r="Y7" s="472" t="s">
        <v>80</v>
      </c>
      <c r="Z7" s="495"/>
      <c r="AA7" s="495"/>
      <c r="AB7" s="472" t="s">
        <v>80</v>
      </c>
      <c r="AC7" s="495"/>
      <c r="AD7" s="495"/>
      <c r="AE7" s="472" t="s">
        <v>80</v>
      </c>
      <c r="AF7" s="495"/>
      <c r="AG7" s="495"/>
      <c r="AH7" s="472" t="s">
        <v>80</v>
      </c>
      <c r="AI7" s="495"/>
      <c r="AJ7" s="495"/>
      <c r="AK7" s="472" t="s">
        <v>80</v>
      </c>
      <c r="AL7" s="495"/>
      <c r="AM7" s="495"/>
      <c r="AN7" s="472" t="s">
        <v>80</v>
      </c>
      <c r="AO7" s="495"/>
      <c r="AP7" s="495"/>
      <c r="AQ7" s="472" t="s">
        <v>80</v>
      </c>
      <c r="AR7" s="640"/>
      <c r="AS7" s="640"/>
      <c r="AT7" s="470"/>
      <c r="AU7" s="470"/>
      <c r="AV7" s="470"/>
      <c r="AW7" s="470"/>
      <c r="AX7" s="470"/>
      <c r="AY7" s="470"/>
      <c r="AZ7" s="470"/>
      <c r="BA7" s="470"/>
      <c r="BB7" s="470"/>
      <c r="BC7" s="470"/>
      <c r="BD7" s="470"/>
      <c r="BE7" s="470"/>
    </row>
    <row r="8" spans="1:57" ht="18.75" customHeight="1" x14ac:dyDescent="0.25">
      <c r="A8" s="441" t="s">
        <v>180</v>
      </c>
      <c r="B8" s="616">
        <v>2021</v>
      </c>
      <c r="C8" s="616">
        <v>2022</v>
      </c>
      <c r="D8" s="442" t="s">
        <v>82</v>
      </c>
      <c r="E8" s="616">
        <f t="shared" ref="E8" si="0">$B$8</f>
        <v>2021</v>
      </c>
      <c r="F8" s="616">
        <f t="shared" ref="F8" si="1">$C$8</f>
        <v>2022</v>
      </c>
      <c r="G8" s="442" t="s">
        <v>82</v>
      </c>
      <c r="H8" s="616">
        <f t="shared" ref="H8" si="2">$B$8</f>
        <v>2021</v>
      </c>
      <c r="I8" s="616">
        <f t="shared" ref="I8" si="3">$C$8</f>
        <v>2022</v>
      </c>
      <c r="J8" s="442" t="s">
        <v>82</v>
      </c>
      <c r="K8" s="616">
        <f t="shared" ref="K8" si="4">$B$8</f>
        <v>2021</v>
      </c>
      <c r="L8" s="616">
        <f t="shared" ref="L8" si="5">$C$8</f>
        <v>2022</v>
      </c>
      <c r="M8" s="442" t="s">
        <v>82</v>
      </c>
      <c r="N8" s="616">
        <f t="shared" ref="N8" si="6">$B$8</f>
        <v>2021</v>
      </c>
      <c r="O8" s="616">
        <f t="shared" ref="O8" si="7">$C$8</f>
        <v>2022</v>
      </c>
      <c r="P8" s="442" t="s">
        <v>82</v>
      </c>
      <c r="Q8" s="616">
        <f t="shared" ref="Q8" si="8">$B$8</f>
        <v>2021</v>
      </c>
      <c r="R8" s="616">
        <f t="shared" ref="R8" si="9">$C$8</f>
        <v>2022</v>
      </c>
      <c r="S8" s="442" t="s">
        <v>82</v>
      </c>
      <c r="T8" s="616">
        <f t="shared" ref="T8" si="10">$B$8</f>
        <v>2021</v>
      </c>
      <c r="U8" s="616">
        <f t="shared" ref="U8" si="11">$C$8</f>
        <v>2022</v>
      </c>
      <c r="V8" s="442" t="s">
        <v>82</v>
      </c>
      <c r="W8" s="616">
        <f t="shared" ref="W8" si="12">$B$8</f>
        <v>2021</v>
      </c>
      <c r="X8" s="616">
        <f t="shared" ref="X8" si="13">$C$8</f>
        <v>2022</v>
      </c>
      <c r="Y8" s="442" t="s">
        <v>82</v>
      </c>
      <c r="Z8" s="616">
        <f t="shared" ref="Z8" si="14">$B$8</f>
        <v>2021</v>
      </c>
      <c r="AA8" s="616">
        <f t="shared" ref="AA8" si="15">$C$8</f>
        <v>2022</v>
      </c>
      <c r="AB8" s="442" t="s">
        <v>82</v>
      </c>
      <c r="AC8" s="616">
        <f t="shared" ref="AC8" si="16">$B$8</f>
        <v>2021</v>
      </c>
      <c r="AD8" s="616">
        <f t="shared" ref="AD8" si="17">$C$8</f>
        <v>2022</v>
      </c>
      <c r="AE8" s="442" t="s">
        <v>82</v>
      </c>
      <c r="AF8" s="616">
        <f t="shared" ref="AF8" si="18">$B$8</f>
        <v>2021</v>
      </c>
      <c r="AG8" s="616">
        <f t="shared" ref="AG8" si="19">$C$8</f>
        <v>2022</v>
      </c>
      <c r="AH8" s="442" t="s">
        <v>82</v>
      </c>
      <c r="AI8" s="616">
        <f t="shared" ref="AI8" si="20">$B$8</f>
        <v>2021</v>
      </c>
      <c r="AJ8" s="616">
        <f t="shared" ref="AJ8" si="21">$C$8</f>
        <v>2022</v>
      </c>
      <c r="AK8" s="442" t="s">
        <v>82</v>
      </c>
      <c r="AL8" s="616">
        <f>$B$8</f>
        <v>2021</v>
      </c>
      <c r="AM8" s="616">
        <f>$C$8</f>
        <v>2022</v>
      </c>
      <c r="AN8" s="442" t="s">
        <v>82</v>
      </c>
      <c r="AO8" s="616">
        <f t="shared" ref="AO8" si="22">$B$8</f>
        <v>2021</v>
      </c>
      <c r="AP8" s="616">
        <f t="shared" ref="AP8" si="23">$C$8</f>
        <v>2022</v>
      </c>
      <c r="AQ8" s="442" t="s">
        <v>82</v>
      </c>
      <c r="AR8" s="474"/>
      <c r="AS8" s="473"/>
      <c r="AT8" s="474"/>
      <c r="AU8" s="474"/>
      <c r="AV8" s="473"/>
      <c r="AW8" s="474"/>
      <c r="AX8" s="474"/>
      <c r="AY8" s="473"/>
      <c r="AZ8" s="474"/>
      <c r="BA8" s="474"/>
      <c r="BB8" s="473"/>
      <c r="BC8" s="474"/>
      <c r="BD8" s="474"/>
      <c r="BE8" s="473"/>
    </row>
    <row r="9" spans="1:57" ht="18.75" customHeight="1" x14ac:dyDescent="0.3">
      <c r="A9" s="443"/>
      <c r="B9" s="655"/>
      <c r="C9" s="422"/>
      <c r="D9" s="422"/>
      <c r="E9" s="655"/>
      <c r="F9" s="422"/>
      <c r="G9" s="422"/>
      <c r="H9" s="655"/>
      <c r="I9" s="422"/>
      <c r="J9" s="422"/>
      <c r="K9" s="655"/>
      <c r="L9" s="422"/>
      <c r="M9" s="422"/>
      <c r="N9" s="645"/>
      <c r="O9" s="423"/>
      <c r="P9" s="423"/>
      <c r="Q9" s="689"/>
      <c r="R9" s="622"/>
      <c r="S9" s="328"/>
      <c r="T9" s="645"/>
      <c r="U9" s="423"/>
      <c r="V9" s="328"/>
      <c r="W9" s="645"/>
      <c r="X9" s="423"/>
      <c r="Y9" s="328"/>
      <c r="Z9" s="645"/>
      <c r="AA9" s="423"/>
      <c r="AB9" s="328"/>
      <c r="AC9" s="645"/>
      <c r="AD9" s="423"/>
      <c r="AE9" s="328"/>
      <c r="AF9" s="645"/>
      <c r="AG9" s="423"/>
      <c r="AH9" s="328"/>
      <c r="AI9" s="645"/>
      <c r="AJ9" s="423"/>
      <c r="AK9" s="328"/>
      <c r="AL9" s="423"/>
      <c r="AM9" s="423"/>
      <c r="AN9" s="328"/>
      <c r="AO9" s="424"/>
      <c r="AP9" s="424"/>
      <c r="AQ9" s="328"/>
    </row>
    <row r="10" spans="1:57" s="452" customFormat="1" ht="18.75" customHeight="1" x14ac:dyDescent="0.3">
      <c r="A10" s="444" t="s">
        <v>181</v>
      </c>
      <c r="B10" s="656"/>
      <c r="C10" s="425"/>
      <c r="D10" s="425"/>
      <c r="E10" s="656"/>
      <c r="F10" s="425"/>
      <c r="G10" s="425"/>
      <c r="H10" s="656"/>
      <c r="I10" s="425"/>
      <c r="J10" s="425"/>
      <c r="K10" s="656"/>
      <c r="L10" s="425"/>
      <c r="M10" s="425"/>
      <c r="N10" s="645"/>
      <c r="O10" s="423"/>
      <c r="P10" s="423"/>
      <c r="Q10" s="689"/>
      <c r="R10" s="622"/>
      <c r="S10" s="328"/>
      <c r="T10" s="645"/>
      <c r="U10" s="423"/>
      <c r="V10" s="328"/>
      <c r="W10" s="645"/>
      <c r="X10" s="423"/>
      <c r="Y10" s="328"/>
      <c r="Z10" s="645"/>
      <c r="AA10" s="423"/>
      <c r="AB10" s="328"/>
      <c r="AC10" s="645"/>
      <c r="AD10" s="423"/>
      <c r="AE10" s="328"/>
      <c r="AF10" s="645"/>
      <c r="AG10" s="423"/>
      <c r="AH10" s="328"/>
      <c r="AI10" s="645"/>
      <c r="AJ10" s="423"/>
      <c r="AK10" s="328"/>
      <c r="AL10" s="423"/>
      <c r="AM10" s="423"/>
      <c r="AN10" s="328"/>
      <c r="AO10" s="424"/>
      <c r="AP10" s="424"/>
      <c r="AQ10" s="328"/>
    </row>
    <row r="11" spans="1:57" s="452" customFormat="1" ht="18.75" customHeight="1" x14ac:dyDescent="0.3">
      <c r="A11" s="445"/>
      <c r="B11" s="656"/>
      <c r="C11" s="425"/>
      <c r="D11" s="425"/>
      <c r="E11" s="656"/>
      <c r="F11" s="425"/>
      <c r="G11" s="425"/>
      <c r="H11" s="656"/>
      <c r="I11" s="425"/>
      <c r="J11" s="425"/>
      <c r="K11" s="656"/>
      <c r="L11" s="425"/>
      <c r="M11" s="425"/>
      <c r="N11" s="645"/>
      <c r="O11" s="423"/>
      <c r="P11" s="423"/>
      <c r="Q11" s="689"/>
      <c r="R11" s="622"/>
      <c r="S11" s="328"/>
      <c r="T11" s="645"/>
      <c r="U11" s="423"/>
      <c r="V11" s="328"/>
      <c r="W11" s="645"/>
      <c r="X11" s="423"/>
      <c r="Y11" s="328"/>
      <c r="Z11" s="645"/>
      <c r="AA11" s="423"/>
      <c r="AB11" s="328"/>
      <c r="AC11" s="645"/>
      <c r="AD11" s="423"/>
      <c r="AE11" s="328"/>
      <c r="AF11" s="645"/>
      <c r="AG11" s="423"/>
      <c r="AH11" s="328"/>
      <c r="AI11" s="645"/>
      <c r="AJ11" s="423"/>
      <c r="AK11" s="328"/>
      <c r="AL11" s="423"/>
      <c r="AM11" s="423"/>
      <c r="AN11" s="328"/>
      <c r="AO11" s="424"/>
      <c r="AP11" s="424"/>
      <c r="AQ11" s="328"/>
    </row>
    <row r="12" spans="1:57" s="452" customFormat="1" ht="20.100000000000001" customHeight="1" x14ac:dyDescent="0.3">
      <c r="A12" s="444" t="s">
        <v>182</v>
      </c>
      <c r="B12" s="194"/>
      <c r="C12" s="426"/>
      <c r="D12" s="426"/>
      <c r="E12" s="194"/>
      <c r="F12" s="426"/>
      <c r="G12" s="426"/>
      <c r="H12" s="194"/>
      <c r="I12" s="426"/>
      <c r="J12" s="426"/>
      <c r="K12" s="194"/>
      <c r="L12" s="426"/>
      <c r="M12" s="426"/>
      <c r="N12" s="645"/>
      <c r="O12" s="423"/>
      <c r="P12" s="423"/>
      <c r="Q12" s="689"/>
      <c r="R12" s="622"/>
      <c r="S12" s="328"/>
      <c r="T12" s="645"/>
      <c r="U12" s="423"/>
      <c r="V12" s="328"/>
      <c r="W12" s="645"/>
      <c r="X12" s="423"/>
      <c r="Y12" s="328"/>
      <c r="Z12" s="645"/>
      <c r="AA12" s="423"/>
      <c r="AB12" s="328"/>
      <c r="AC12" s="645"/>
      <c r="AD12" s="423"/>
      <c r="AE12" s="328"/>
      <c r="AF12" s="645"/>
      <c r="AG12" s="423"/>
      <c r="AH12" s="328"/>
      <c r="AI12" s="645"/>
      <c r="AJ12" s="423"/>
      <c r="AK12" s="328"/>
      <c r="AL12" s="423"/>
      <c r="AM12" s="423"/>
      <c r="AN12" s="328"/>
      <c r="AO12" s="424"/>
      <c r="AP12" s="424"/>
      <c r="AQ12" s="328"/>
    </row>
    <row r="13" spans="1:57" s="475" customFormat="1" ht="20.100000000000001" customHeight="1" x14ac:dyDescent="0.3">
      <c r="A13" s="444" t="s">
        <v>183</v>
      </c>
      <c r="B13" s="194"/>
      <c r="C13" s="426"/>
      <c r="D13" s="427"/>
      <c r="E13" s="194"/>
      <c r="F13" s="426"/>
      <c r="G13" s="427"/>
      <c r="H13" s="194"/>
      <c r="I13" s="426"/>
      <c r="J13" s="427"/>
      <c r="K13" s="194"/>
      <c r="L13" s="426"/>
      <c r="M13" s="427"/>
      <c r="N13" s="104"/>
      <c r="O13" s="584"/>
      <c r="P13" s="428"/>
      <c r="Q13" s="689"/>
      <c r="R13" s="622"/>
      <c r="S13" s="429"/>
      <c r="T13" s="104"/>
      <c r="U13" s="584"/>
      <c r="V13" s="429"/>
      <c r="W13" s="104"/>
      <c r="X13" s="584"/>
      <c r="Y13" s="429"/>
      <c r="Z13" s="104"/>
      <c r="AA13" s="584"/>
      <c r="AB13" s="429"/>
      <c r="AC13" s="104"/>
      <c r="AD13" s="584"/>
      <c r="AE13" s="429"/>
      <c r="AF13" s="104"/>
      <c r="AG13" s="584"/>
      <c r="AH13" s="429"/>
      <c r="AI13" s="104"/>
      <c r="AJ13" s="584"/>
      <c r="AK13" s="429"/>
      <c r="AL13" s="584"/>
      <c r="AM13" s="584"/>
      <c r="AN13" s="429"/>
      <c r="AO13" s="430"/>
      <c r="AP13" s="430"/>
      <c r="AQ13" s="429"/>
    </row>
    <row r="14" spans="1:57" s="475" customFormat="1" ht="20.100000000000001" customHeight="1" x14ac:dyDescent="0.3">
      <c r="A14" s="446" t="s">
        <v>184</v>
      </c>
      <c r="B14" s="192"/>
      <c r="C14" s="432"/>
      <c r="D14" s="429"/>
      <c r="E14" s="192"/>
      <c r="F14" s="432"/>
      <c r="G14" s="429"/>
      <c r="H14" s="192"/>
      <c r="I14" s="432"/>
      <c r="J14" s="429"/>
      <c r="K14" s="192"/>
      <c r="L14" s="432"/>
      <c r="M14" s="429"/>
      <c r="N14" s="104">
        <v>6.8</v>
      </c>
      <c r="O14" s="584">
        <v>4</v>
      </c>
      <c r="P14" s="428">
        <f t="shared" ref="P14" si="24">IF(N14=0, "    ---- ", IF(ABS(ROUND(100/N14*O14-100,1))&lt;999,ROUND(100/N14*O14-100,1),IF(ROUND(100/N14*O14-100,1)&gt;999,999,-999)))</f>
        <v>-41.2</v>
      </c>
      <c r="Q14" s="689"/>
      <c r="R14" s="622"/>
      <c r="S14" s="429"/>
      <c r="T14" s="104">
        <v>991.37499975000003</v>
      </c>
      <c r="U14" s="584">
        <v>994.54083375000005</v>
      </c>
      <c r="V14" s="429">
        <f t="shared" ref="V14:V28" si="25">IF(T14=0, "    ---- ", IF(ABS(ROUND(100/T14*U14-100,1))&lt;999,ROUND(100/T14*U14-100,1),IF(ROUND(100/T14*U14-100,1)&gt;999,999,-999)))</f>
        <v>0.3</v>
      </c>
      <c r="W14" s="104"/>
      <c r="X14" s="584">
        <v>0</v>
      </c>
      <c r="Y14" s="429" t="str">
        <f t="shared" ref="Y14:Y19" si="26">IF(W14=0, "    ---- ", IF(ABS(ROUND(100/W14*X14-100,1))&lt;999,ROUND(100/W14*X14-100,1),IF(ROUND(100/W14*X14-100,1)&gt;999,999,-999)))</f>
        <v xml:space="preserve">    ---- </v>
      </c>
      <c r="Z14" s="104"/>
      <c r="AA14" s="584"/>
      <c r="AB14" s="429"/>
      <c r="AC14" s="104"/>
      <c r="AD14" s="584"/>
      <c r="AE14" s="429"/>
      <c r="AF14" s="104"/>
      <c r="AG14" s="584"/>
      <c r="AH14" s="429"/>
      <c r="AI14" s="104"/>
      <c r="AJ14" s="584"/>
      <c r="AK14" s="429"/>
      <c r="AL14" s="584"/>
      <c r="AM14" s="584"/>
      <c r="AN14" s="429"/>
      <c r="AO14" s="430">
        <f t="shared" ref="AO14:AO29" si="27">B14+E14+H14+K14+N14+Q14+T14+AL14+W14+Z14+AC14+AF14+AI14</f>
        <v>998.17499974999998</v>
      </c>
      <c r="AP14" s="430">
        <f t="shared" ref="AP14:AP29" si="28">C14+F14+I14+L14+O14+R14+U14+AM14+X14+AA14+AD14+AG14+AJ14</f>
        <v>998.54083375000005</v>
      </c>
      <c r="AQ14" s="429">
        <f t="shared" ref="AQ14:AQ29" si="29">IF(AO14=0, "    ---- ", IF(ABS(ROUND(100/AO14*AP14-100,1))&lt;999,ROUND(100/AO14*AP14-100,1),IF(ROUND(100/AO14*AP14-100,1)&gt;999,999,-999)))</f>
        <v>0</v>
      </c>
    </row>
    <row r="15" spans="1:57" s="475" customFormat="1" ht="20.100000000000001" customHeight="1" x14ac:dyDescent="0.3">
      <c r="A15" s="446" t="s">
        <v>185</v>
      </c>
      <c r="B15" s="192"/>
      <c r="C15" s="432"/>
      <c r="D15" s="429"/>
      <c r="E15" s="192">
        <v>1383.65</v>
      </c>
      <c r="F15" s="432">
        <v>1477.837</v>
      </c>
      <c r="G15" s="429">
        <f t="shared" ref="G15:G28" si="30">IF(E15=0, "    ---- ", IF(ABS(ROUND(100/E15*F15-100,1))&lt;999,ROUND(100/E15*F15-100,1),IF(ROUND(100/E15*F15-100,1)&gt;999,999,-999)))</f>
        <v>6.8</v>
      </c>
      <c r="H15" s="192"/>
      <c r="I15" s="432"/>
      <c r="J15" s="429"/>
      <c r="K15" s="192"/>
      <c r="L15" s="432"/>
      <c r="M15" s="429"/>
      <c r="N15" s="104"/>
      <c r="O15" s="584"/>
      <c r="P15" s="428"/>
      <c r="Q15" s="689"/>
      <c r="R15" s="622"/>
      <c r="S15" s="429"/>
      <c r="T15" s="104">
        <v>8445.4030518599993</v>
      </c>
      <c r="U15" s="584">
        <v>8860.0997963600003</v>
      </c>
      <c r="V15" s="429">
        <f t="shared" si="25"/>
        <v>4.9000000000000004</v>
      </c>
      <c r="W15" s="104"/>
      <c r="X15" s="584">
        <v>5</v>
      </c>
      <c r="Y15" s="429" t="str">
        <f t="shared" si="26"/>
        <v xml:space="preserve">    ---- </v>
      </c>
      <c r="Z15" s="104">
        <v>1213</v>
      </c>
      <c r="AA15" s="584">
        <v>1357</v>
      </c>
      <c r="AB15" s="429">
        <f t="shared" ref="AB15:AB28" si="31">IF(Z15=0, "    ---- ", IF(ABS(ROUND(100/Z15*AA15-100,1))&lt;999,ROUND(100/Z15*AA15-100,1),IF(ROUND(100/Z15*AA15-100,1)&gt;999,999,-999)))</f>
        <v>11.9</v>
      </c>
      <c r="AC15" s="104"/>
      <c r="AD15" s="584"/>
      <c r="AE15" s="429"/>
      <c r="AF15" s="104">
        <v>1758.491</v>
      </c>
      <c r="AG15" s="584">
        <v>1329.7909999999999</v>
      </c>
      <c r="AH15" s="429">
        <f t="shared" ref="AH15:AH28" si="32">IF(AF15=0, "    ---- ", IF(ABS(ROUND(100/AF15*AG15-100,1))&lt;999,ROUND(100/AF15*AG15-100,1),IF(ROUND(100/AF15*AG15-100,1)&gt;999,999,-999)))</f>
        <v>-24.4</v>
      </c>
      <c r="AI15" s="104">
        <v>12580</v>
      </c>
      <c r="AJ15" s="584">
        <v>12171</v>
      </c>
      <c r="AK15" s="429">
        <f t="shared" ref="AK15:AK28" si="33">IF(AI15=0, "    ---- ", IF(ABS(ROUND(100/AI15*AJ15-100,1))&lt;999,ROUND(100/AI15*AJ15-100,1),IF(ROUND(100/AI15*AJ15-100,1)&gt;999,999,-999)))</f>
        <v>-3.3</v>
      </c>
      <c r="AL15" s="584"/>
      <c r="AM15" s="584"/>
      <c r="AN15" s="429"/>
      <c r="AO15" s="430">
        <f t="shared" si="27"/>
        <v>25380.544051860001</v>
      </c>
      <c r="AP15" s="430">
        <f t="shared" si="28"/>
        <v>25200.727796359999</v>
      </c>
      <c r="AQ15" s="429">
        <f t="shared" si="29"/>
        <v>-0.7</v>
      </c>
    </row>
    <row r="16" spans="1:57" s="475" customFormat="1" ht="20.100000000000001" customHeight="1" x14ac:dyDescent="0.3">
      <c r="A16" s="446" t="s">
        <v>186</v>
      </c>
      <c r="B16" s="192"/>
      <c r="C16" s="432"/>
      <c r="D16" s="429"/>
      <c r="E16" s="192">
        <f>SUM(E17+E19)</f>
        <v>12129.521281089999</v>
      </c>
      <c r="F16" s="432">
        <f>SUM(F17+F19)</f>
        <v>17181.284115989998</v>
      </c>
      <c r="G16" s="429">
        <f t="shared" si="30"/>
        <v>41.6</v>
      </c>
      <c r="H16" s="192"/>
      <c r="I16" s="432">
        <v>349.22580758999999</v>
      </c>
      <c r="J16" s="429" t="str">
        <f t="shared" ref="J16" si="34">IF(H16=0, "    ---- ", IF(ABS(ROUND(100/H16*I16-100,1))&lt;999,ROUND(100/H16*I16-100,1),IF(ROUND(100/H16*I16-100,1)&gt;999,999,-999)))</f>
        <v xml:space="preserve">    ---- </v>
      </c>
      <c r="K16" s="192">
        <f>SUM(K17+K19)</f>
        <v>126.063</v>
      </c>
      <c r="L16" s="432">
        <f>SUM(L17+L19)</f>
        <v>97.715999999999994</v>
      </c>
      <c r="M16" s="429">
        <f t="shared" ref="M16:M17" si="35">IF(K16=0, "    ---- ", IF(ABS(ROUND(100/K16*L16-100,1))&lt;999,ROUND(100/K16*L16-100,1),IF(ROUND(100/K16*L16-100,1)&gt;999,999,-999)))</f>
        <v>-22.5</v>
      </c>
      <c r="N16" s="104">
        <f>SUM(N17+N19)</f>
        <v>267.5</v>
      </c>
      <c r="O16" s="584">
        <f>SUM(O17+O19)</f>
        <v>282</v>
      </c>
      <c r="P16" s="428">
        <f t="shared" ref="P16" si="36">IF(N16=0, "    ---- ", IF(ABS(ROUND(100/N16*O16-100,1))&lt;999,ROUND(100/N16*O16-100,1),IF(ROUND(100/N16*O16-100,1)&gt;999,999,-999)))</f>
        <v>5.4</v>
      </c>
      <c r="Q16" s="689"/>
      <c r="R16" s="622"/>
      <c r="S16" s="429"/>
      <c r="T16" s="104">
        <f>SUM(T17+T19)</f>
        <v>19132.04021341</v>
      </c>
      <c r="U16" s="584">
        <v>19351.888915069998</v>
      </c>
      <c r="V16" s="429">
        <f t="shared" si="25"/>
        <v>1.1000000000000001</v>
      </c>
      <c r="W16" s="104"/>
      <c r="X16" s="584">
        <f>SUM(X17+X19)</f>
        <v>0</v>
      </c>
      <c r="Y16" s="429" t="str">
        <f t="shared" si="26"/>
        <v xml:space="preserve">    ---- </v>
      </c>
      <c r="Z16" s="104">
        <f>SUM(Z17+Z19)</f>
        <v>4580</v>
      </c>
      <c r="AA16" s="584">
        <f>SUM(AA17+AA19)</f>
        <v>5090</v>
      </c>
      <c r="AB16" s="429">
        <f t="shared" si="31"/>
        <v>11.1</v>
      </c>
      <c r="AC16" s="104"/>
      <c r="AD16" s="584"/>
      <c r="AE16" s="429"/>
      <c r="AF16" s="104">
        <f>SUM(AF17+AF19)</f>
        <v>1132.3330000000001</v>
      </c>
      <c r="AG16" s="584">
        <f>SUM(AG17+AG19)</f>
        <v>1175.788</v>
      </c>
      <c r="AH16" s="429">
        <f t="shared" si="32"/>
        <v>3.8</v>
      </c>
      <c r="AI16" s="104">
        <f>SUM(AI17+AI19)</f>
        <v>9903</v>
      </c>
      <c r="AJ16" s="584">
        <f>SUM(AJ17+AJ19)</f>
        <v>11168</v>
      </c>
      <c r="AK16" s="429">
        <f t="shared" si="33"/>
        <v>12.8</v>
      </c>
      <c r="AL16" s="584"/>
      <c r="AM16" s="584"/>
      <c r="AN16" s="429"/>
      <c r="AO16" s="430">
        <f t="shared" si="27"/>
        <v>47270.457494499999</v>
      </c>
      <c r="AP16" s="430">
        <f t="shared" si="28"/>
        <v>54695.902838649999</v>
      </c>
      <c r="AQ16" s="429">
        <f t="shared" si="29"/>
        <v>15.7</v>
      </c>
    </row>
    <row r="17" spans="1:43" s="475" customFormat="1" ht="20.100000000000001" customHeight="1" x14ac:dyDescent="0.3">
      <c r="A17" s="446" t="s">
        <v>187</v>
      </c>
      <c r="B17" s="192"/>
      <c r="C17" s="432"/>
      <c r="D17" s="429"/>
      <c r="E17" s="192">
        <v>9445.98763607</v>
      </c>
      <c r="F17" s="432">
        <v>14553.726430479999</v>
      </c>
      <c r="G17" s="429">
        <f t="shared" si="30"/>
        <v>54.1</v>
      </c>
      <c r="H17" s="192"/>
      <c r="I17" s="432"/>
      <c r="J17" s="429"/>
      <c r="K17" s="192">
        <v>126.063</v>
      </c>
      <c r="L17" s="432">
        <v>97.715999999999994</v>
      </c>
      <c r="M17" s="429">
        <f t="shared" si="35"/>
        <v>-22.5</v>
      </c>
      <c r="N17" s="104"/>
      <c r="O17" s="584"/>
      <c r="P17" s="428"/>
      <c r="Q17" s="689"/>
      <c r="R17" s="622"/>
      <c r="S17" s="429"/>
      <c r="T17" s="104">
        <v>6880.1003281000003</v>
      </c>
      <c r="U17" s="584">
        <v>6550.0786466600002</v>
      </c>
      <c r="V17" s="429">
        <f t="shared" si="25"/>
        <v>-4.8</v>
      </c>
      <c r="W17" s="104"/>
      <c r="X17" s="584">
        <v>0</v>
      </c>
      <c r="Y17" s="429" t="str">
        <f t="shared" si="26"/>
        <v xml:space="preserve">    ---- </v>
      </c>
      <c r="Z17" s="104">
        <v>11</v>
      </c>
      <c r="AA17" s="584">
        <v>10</v>
      </c>
      <c r="AB17" s="429">
        <f t="shared" si="31"/>
        <v>-9.1</v>
      </c>
      <c r="AC17" s="104"/>
      <c r="AD17" s="584"/>
      <c r="AE17" s="429"/>
      <c r="AF17" s="104">
        <v>68.834000000000003</v>
      </c>
      <c r="AG17" s="584">
        <v>40.267000000000003</v>
      </c>
      <c r="AH17" s="429">
        <f t="shared" si="32"/>
        <v>-41.5</v>
      </c>
      <c r="AI17" s="104"/>
      <c r="AJ17" s="584"/>
      <c r="AK17" s="429"/>
      <c r="AL17" s="584"/>
      <c r="AM17" s="584"/>
      <c r="AN17" s="429"/>
      <c r="AO17" s="430">
        <f t="shared" si="27"/>
        <v>16531.984964169998</v>
      </c>
      <c r="AP17" s="430">
        <f t="shared" si="28"/>
        <v>21251.788077140001</v>
      </c>
      <c r="AQ17" s="429">
        <f t="shared" si="29"/>
        <v>28.5</v>
      </c>
    </row>
    <row r="18" spans="1:43" s="475" customFormat="1" ht="20.100000000000001" customHeight="1" x14ac:dyDescent="0.3">
      <c r="A18" s="446" t="s">
        <v>188</v>
      </c>
      <c r="B18" s="192"/>
      <c r="C18" s="432"/>
      <c r="D18" s="429"/>
      <c r="E18" s="192">
        <v>9445.98763607</v>
      </c>
      <c r="F18" s="432">
        <v>14553.726430479999</v>
      </c>
      <c r="G18" s="429">
        <f t="shared" si="30"/>
        <v>54.1</v>
      </c>
      <c r="H18" s="192"/>
      <c r="I18" s="432"/>
      <c r="J18" s="429"/>
      <c r="K18" s="192"/>
      <c r="L18" s="432"/>
      <c r="M18" s="429"/>
      <c r="N18" s="104"/>
      <c r="O18" s="584"/>
      <c r="P18" s="428"/>
      <c r="Q18" s="689"/>
      <c r="R18" s="622"/>
      <c r="S18" s="429"/>
      <c r="T18" s="104">
        <v>6880.1003281000003</v>
      </c>
      <c r="U18" s="584">
        <v>6550.0786466600002</v>
      </c>
      <c r="V18" s="429">
        <f t="shared" si="25"/>
        <v>-4.8</v>
      </c>
      <c r="W18" s="104"/>
      <c r="X18" s="584">
        <v>0</v>
      </c>
      <c r="Y18" s="429" t="str">
        <f t="shared" si="26"/>
        <v xml:space="preserve">    ---- </v>
      </c>
      <c r="Z18" s="104"/>
      <c r="AA18" s="584"/>
      <c r="AB18" s="429"/>
      <c r="AC18" s="104"/>
      <c r="AD18" s="584"/>
      <c r="AE18" s="429"/>
      <c r="AF18" s="104">
        <v>-3.2782554626464843E-13</v>
      </c>
      <c r="AG18" s="584">
        <v>-3.2782554626464843E-13</v>
      </c>
      <c r="AH18" s="429">
        <f t="shared" si="32"/>
        <v>0</v>
      </c>
      <c r="AI18" s="104"/>
      <c r="AJ18" s="584"/>
      <c r="AK18" s="429"/>
      <c r="AL18" s="584"/>
      <c r="AM18" s="584"/>
      <c r="AN18" s="429"/>
      <c r="AO18" s="430">
        <f t="shared" si="27"/>
        <v>16326.087964170001</v>
      </c>
      <c r="AP18" s="430">
        <f t="shared" si="28"/>
        <v>21103.805077140001</v>
      </c>
      <c r="AQ18" s="429">
        <f t="shared" si="29"/>
        <v>29.3</v>
      </c>
    </row>
    <row r="19" spans="1:43" s="475" customFormat="1" ht="20.100000000000001" customHeight="1" x14ac:dyDescent="0.3">
      <c r="A19" s="446" t="s">
        <v>189</v>
      </c>
      <c r="B19" s="192"/>
      <c r="C19" s="432"/>
      <c r="D19" s="429"/>
      <c r="E19" s="192">
        <v>2683.5336450199998</v>
      </c>
      <c r="F19" s="432">
        <v>2627.5576855100003</v>
      </c>
      <c r="G19" s="429">
        <f t="shared" si="30"/>
        <v>-2.1</v>
      </c>
      <c r="H19" s="192"/>
      <c r="I19" s="432">
        <v>349.22580758999999</v>
      </c>
      <c r="J19" s="429" t="str">
        <f t="shared" ref="J19:J26" si="37">IF(H19=0, "    ---- ", IF(ABS(ROUND(100/H19*I19-100,1))&lt;999,ROUND(100/H19*I19-100,1),IF(ROUND(100/H19*I19-100,1)&gt;999,999,-999)))</f>
        <v xml:space="preserve">    ---- </v>
      </c>
      <c r="K19" s="192"/>
      <c r="L19" s="432"/>
      <c r="M19" s="429"/>
      <c r="N19" s="104">
        <v>267.5</v>
      </c>
      <c r="O19" s="584">
        <v>282</v>
      </c>
      <c r="P19" s="428">
        <f t="shared" ref="P19:P28" si="38">IF(N19=0, "    ---- ", IF(ABS(ROUND(100/N19*O19-100,1))&lt;999,ROUND(100/N19*O19-100,1),IF(ROUND(100/N19*O19-100,1)&gt;999,999,-999)))</f>
        <v>5.4</v>
      </c>
      <c r="Q19" s="689"/>
      <c r="R19" s="622"/>
      <c r="S19" s="429"/>
      <c r="T19" s="104">
        <v>12251.939885309999</v>
      </c>
      <c r="U19" s="584">
        <v>12801.810268409999</v>
      </c>
      <c r="V19" s="429">
        <f t="shared" si="25"/>
        <v>4.5</v>
      </c>
      <c r="W19" s="104"/>
      <c r="X19" s="584">
        <v>0</v>
      </c>
      <c r="Y19" s="429" t="str">
        <f t="shared" si="26"/>
        <v xml:space="preserve">    ---- </v>
      </c>
      <c r="Z19" s="104">
        <v>4569</v>
      </c>
      <c r="AA19" s="584">
        <v>5080</v>
      </c>
      <c r="AB19" s="429">
        <f t="shared" si="31"/>
        <v>11.2</v>
      </c>
      <c r="AC19" s="104"/>
      <c r="AD19" s="584"/>
      <c r="AE19" s="429"/>
      <c r="AF19" s="104">
        <v>1063.499</v>
      </c>
      <c r="AG19" s="584">
        <v>1135.521</v>
      </c>
      <c r="AH19" s="429">
        <f t="shared" si="32"/>
        <v>6.8</v>
      </c>
      <c r="AI19" s="104">
        <f>6985+2918</f>
        <v>9903</v>
      </c>
      <c r="AJ19" s="584">
        <f>8579+577+2012</f>
        <v>11168</v>
      </c>
      <c r="AK19" s="429">
        <f t="shared" si="33"/>
        <v>12.8</v>
      </c>
      <c r="AL19" s="584"/>
      <c r="AM19" s="584"/>
      <c r="AN19" s="429"/>
      <c r="AO19" s="430">
        <f t="shared" si="27"/>
        <v>30738.472530329997</v>
      </c>
      <c r="AP19" s="430">
        <f t="shared" si="28"/>
        <v>33444.114761509998</v>
      </c>
      <c r="AQ19" s="429">
        <f t="shared" si="29"/>
        <v>8.8000000000000007</v>
      </c>
    </row>
    <row r="20" spans="1:43" s="475" customFormat="1" ht="20.100000000000001" customHeight="1" x14ac:dyDescent="0.3">
      <c r="A20" s="446" t="s">
        <v>190</v>
      </c>
      <c r="B20" s="192">
        <f>SUM(B21:B25)</f>
        <v>804.4910000000001</v>
      </c>
      <c r="C20" s="432">
        <f>SUM(C21:C25)</f>
        <v>827.78300000000002</v>
      </c>
      <c r="D20" s="429">
        <f>IF(B20=0, "    ---- ", IF(ABS(ROUND(100/B20*C20-100,1))&lt;999,ROUND(100/B20*C20-100,1),IF(ROUND(100/B20*C20-100,1)&gt;999,999,-999)))</f>
        <v>2.9</v>
      </c>
      <c r="E20" s="192">
        <f>SUM(E21:E25)</f>
        <v>21197.234350259998</v>
      </c>
      <c r="F20" s="432">
        <f>SUM(F21:F25)</f>
        <v>14823.837069679999</v>
      </c>
      <c r="G20" s="429">
        <f t="shared" si="30"/>
        <v>-30.1</v>
      </c>
      <c r="H20" s="192">
        <f>SUM(H21:H25)</f>
        <v>2204.0929943299998</v>
      </c>
      <c r="I20" s="432">
        <v>2506.3931357099996</v>
      </c>
      <c r="J20" s="429">
        <f t="shared" si="37"/>
        <v>13.7</v>
      </c>
      <c r="K20" s="192">
        <f>SUM(K21:K25)</f>
        <v>541.93799999999999</v>
      </c>
      <c r="L20" s="432">
        <f>SUM(L21:L25)</f>
        <v>318.81799999999998</v>
      </c>
      <c r="M20" s="429">
        <f t="shared" ref="M20:M28" si="39">IF(K20=0, "    ---- ", IF(ABS(ROUND(100/K20*L20-100,1))&lt;999,ROUND(100/K20*L20-100,1),IF(ROUND(100/K20*L20-100,1)&gt;999,999,-999)))</f>
        <v>-41.2</v>
      </c>
      <c r="N20" s="104">
        <f>SUM(N21:N25)</f>
        <v>923.09999999999991</v>
      </c>
      <c r="O20" s="584">
        <f>SUM(O21:O25)</f>
        <v>885</v>
      </c>
      <c r="P20" s="428">
        <f t="shared" si="38"/>
        <v>-4.0999999999999996</v>
      </c>
      <c r="Q20" s="689"/>
      <c r="R20" s="622"/>
      <c r="S20" s="429"/>
      <c r="T20" s="104">
        <f>SUM(T21:T25)</f>
        <v>12341.025364090001</v>
      </c>
      <c r="U20" s="584">
        <v>12187.872847820001</v>
      </c>
      <c r="V20" s="429">
        <f t="shared" si="25"/>
        <v>-1.2</v>
      </c>
      <c r="W20" s="104">
        <f>SUM(W21:W25)</f>
        <v>10665.720000000001</v>
      </c>
      <c r="X20" s="584">
        <f>SUM(X21:X25)</f>
        <v>11135.050000000003</v>
      </c>
      <c r="Y20" s="429">
        <f t="shared" ref="Y20:Y28" si="40">IF(W20=0, "    ---- ", IF(ABS(ROUND(100/W20*X20-100,1))&lt;999,ROUND(100/W20*X20-100,1),IF(ROUND(100/W20*X20-100,1)&gt;999,999,-999)))</f>
        <v>4.4000000000000004</v>
      </c>
      <c r="Z20" s="104">
        <f>SUM(Z21:Z25)</f>
        <v>4553</v>
      </c>
      <c r="AA20" s="584">
        <f>SUM(AA21:AA25)</f>
        <v>4548</v>
      </c>
      <c r="AB20" s="429">
        <f t="shared" si="31"/>
        <v>-0.1</v>
      </c>
      <c r="AC20" s="104"/>
      <c r="AD20" s="584"/>
      <c r="AE20" s="328"/>
      <c r="AF20" s="104">
        <f>SUM(AF21:AF25)</f>
        <v>3609.2190000000001</v>
      </c>
      <c r="AG20" s="584">
        <f>SUM(AG21:AG25)</f>
        <v>3952.3520000000003</v>
      </c>
      <c r="AH20" s="429">
        <f t="shared" si="32"/>
        <v>9.5</v>
      </c>
      <c r="AI20" s="104">
        <f>SUM(AI21:AI25)</f>
        <v>12761</v>
      </c>
      <c r="AJ20" s="584">
        <f>SUM(AJ21:AJ25)</f>
        <v>12003</v>
      </c>
      <c r="AK20" s="429">
        <f t="shared" si="33"/>
        <v>-5.9</v>
      </c>
      <c r="AL20" s="584"/>
      <c r="AM20" s="584"/>
      <c r="AN20" s="429"/>
      <c r="AO20" s="430">
        <f t="shared" si="27"/>
        <v>69600.820708679996</v>
      </c>
      <c r="AP20" s="430">
        <f t="shared" si="28"/>
        <v>63188.106053210002</v>
      </c>
      <c r="AQ20" s="429">
        <f t="shared" si="29"/>
        <v>-9.1999999999999993</v>
      </c>
    </row>
    <row r="21" spans="1:43" s="475" customFormat="1" ht="20.100000000000001" customHeight="1" x14ac:dyDescent="0.3">
      <c r="A21" s="446" t="s">
        <v>191</v>
      </c>
      <c r="B21" s="192">
        <v>6.8250000000000002</v>
      </c>
      <c r="C21" s="432">
        <v>7.1230000000000002</v>
      </c>
      <c r="D21" s="429">
        <f>IF(B21=0, "    ---- ", IF(ABS(ROUND(100/B21*C21-100,1))&lt;999,ROUND(100/B21*C21-100,1),IF(ROUND(100/B21*C21-100,1)&gt;999,999,-999)))</f>
        <v>4.4000000000000004</v>
      </c>
      <c r="E21" s="192">
        <v>393.0028858</v>
      </c>
      <c r="F21" s="432">
        <v>1417.3931122199999</v>
      </c>
      <c r="G21" s="429">
        <f t="shared" si="30"/>
        <v>260.7</v>
      </c>
      <c r="H21" s="192">
        <v>0</v>
      </c>
      <c r="I21" s="432">
        <v>0</v>
      </c>
      <c r="J21" s="429" t="str">
        <f t="shared" si="37"/>
        <v xml:space="preserve">    ---- </v>
      </c>
      <c r="K21" s="192">
        <v>82.340999999999994</v>
      </c>
      <c r="L21" s="432">
        <v>47.012</v>
      </c>
      <c r="M21" s="429">
        <f t="shared" si="39"/>
        <v>-42.9</v>
      </c>
      <c r="N21" s="104">
        <v>18.3</v>
      </c>
      <c r="O21" s="584">
        <v>15</v>
      </c>
      <c r="P21" s="428">
        <f t="shared" si="38"/>
        <v>-18</v>
      </c>
      <c r="Q21" s="689"/>
      <c r="R21" s="622"/>
      <c r="S21" s="429"/>
      <c r="T21" s="104">
        <v>6.7540584500000005</v>
      </c>
      <c r="U21" s="584">
        <v>7.6531584500000003</v>
      </c>
      <c r="V21" s="429">
        <f t="shared" si="25"/>
        <v>13.3</v>
      </c>
      <c r="W21" s="104">
        <v>6.75</v>
      </c>
      <c r="X21" s="584">
        <v>9.77</v>
      </c>
      <c r="Y21" s="429">
        <f t="shared" si="40"/>
        <v>44.7</v>
      </c>
      <c r="Z21" s="104">
        <v>2190</v>
      </c>
      <c r="AA21" s="584">
        <v>2176</v>
      </c>
      <c r="AB21" s="429">
        <f t="shared" si="31"/>
        <v>-0.6</v>
      </c>
      <c r="AC21" s="104"/>
      <c r="AD21" s="584"/>
      <c r="AE21" s="429"/>
      <c r="AF21" s="104">
        <v>1.204</v>
      </c>
      <c r="AG21" s="584">
        <v>1.355</v>
      </c>
      <c r="AH21" s="429">
        <f t="shared" si="32"/>
        <v>12.5</v>
      </c>
      <c r="AI21" s="104">
        <v>90</v>
      </c>
      <c r="AJ21" s="584">
        <v>420</v>
      </c>
      <c r="AK21" s="429">
        <f t="shared" si="33"/>
        <v>366.7</v>
      </c>
      <c r="AL21" s="584"/>
      <c r="AM21" s="584"/>
      <c r="AN21" s="429"/>
      <c r="AO21" s="430">
        <f t="shared" si="27"/>
        <v>2795.1769442500004</v>
      </c>
      <c r="AP21" s="430">
        <f t="shared" si="28"/>
        <v>4101.3062706700002</v>
      </c>
      <c r="AQ21" s="429">
        <f t="shared" si="29"/>
        <v>46.7</v>
      </c>
    </row>
    <row r="22" spans="1:43" s="475" customFormat="1" ht="20.100000000000001" customHeight="1" x14ac:dyDescent="0.3">
      <c r="A22" s="446" t="s">
        <v>192</v>
      </c>
      <c r="B22" s="192">
        <v>797.66600000000005</v>
      </c>
      <c r="C22" s="432">
        <v>820.66</v>
      </c>
      <c r="D22" s="429">
        <f>IF(B22=0, "    ---- ", IF(ABS(ROUND(100/B22*C22-100,1))&lt;999,ROUND(100/B22*C22-100,1),IF(ROUND(100/B22*C22-100,1)&gt;999,999,-999)))</f>
        <v>2.9</v>
      </c>
      <c r="E22" s="192">
        <v>20479.04221494</v>
      </c>
      <c r="F22" s="432">
        <v>13337.62783987</v>
      </c>
      <c r="G22" s="429">
        <f t="shared" si="30"/>
        <v>-34.9</v>
      </c>
      <c r="H22" s="192">
        <v>1958.0040078799998</v>
      </c>
      <c r="I22" s="432">
        <v>2467.3155290299992</v>
      </c>
      <c r="J22" s="429">
        <f t="shared" si="37"/>
        <v>26</v>
      </c>
      <c r="K22" s="192">
        <v>356.54899999999998</v>
      </c>
      <c r="L22" s="432">
        <v>196.73</v>
      </c>
      <c r="M22" s="429">
        <f t="shared" si="39"/>
        <v>-44.8</v>
      </c>
      <c r="N22" s="104">
        <v>904.8</v>
      </c>
      <c r="O22" s="584">
        <v>870</v>
      </c>
      <c r="P22" s="428">
        <f t="shared" si="38"/>
        <v>-3.8</v>
      </c>
      <c r="Q22" s="689"/>
      <c r="R22" s="622"/>
      <c r="S22" s="429"/>
      <c r="T22" s="104">
        <v>9910.2505500000007</v>
      </c>
      <c r="U22" s="584">
        <v>9908.0016924200008</v>
      </c>
      <c r="V22" s="429">
        <f t="shared" si="25"/>
        <v>0</v>
      </c>
      <c r="W22" s="104">
        <v>10658.710000000001</v>
      </c>
      <c r="X22" s="584">
        <v>11198.02</v>
      </c>
      <c r="Y22" s="429">
        <f t="shared" si="40"/>
        <v>5.0999999999999996</v>
      </c>
      <c r="Z22" s="104">
        <v>2272</v>
      </c>
      <c r="AA22" s="584">
        <v>2334</v>
      </c>
      <c r="AB22" s="429">
        <f t="shared" si="31"/>
        <v>2.7</v>
      </c>
      <c r="AC22" s="104"/>
      <c r="AD22" s="584"/>
      <c r="AE22" s="429"/>
      <c r="AF22" s="104">
        <v>3304.2359999999999</v>
      </c>
      <c r="AG22" s="584">
        <v>3164.2330000000002</v>
      </c>
      <c r="AH22" s="429">
        <f t="shared" si="32"/>
        <v>-4.2</v>
      </c>
      <c r="AI22" s="104">
        <v>11559</v>
      </c>
      <c r="AJ22" s="584">
        <v>10734</v>
      </c>
      <c r="AK22" s="429">
        <f t="shared" si="33"/>
        <v>-7.1</v>
      </c>
      <c r="AL22" s="584"/>
      <c r="AM22" s="584"/>
      <c r="AN22" s="429"/>
      <c r="AO22" s="430">
        <f t="shared" si="27"/>
        <v>62200.257772819998</v>
      </c>
      <c r="AP22" s="430">
        <f t="shared" si="28"/>
        <v>55030.588061320006</v>
      </c>
      <c r="AQ22" s="429">
        <f t="shared" si="29"/>
        <v>-11.5</v>
      </c>
    </row>
    <row r="23" spans="1:43" s="475" customFormat="1" ht="20.100000000000001" customHeight="1" x14ac:dyDescent="0.3">
      <c r="A23" s="446" t="s">
        <v>193</v>
      </c>
      <c r="B23" s="192"/>
      <c r="C23" s="432"/>
      <c r="D23" s="429"/>
      <c r="E23" s="192">
        <v>1.7899053700000001</v>
      </c>
      <c r="F23" s="432">
        <v>46.731959670000002</v>
      </c>
      <c r="G23" s="429">
        <f t="shared" si="30"/>
        <v>999</v>
      </c>
      <c r="H23" s="192">
        <v>244.37152026000001</v>
      </c>
      <c r="I23" s="432">
        <v>33.197758919999998</v>
      </c>
      <c r="J23" s="429">
        <f t="shared" si="37"/>
        <v>-86.4</v>
      </c>
      <c r="K23" s="192"/>
      <c r="L23" s="432"/>
      <c r="M23" s="429"/>
      <c r="N23" s="104"/>
      <c r="O23" s="584"/>
      <c r="P23" s="428"/>
      <c r="Q23" s="689"/>
      <c r="R23" s="622"/>
      <c r="S23" s="429"/>
      <c r="T23" s="104">
        <v>1677.6790948900002</v>
      </c>
      <c r="U23" s="584">
        <v>1658.2141533699998</v>
      </c>
      <c r="V23" s="429">
        <f t="shared" si="25"/>
        <v>-1.2</v>
      </c>
      <c r="W23" s="104">
        <v>0.26</v>
      </c>
      <c r="X23" s="584">
        <v>0.11</v>
      </c>
      <c r="Y23" s="429">
        <f t="shared" si="40"/>
        <v>-57.7</v>
      </c>
      <c r="Z23" s="104"/>
      <c r="AA23" s="584"/>
      <c r="AB23" s="429"/>
      <c r="AC23" s="104"/>
      <c r="AD23" s="584"/>
      <c r="AE23" s="429"/>
      <c r="AF23" s="104">
        <v>0</v>
      </c>
      <c r="AG23" s="584">
        <v>290.97800000000001</v>
      </c>
      <c r="AH23" s="429" t="str">
        <f t="shared" si="32"/>
        <v xml:space="preserve">    ---- </v>
      </c>
      <c r="AI23" s="104"/>
      <c r="AJ23" s="584"/>
      <c r="AK23" s="429"/>
      <c r="AL23" s="584"/>
      <c r="AM23" s="584"/>
      <c r="AN23" s="429"/>
      <c r="AO23" s="430">
        <f t="shared" si="27"/>
        <v>1924.1005205200001</v>
      </c>
      <c r="AP23" s="430">
        <f t="shared" si="28"/>
        <v>2029.2318719599998</v>
      </c>
      <c r="AQ23" s="429">
        <f t="shared" si="29"/>
        <v>5.5</v>
      </c>
    </row>
    <row r="24" spans="1:43" s="475" customFormat="1" ht="20.100000000000001" customHeight="1" x14ac:dyDescent="0.3">
      <c r="A24" s="446" t="s">
        <v>194</v>
      </c>
      <c r="B24" s="192"/>
      <c r="C24" s="432"/>
      <c r="D24" s="429"/>
      <c r="E24" s="192">
        <v>7.22438818</v>
      </c>
      <c r="F24" s="432">
        <v>7.7406614999999999</v>
      </c>
      <c r="G24" s="429">
        <f t="shared" si="30"/>
        <v>7.1</v>
      </c>
      <c r="H24" s="192">
        <v>0</v>
      </c>
      <c r="I24" s="432">
        <v>0</v>
      </c>
      <c r="J24" s="429" t="str">
        <f t="shared" si="37"/>
        <v xml:space="preserve">    ---- </v>
      </c>
      <c r="K24" s="192"/>
      <c r="L24" s="432"/>
      <c r="M24" s="429"/>
      <c r="N24" s="104"/>
      <c r="O24" s="584"/>
      <c r="P24" s="428"/>
      <c r="Q24" s="689"/>
      <c r="R24" s="622"/>
      <c r="S24" s="429"/>
      <c r="T24" s="104">
        <v>741.62346622000007</v>
      </c>
      <c r="U24" s="584">
        <v>613.99445575000004</v>
      </c>
      <c r="V24" s="429">
        <f t="shared" si="25"/>
        <v>-17.2</v>
      </c>
      <c r="W24" s="104"/>
      <c r="X24" s="584">
        <v>0.45</v>
      </c>
      <c r="Y24" s="429" t="str">
        <f t="shared" si="40"/>
        <v xml:space="preserve">    ---- </v>
      </c>
      <c r="Z24" s="104">
        <v>91</v>
      </c>
      <c r="AA24" s="584">
        <v>38</v>
      </c>
      <c r="AB24" s="429">
        <f t="shared" si="31"/>
        <v>-58.2</v>
      </c>
      <c r="AC24" s="104"/>
      <c r="AD24" s="584"/>
      <c r="AE24" s="429"/>
      <c r="AF24" s="104">
        <v>0.75700000000000001</v>
      </c>
      <c r="AG24" s="584">
        <v>1.099</v>
      </c>
      <c r="AH24" s="429">
        <f t="shared" si="32"/>
        <v>45.2</v>
      </c>
      <c r="AI24" s="104">
        <v>1112</v>
      </c>
      <c r="AJ24" s="584">
        <v>849</v>
      </c>
      <c r="AK24" s="429">
        <f t="shared" si="33"/>
        <v>-23.7</v>
      </c>
      <c r="AL24" s="584"/>
      <c r="AM24" s="584"/>
      <c r="AN24" s="429"/>
      <c r="AO24" s="430">
        <f t="shared" si="27"/>
        <v>1952.6048544</v>
      </c>
      <c r="AP24" s="430">
        <f t="shared" si="28"/>
        <v>1510.2841172500002</v>
      </c>
      <c r="AQ24" s="429">
        <f t="shared" si="29"/>
        <v>-22.7</v>
      </c>
    </row>
    <row r="25" spans="1:43" s="475" customFormat="1" ht="20.100000000000001" customHeight="1" x14ac:dyDescent="0.3">
      <c r="A25" s="446" t="s">
        <v>195</v>
      </c>
      <c r="B25" s="192"/>
      <c r="C25" s="432"/>
      <c r="D25" s="429"/>
      <c r="E25" s="192">
        <v>316.17495596999998</v>
      </c>
      <c r="F25" s="432">
        <v>14.343496420000001</v>
      </c>
      <c r="G25" s="429">
        <f t="shared" si="30"/>
        <v>-95.5</v>
      </c>
      <c r="H25" s="192">
        <v>1.717466189999991</v>
      </c>
      <c r="I25" s="432">
        <v>5.8798477599999996</v>
      </c>
      <c r="J25" s="429">
        <f t="shared" ref="J25" si="41">IF(H25=0, "    ---- ", IF(ABS(ROUND(100/H25*I25-100,1))&lt;999,ROUND(100/H25*I25-100,1),IF(ROUND(100/H25*I25-100,1)&gt;999,999,-999)))</f>
        <v>242.4</v>
      </c>
      <c r="K25" s="192">
        <v>103.048</v>
      </c>
      <c r="L25" s="432">
        <v>75.075999999999993</v>
      </c>
      <c r="M25" s="429">
        <f t="shared" si="39"/>
        <v>-27.1</v>
      </c>
      <c r="N25" s="104"/>
      <c r="O25" s="584"/>
      <c r="P25" s="428"/>
      <c r="Q25" s="689"/>
      <c r="R25" s="622"/>
      <c r="S25" s="429"/>
      <c r="T25" s="104">
        <v>4.7181945299999999</v>
      </c>
      <c r="U25" s="584">
        <v>9.3878299999999998E-3</v>
      </c>
      <c r="V25" s="429">
        <f t="shared" si="25"/>
        <v>-99.8</v>
      </c>
      <c r="W25" s="104"/>
      <c r="X25" s="584">
        <v>-73.3</v>
      </c>
      <c r="Y25" s="429" t="str">
        <f t="shared" si="40"/>
        <v xml:space="preserve">    ---- </v>
      </c>
      <c r="Z25" s="104"/>
      <c r="AA25" s="584"/>
      <c r="AB25" s="429"/>
      <c r="AC25" s="104"/>
      <c r="AD25" s="584"/>
      <c r="AE25" s="328"/>
      <c r="AF25" s="104">
        <v>303.02199999999999</v>
      </c>
      <c r="AG25" s="584">
        <v>494.68700000000001</v>
      </c>
      <c r="AH25" s="429">
        <f t="shared" si="32"/>
        <v>63.3</v>
      </c>
      <c r="AI25" s="104"/>
      <c r="AJ25" s="584"/>
      <c r="AK25" s="429"/>
      <c r="AL25" s="584"/>
      <c r="AM25" s="584"/>
      <c r="AN25" s="429"/>
      <c r="AO25" s="430">
        <f t="shared" si="27"/>
        <v>728.68061668999997</v>
      </c>
      <c r="AP25" s="430">
        <f t="shared" si="28"/>
        <v>516.69573201000003</v>
      </c>
      <c r="AQ25" s="429">
        <f t="shared" si="29"/>
        <v>-29.1</v>
      </c>
    </row>
    <row r="26" spans="1:43" s="475" customFormat="1" ht="20.100000000000001" customHeight="1" x14ac:dyDescent="0.3">
      <c r="A26" s="446" t="s">
        <v>196</v>
      </c>
      <c r="B26" s="192"/>
      <c r="C26" s="432"/>
      <c r="D26" s="429"/>
      <c r="E26" s="192"/>
      <c r="F26" s="432"/>
      <c r="G26" s="429"/>
      <c r="H26" s="192">
        <v>0</v>
      </c>
      <c r="I26" s="432">
        <v>0</v>
      </c>
      <c r="J26" s="429" t="str">
        <f t="shared" si="37"/>
        <v xml:space="preserve">    ---- </v>
      </c>
      <c r="K26" s="192"/>
      <c r="L26" s="432"/>
      <c r="M26" s="429"/>
      <c r="N26" s="104"/>
      <c r="O26" s="584"/>
      <c r="P26" s="428"/>
      <c r="Q26" s="689"/>
      <c r="R26" s="622"/>
      <c r="S26" s="429"/>
      <c r="T26" s="104"/>
      <c r="U26" s="584"/>
      <c r="V26" s="429"/>
      <c r="W26" s="104"/>
      <c r="X26" s="584">
        <v>0</v>
      </c>
      <c r="Y26" s="429" t="str">
        <f t="shared" si="40"/>
        <v xml:space="preserve">    ---- </v>
      </c>
      <c r="Z26" s="104"/>
      <c r="AA26" s="584"/>
      <c r="AB26" s="429"/>
      <c r="AC26" s="104"/>
      <c r="AD26" s="584"/>
      <c r="AE26" s="429"/>
      <c r="AF26" s="104"/>
      <c r="AG26" s="584"/>
      <c r="AH26" s="429"/>
      <c r="AI26" s="104"/>
      <c r="AJ26" s="584"/>
      <c r="AK26" s="429"/>
      <c r="AL26" s="584"/>
      <c r="AM26" s="584"/>
      <c r="AN26" s="429"/>
      <c r="AO26" s="430">
        <f t="shared" si="27"/>
        <v>0</v>
      </c>
      <c r="AP26" s="430">
        <f t="shared" si="28"/>
        <v>0</v>
      </c>
      <c r="AQ26" s="429" t="str">
        <f t="shared" si="29"/>
        <v xml:space="preserve">    ---- </v>
      </c>
    </row>
    <row r="27" spans="1:43" s="475" customFormat="1" ht="20.100000000000001" customHeight="1" x14ac:dyDescent="0.3">
      <c r="A27" s="447" t="s">
        <v>197</v>
      </c>
      <c r="B27" s="192">
        <f>SUM(B14+B15+B16+B20+B26)</f>
        <v>804.4910000000001</v>
      </c>
      <c r="C27" s="432">
        <f>SUM(C14+C15+C16+C20+C26)</f>
        <v>827.78300000000002</v>
      </c>
      <c r="D27" s="429">
        <f>IF(B27=0, "    ---- ", IF(ABS(ROUND(100/B27*C27-100,1))&lt;999,ROUND(100/B27*C27-100,1),IF(ROUND(100/B27*C27-100,1)&gt;999,999,-999)))</f>
        <v>2.9</v>
      </c>
      <c r="E27" s="192">
        <f>SUM(E14+E15+E16+E20+E26)</f>
        <v>34710.405631349997</v>
      </c>
      <c r="F27" s="432">
        <f>SUM(F14+F15+F16+F20+F26)</f>
        <v>33482.958185669995</v>
      </c>
      <c r="G27" s="429">
        <f t="shared" si="30"/>
        <v>-3.5</v>
      </c>
      <c r="H27" s="192">
        <f>SUM(H14+H15+H16+H20+H26)</f>
        <v>2204.0929943299998</v>
      </c>
      <c r="I27" s="432">
        <v>2855.6189432999995</v>
      </c>
      <c r="J27" s="429">
        <f t="shared" ref="J27:J28" si="42">IF(H27=0, "    ---- ", IF(ABS(ROUND(100/H27*I27-100,1))&lt;999,ROUND(100/H27*I27-100,1),IF(ROUND(100/H27*I27-100,1)&gt;999,999,-999)))</f>
        <v>29.6</v>
      </c>
      <c r="K27" s="192">
        <f>SUM(K14+K15+K16+K20+K26)</f>
        <v>668.00099999999998</v>
      </c>
      <c r="L27" s="432">
        <f>SUM(L14+L15+L16+L20+L26)</f>
        <v>416.53399999999999</v>
      </c>
      <c r="M27" s="429">
        <f t="shared" si="39"/>
        <v>-37.6</v>
      </c>
      <c r="N27" s="104">
        <f>SUM(N14+N15+N16+N20+N26)</f>
        <v>1197.3999999999999</v>
      </c>
      <c r="O27" s="584">
        <f>SUM(O14+O15+O16+O20+O26)</f>
        <v>1171</v>
      </c>
      <c r="P27" s="428">
        <f t="shared" si="38"/>
        <v>-2.2000000000000002</v>
      </c>
      <c r="Q27" s="689"/>
      <c r="R27" s="622"/>
      <c r="S27" s="429"/>
      <c r="T27" s="104">
        <f>SUM(T14+T15+T16+T20+T26)</f>
        <v>40909.843629110001</v>
      </c>
      <c r="U27" s="584">
        <v>41394.402392999997</v>
      </c>
      <c r="V27" s="429">
        <f t="shared" si="25"/>
        <v>1.2</v>
      </c>
      <c r="W27" s="104">
        <f>SUM(W14+W15+W16+W20+W26)</f>
        <v>10665.720000000001</v>
      </c>
      <c r="X27" s="584">
        <f>SUM(X14+X15+X16+X20+X26)</f>
        <v>11140.050000000003</v>
      </c>
      <c r="Y27" s="429">
        <f t="shared" si="40"/>
        <v>4.4000000000000004</v>
      </c>
      <c r="Z27" s="104">
        <f>SUM(Z14+Z15+Z16+Z20+Z26)</f>
        <v>10346</v>
      </c>
      <c r="AA27" s="584">
        <f>SUM(AA14+AA15+AA16+AA20+AA26)</f>
        <v>10995</v>
      </c>
      <c r="AB27" s="429">
        <f t="shared" si="31"/>
        <v>6.3</v>
      </c>
      <c r="AC27" s="104"/>
      <c r="AD27" s="584"/>
      <c r="AE27" s="328"/>
      <c r="AF27" s="104">
        <f>SUM(AF14+AF15+AF16+AF20+AF26)</f>
        <v>6500.0429999999997</v>
      </c>
      <c r="AG27" s="584">
        <f>SUM(AG14+AG15+AG16+AG20+AG26)</f>
        <v>6457.9310000000005</v>
      </c>
      <c r="AH27" s="429">
        <f t="shared" si="32"/>
        <v>-0.6</v>
      </c>
      <c r="AI27" s="104">
        <f>SUM(AI14+AI15+AI16+AI20+AI26)</f>
        <v>35244</v>
      </c>
      <c r="AJ27" s="584">
        <f>SUM(AJ14+AJ15+AJ16+AJ20+AJ26)</f>
        <v>35342</v>
      </c>
      <c r="AK27" s="429">
        <f t="shared" si="33"/>
        <v>0.3</v>
      </c>
      <c r="AL27" s="584"/>
      <c r="AM27" s="584"/>
      <c r="AN27" s="429"/>
      <c r="AO27" s="430">
        <f t="shared" si="27"/>
        <v>143249.99725479001</v>
      </c>
      <c r="AP27" s="430">
        <f t="shared" si="28"/>
        <v>144083.27752196998</v>
      </c>
      <c r="AQ27" s="429">
        <f t="shared" si="29"/>
        <v>0.6</v>
      </c>
    </row>
    <row r="28" spans="1:43" s="475" customFormat="1" ht="20.100000000000001" customHeight="1" x14ac:dyDescent="0.3">
      <c r="A28" s="446" t="s">
        <v>198</v>
      </c>
      <c r="B28" s="192">
        <f>61.434+138.615+3.188</f>
        <v>203.23699999999999</v>
      </c>
      <c r="C28" s="432">
        <f>22.691+56.306+215.362+4.301</f>
        <v>298.65999999999997</v>
      </c>
      <c r="D28" s="429">
        <f>IF(B28=0, "    ---- ", IF(ABS(ROUND(100/B28*C28-100,1))&lt;999,ROUND(100/B28*C28-100,1),IF(ROUND(100/B28*C28-100,1)&gt;999,999,-999)))</f>
        <v>47</v>
      </c>
      <c r="E28" s="192">
        <v>1032.4690000000001</v>
      </c>
      <c r="F28" s="432">
        <f>386.788+380.942+36.891</f>
        <v>804.62099999999998</v>
      </c>
      <c r="G28" s="429">
        <f t="shared" si="30"/>
        <v>-22.1</v>
      </c>
      <c r="H28" s="192">
        <v>1323.63399235</v>
      </c>
      <c r="I28" s="432">
        <v>1124.5761119700001</v>
      </c>
      <c r="J28" s="429">
        <f t="shared" si="42"/>
        <v>-15</v>
      </c>
      <c r="K28" s="192">
        <v>525.91899999999998</v>
      </c>
      <c r="L28" s="432">
        <v>590.726</v>
      </c>
      <c r="M28" s="429">
        <f t="shared" si="39"/>
        <v>12.3</v>
      </c>
      <c r="N28" s="104">
        <v>336.1</v>
      </c>
      <c r="O28" s="584">
        <v>394</v>
      </c>
      <c r="P28" s="428">
        <f t="shared" si="38"/>
        <v>17.2</v>
      </c>
      <c r="Q28" s="689">
        <v>157.74681726</v>
      </c>
      <c r="R28" s="622">
        <v>167.64422300000001</v>
      </c>
      <c r="S28" s="429">
        <f>IF(Q28=0, "    ---- ", IF(ABS(ROUND(100/Q28*R28-100,1))&lt;999,ROUND(100/Q28*R28-100,1),IF(ROUND(100/Q28*R28-100,1)&gt;999,999,-999)))</f>
        <v>6.3</v>
      </c>
      <c r="T28" s="104">
        <v>4556.2179340299999</v>
      </c>
      <c r="U28" s="584">
        <v>3984.9577634499997</v>
      </c>
      <c r="V28" s="429">
        <f t="shared" si="25"/>
        <v>-12.5</v>
      </c>
      <c r="W28" s="104">
        <v>1165</v>
      </c>
      <c r="X28" s="584">
        <v>1347.34</v>
      </c>
      <c r="Y28" s="429">
        <f t="shared" si="40"/>
        <v>15.7</v>
      </c>
      <c r="Z28" s="104">
        <f>93+1540+28+57+1</f>
        <v>1719</v>
      </c>
      <c r="AA28" s="584">
        <v>1408</v>
      </c>
      <c r="AB28" s="429">
        <f t="shared" si="31"/>
        <v>-18.100000000000001</v>
      </c>
      <c r="AC28" s="104">
        <v>95.978247940000003</v>
      </c>
      <c r="AD28" s="428">
        <v>99.931995259999994</v>
      </c>
      <c r="AE28" s="429">
        <f>IF(AC28=0, "    ---- ", IF(ABS(ROUND(100/AC28*AD28-100,1))&lt;999,ROUND(100/AC28*AD28-100,1),IF(ROUND(100/AC28*AD28-100,1)&gt;999,999,-999)))</f>
        <v>4.0999999999999996</v>
      </c>
      <c r="AF28" s="104">
        <v>690.02499999999998</v>
      </c>
      <c r="AG28" s="584">
        <v>669.58199999999999</v>
      </c>
      <c r="AH28" s="429">
        <f t="shared" si="32"/>
        <v>-3</v>
      </c>
      <c r="AI28" s="104">
        <f>441+2397+2279+53</f>
        <v>5170</v>
      </c>
      <c r="AJ28" s="584">
        <f>465+5290+3134+54+1</f>
        <v>8944</v>
      </c>
      <c r="AK28" s="429">
        <f t="shared" si="33"/>
        <v>73</v>
      </c>
      <c r="AL28" s="584"/>
      <c r="AM28" s="584">
        <v>4</v>
      </c>
      <c r="AN28" s="429" t="str">
        <f>IF(AL28=0, "    ---- ", IF(ABS(ROUND(100/AL28*AM28-100,1))&lt;999,ROUND(100/AL28*AM28-100,1),IF(ROUND(100/AL28*AM28-100,1)&gt;999,999,-999)))</f>
        <v xml:space="preserve">    ---- </v>
      </c>
      <c r="AO28" s="430">
        <f t="shared" si="27"/>
        <v>16975.326991579997</v>
      </c>
      <c r="AP28" s="430">
        <f t="shared" si="28"/>
        <v>19838.039093679999</v>
      </c>
      <c r="AQ28" s="429">
        <f t="shared" si="29"/>
        <v>16.899999999999999</v>
      </c>
    </row>
    <row r="29" spans="1:43" s="475" customFormat="1" ht="20.100000000000001" customHeight="1" x14ac:dyDescent="0.3">
      <c r="A29" s="446" t="s">
        <v>199</v>
      </c>
      <c r="B29" s="192">
        <f>SUM(B27+B28)</f>
        <v>1007.7280000000001</v>
      </c>
      <c r="C29" s="432">
        <f>SUM(C27+C28)</f>
        <v>1126.443</v>
      </c>
      <c r="D29" s="429">
        <f>IF(B29=0, "    ---- ", IF(ABS(ROUND(100/B29*C29-100,1))&lt;999,ROUND(100/B29*C29-100,1),IF(ROUND(100/B29*C29-100,1)&gt;999,999,-999)))</f>
        <v>11.8</v>
      </c>
      <c r="E29" s="192">
        <f>SUM(E27+E28)</f>
        <v>35742.874631349994</v>
      </c>
      <c r="F29" s="432">
        <f>SUM(F27+F28)</f>
        <v>34287.579185669994</v>
      </c>
      <c r="G29" s="429">
        <f>IF(E29=0, "    ---- ", IF(ABS(ROUND(100/E29*F29-100,1))&lt;999,ROUND(100/E29*F29-100,1),IF(ROUND(100/E29*F29-100,1)&gt;999,999,-999)))</f>
        <v>-4.0999999999999996</v>
      </c>
      <c r="H29" s="192">
        <f>SUM(H27+H28)</f>
        <v>3527.7269866799998</v>
      </c>
      <c r="I29" s="432">
        <f>SUM(I27+I28)</f>
        <v>3980.1950552699996</v>
      </c>
      <c r="J29" s="429">
        <f>IF(H29=0, "    ---- ", IF(ABS(ROUND(100/H29*I29-100,1))&lt;999,ROUND(100/H29*I29-100,1),IF(ROUND(100/H29*I29-100,1)&gt;999,999,-999)))</f>
        <v>12.8</v>
      </c>
      <c r="K29" s="192">
        <f>SUM(K27+K28)</f>
        <v>1193.92</v>
      </c>
      <c r="L29" s="432">
        <f>SUM(L27+L28)</f>
        <v>1007.26</v>
      </c>
      <c r="M29" s="429">
        <f>IF(K29=0, "    ---- ", IF(ABS(ROUND(100/K29*L29-100,1))&lt;999,ROUND(100/K29*L29-100,1),IF(ROUND(100/K29*L29-100,1)&gt;999,999,-999)))</f>
        <v>-15.6</v>
      </c>
      <c r="N29" s="192">
        <f>SUM(N27+N28)</f>
        <v>1533.5</v>
      </c>
      <c r="O29" s="432">
        <f>SUM(O27+O28)</f>
        <v>1565</v>
      </c>
      <c r="P29" s="429">
        <f>IF(N29=0, "    ---- ", IF(ABS(ROUND(100/N29*O29-100,1))&lt;999,ROUND(100/N29*O29-100,1),IF(ROUND(100/N29*O29-100,1)&gt;999,999,-999)))</f>
        <v>2.1</v>
      </c>
      <c r="Q29" s="670">
        <f>SUM(Q27+Q28)</f>
        <v>157.74681726</v>
      </c>
      <c r="R29" s="429">
        <f>SUM(R27+R28)</f>
        <v>167.64422300000001</v>
      </c>
      <c r="S29" s="429">
        <f>IF(Q29=0, "    ---- ", IF(ABS(ROUND(100/Q29*R29-100,1))&lt;999,ROUND(100/Q29*R29-100,1),IF(ROUND(100/Q29*R29-100,1)&gt;999,999,-999)))</f>
        <v>6.3</v>
      </c>
      <c r="T29" s="192">
        <f>SUM(T27+T28)</f>
        <v>45466.06156314</v>
      </c>
      <c r="U29" s="432">
        <v>45379.360156449999</v>
      </c>
      <c r="V29" s="429">
        <f>IF(T29=0, "    ---- ", IF(ABS(ROUND(100/T29*U29-100,1))&lt;999,ROUND(100/T29*U29-100,1),IF(ROUND(100/T29*U29-100,1)&gt;999,999,-999)))</f>
        <v>-0.2</v>
      </c>
      <c r="W29" s="192">
        <f>SUM(W27+W28)</f>
        <v>11830.720000000001</v>
      </c>
      <c r="X29" s="432">
        <f>SUM(X27+X28)</f>
        <v>12487.390000000003</v>
      </c>
      <c r="Y29" s="429">
        <f>IF(W29=0, "    ---- ", IF(ABS(ROUND(100/W29*X29-100,1))&lt;999,ROUND(100/W29*X29-100,1),IF(ROUND(100/W29*X29-100,1)&gt;999,999,-999)))</f>
        <v>5.6</v>
      </c>
      <c r="Z29" s="192">
        <f>SUM(Z27+Z28)</f>
        <v>12065</v>
      </c>
      <c r="AA29" s="432">
        <f>SUM(AA27+AA28)</f>
        <v>12403</v>
      </c>
      <c r="AB29" s="429">
        <f>IF(Z29=0, "    ---- ", IF(ABS(ROUND(100/Z29*AA29-100,1))&lt;999,ROUND(100/Z29*AA29-100,1),IF(ROUND(100/Z29*AA29-100,1)&gt;999,999,-999)))</f>
        <v>2.8</v>
      </c>
      <c r="AC29" s="192">
        <f>SUM(AC27+AC28)</f>
        <v>95.978247940000003</v>
      </c>
      <c r="AD29" s="432">
        <f>SUM(AD27+AD28)</f>
        <v>99.931995259999994</v>
      </c>
      <c r="AE29" s="429">
        <f>IF(AC29=0, "    ---- ", IF(ABS(ROUND(100/AC29*AD29-100,1))&lt;999,ROUND(100/AC29*AD29-100,1),IF(ROUND(100/AC29*AD29-100,1)&gt;999,999,-999)))</f>
        <v>4.0999999999999996</v>
      </c>
      <c r="AF29" s="192">
        <f>SUM(AF27+AF28)</f>
        <v>7190.0679999999993</v>
      </c>
      <c r="AG29" s="432">
        <f>SUM(AG27+AG28)</f>
        <v>7127.5130000000008</v>
      </c>
      <c r="AH29" s="429">
        <f>IF(AF29=0, "    ---- ", IF(ABS(ROUND(100/AF29*AG29-100,1))&lt;999,ROUND(100/AF29*AG29-100,1),IF(ROUND(100/AF29*AG29-100,1)&gt;999,999,-999)))</f>
        <v>-0.9</v>
      </c>
      <c r="AI29" s="192">
        <f>SUM(AI27+AI28)</f>
        <v>40414</v>
      </c>
      <c r="AJ29" s="432">
        <f>SUM(AJ27+AJ28)</f>
        <v>44286</v>
      </c>
      <c r="AK29" s="429">
        <f>IF(AI29=0, "    ---- ", IF(ABS(ROUND(100/AI29*AJ29-100,1))&lt;999,ROUND(100/AI29*AJ29-100,1),IF(ROUND(100/AI29*AJ29-100,1)&gt;999,999,-999)))</f>
        <v>9.6</v>
      </c>
      <c r="AL29" s="432"/>
      <c r="AM29" s="432">
        <f>SUM(AM27+AM28)</f>
        <v>4</v>
      </c>
      <c r="AN29" s="429" t="str">
        <f>IF(AL29=0, "    ---- ", IF(ABS(ROUND(100/AL29*AM29-100,1))&lt;999,ROUND(100/AL29*AM29-100,1),IF(ROUND(100/AL29*AM29-100,1)&gt;999,999,-999)))</f>
        <v xml:space="preserve">    ---- </v>
      </c>
      <c r="AO29" s="430">
        <f t="shared" si="27"/>
        <v>160225.32424637</v>
      </c>
      <c r="AP29" s="430">
        <f t="shared" si="28"/>
        <v>163921.31661565002</v>
      </c>
      <c r="AQ29" s="431">
        <f t="shared" si="29"/>
        <v>2.2999999999999998</v>
      </c>
    </row>
    <row r="30" spans="1:43" s="452" customFormat="1" ht="20.100000000000001" customHeight="1" x14ac:dyDescent="0.3">
      <c r="A30" s="446"/>
      <c r="B30" s="645"/>
      <c r="C30" s="423"/>
      <c r="D30" s="432"/>
      <c r="E30" s="645"/>
      <c r="F30" s="423"/>
      <c r="G30" s="432"/>
      <c r="H30" s="645"/>
      <c r="I30" s="423"/>
      <c r="J30" s="432"/>
      <c r="K30" s="645"/>
      <c r="L30" s="423"/>
      <c r="M30" s="432"/>
      <c r="N30" s="192"/>
      <c r="O30" s="432"/>
      <c r="P30" s="423"/>
      <c r="Q30" s="106"/>
      <c r="R30" s="428"/>
      <c r="S30" s="328"/>
      <c r="T30" s="645"/>
      <c r="U30" s="423"/>
      <c r="V30" s="328"/>
      <c r="W30" s="645"/>
      <c r="X30" s="423"/>
      <c r="Y30" s="328"/>
      <c r="Z30" s="645"/>
      <c r="AA30" s="423"/>
      <c r="AB30" s="328"/>
      <c r="AC30" s="645"/>
      <c r="AD30" s="423"/>
      <c r="AE30" s="328"/>
      <c r="AF30" s="645"/>
      <c r="AG30" s="423"/>
      <c r="AH30" s="328"/>
      <c r="AI30" s="645"/>
      <c r="AJ30" s="423"/>
      <c r="AK30" s="328"/>
      <c r="AL30" s="423"/>
      <c r="AM30" s="423"/>
      <c r="AN30" s="328"/>
      <c r="AO30" s="424"/>
      <c r="AP30" s="424"/>
      <c r="AQ30" s="433"/>
    </row>
    <row r="31" spans="1:43" s="452" customFormat="1" ht="20.100000000000001" customHeight="1" x14ac:dyDescent="0.3">
      <c r="A31" s="444" t="s">
        <v>200</v>
      </c>
      <c r="B31" s="192"/>
      <c r="C31" s="432"/>
      <c r="D31" s="432"/>
      <c r="E31" s="192"/>
      <c r="F31" s="432"/>
      <c r="G31" s="432"/>
      <c r="H31" s="192"/>
      <c r="I31" s="432"/>
      <c r="J31" s="432"/>
      <c r="K31" s="192"/>
      <c r="L31" s="432"/>
      <c r="M31" s="432"/>
      <c r="N31" s="192"/>
      <c r="O31" s="432"/>
      <c r="P31" s="423"/>
      <c r="Q31" s="670"/>
      <c r="R31" s="429"/>
      <c r="S31" s="328"/>
      <c r="T31" s="192"/>
      <c r="U31" s="432"/>
      <c r="V31" s="328"/>
      <c r="W31" s="192"/>
      <c r="X31" s="432"/>
      <c r="Y31" s="328"/>
      <c r="Z31" s="192"/>
      <c r="AA31" s="432"/>
      <c r="AB31" s="328"/>
      <c r="AC31" s="192"/>
      <c r="AD31" s="432"/>
      <c r="AE31" s="328"/>
      <c r="AF31" s="192"/>
      <c r="AG31" s="432"/>
      <c r="AH31" s="328"/>
      <c r="AI31" s="192"/>
      <c r="AJ31" s="432"/>
      <c r="AK31" s="328"/>
      <c r="AL31" s="432"/>
      <c r="AM31" s="432"/>
      <c r="AN31" s="328"/>
      <c r="AO31" s="424"/>
      <c r="AP31" s="424"/>
      <c r="AQ31" s="433"/>
    </row>
    <row r="32" spans="1:43" s="452" customFormat="1" ht="20.100000000000001" customHeight="1" x14ac:dyDescent="0.3">
      <c r="A32" s="444" t="s">
        <v>201</v>
      </c>
      <c r="B32" s="192"/>
      <c r="C32" s="432"/>
      <c r="D32" s="328"/>
      <c r="E32" s="192"/>
      <c r="F32" s="432"/>
      <c r="G32" s="328"/>
      <c r="H32" s="192"/>
      <c r="I32" s="432"/>
      <c r="J32" s="328"/>
      <c r="K32" s="192"/>
      <c r="L32" s="432"/>
      <c r="M32" s="328"/>
      <c r="N32" s="192"/>
      <c r="O32" s="432"/>
      <c r="P32" s="423"/>
      <c r="Q32" s="670"/>
      <c r="R32" s="429"/>
      <c r="S32" s="328"/>
      <c r="T32" s="192"/>
      <c r="U32" s="432"/>
      <c r="V32" s="328"/>
      <c r="W32" s="192"/>
      <c r="X32" s="432"/>
      <c r="Y32" s="328"/>
      <c r="Z32" s="192"/>
      <c r="AA32" s="432"/>
      <c r="AB32" s="328"/>
      <c r="AC32" s="192"/>
      <c r="AD32" s="432"/>
      <c r="AE32" s="328"/>
      <c r="AF32" s="192"/>
      <c r="AG32" s="432"/>
      <c r="AH32" s="328"/>
      <c r="AI32" s="192"/>
      <c r="AJ32" s="432"/>
      <c r="AK32" s="328"/>
      <c r="AL32" s="432"/>
      <c r="AM32" s="432"/>
      <c r="AN32" s="328"/>
      <c r="AO32" s="424"/>
      <c r="AP32" s="424"/>
      <c r="AQ32" s="433"/>
    </row>
    <row r="33" spans="1:43" s="452" customFormat="1" ht="20.100000000000001" customHeight="1" x14ac:dyDescent="0.3">
      <c r="A33" s="446" t="s">
        <v>202</v>
      </c>
      <c r="B33" s="192"/>
      <c r="C33" s="432"/>
      <c r="D33" s="432"/>
      <c r="E33" s="192">
        <v>19.31040771</v>
      </c>
      <c r="F33" s="432">
        <v>19.31040771</v>
      </c>
      <c r="G33" s="432">
        <f t="shared" ref="G33:G91" si="43">IF(E33=0, "    ---- ", IF(ABS(ROUND(100/E33*F33-100,1))&lt;999,ROUND(100/E33*F33-100,1),IF(ROUND(100/E33*F33-100,1)&gt;999,999,-999)))</f>
        <v>0</v>
      </c>
      <c r="H33" s="192"/>
      <c r="I33" s="432"/>
      <c r="J33" s="432"/>
      <c r="K33" s="192"/>
      <c r="L33" s="432"/>
      <c r="M33" s="432"/>
      <c r="N33" s="192"/>
      <c r="O33" s="432"/>
      <c r="P33" s="423"/>
      <c r="Q33" s="670"/>
      <c r="R33" s="429"/>
      <c r="S33" s="328"/>
      <c r="T33" s="192"/>
      <c r="U33" s="432"/>
      <c r="V33" s="328"/>
      <c r="W33" s="192"/>
      <c r="X33" s="432"/>
      <c r="Y33" s="328"/>
      <c r="Z33" s="192"/>
      <c r="AA33" s="432"/>
      <c r="AB33" s="328"/>
      <c r="AC33" s="192"/>
      <c r="AD33" s="432"/>
      <c r="AE33" s="328"/>
      <c r="AF33" s="192"/>
      <c r="AG33" s="432"/>
      <c r="AH33" s="328"/>
      <c r="AI33" s="192"/>
      <c r="AJ33" s="432"/>
      <c r="AK33" s="328"/>
      <c r="AL33" s="432"/>
      <c r="AM33" s="432"/>
      <c r="AN33" s="328"/>
      <c r="AO33" s="430">
        <f t="shared" ref="AO33:AO46" si="44">B33+E33+H33+K33+N33+Q33+T33+AL33+W33+Z33+AC33+AF33+AI33</f>
        <v>19.31040771</v>
      </c>
      <c r="AP33" s="430">
        <f t="shared" ref="AP33:AP46" si="45">C33+F33+I33+L33+O33+R33+U33+AM33+X33+AA33+AD33+AG33+AJ33</f>
        <v>19.31040771</v>
      </c>
      <c r="AQ33" s="433">
        <f t="shared" ref="AQ33:AQ91" si="46">IF(AO33=0, "    ---- ", IF(ABS(ROUND(100/AO33*AP33-100,1))&lt;999,ROUND(100/AO33*AP33-100,1),IF(ROUND(100/AO33*AP33-100,1)&gt;999,999,-999)))</f>
        <v>0</v>
      </c>
    </row>
    <row r="34" spans="1:43" s="452" customFormat="1" ht="20.100000000000001" customHeight="1" x14ac:dyDescent="0.3">
      <c r="A34" s="446" t="s">
        <v>203</v>
      </c>
      <c r="B34" s="192"/>
      <c r="C34" s="432"/>
      <c r="D34" s="432"/>
      <c r="E34" s="192">
        <v>28728.491999999998</v>
      </c>
      <c r="F34" s="432">
        <v>29488.204000000002</v>
      </c>
      <c r="G34" s="432">
        <f t="shared" si="43"/>
        <v>2.6</v>
      </c>
      <c r="H34" s="192"/>
      <c r="I34" s="432">
        <v>445.57893290999999</v>
      </c>
      <c r="J34" s="429" t="str">
        <f t="shared" ref="J34:J35" si="47">IF(H34=0, "    ---- ", IF(ABS(ROUND(100/H34*I34-100,1))&lt;999,ROUND(100/H34*I34-100,1),IF(ROUND(100/H34*I34-100,1)&gt;999,999,-999)))</f>
        <v xml:space="preserve">    ---- </v>
      </c>
      <c r="K34" s="192"/>
      <c r="L34" s="432"/>
      <c r="M34" s="432"/>
      <c r="N34" s="192">
        <v>1053.9000000000001</v>
      </c>
      <c r="O34" s="432">
        <v>1227</v>
      </c>
      <c r="P34" s="429">
        <f>IF(N34=0, "    ---- ", IF(ABS(ROUND(100/N34*O34-100,1))&lt;999,ROUND(100/N34*O34-100,1),IF(ROUND(100/N34*O34-100,1)&gt;999,999,-999)))</f>
        <v>16.399999999999999</v>
      </c>
      <c r="Q34" s="670"/>
      <c r="R34" s="429"/>
      <c r="S34" s="328"/>
      <c r="T34" s="192">
        <v>79911.987819140006</v>
      </c>
      <c r="U34" s="432">
        <v>87420.170698050002</v>
      </c>
      <c r="V34" s="328">
        <f>IF(T34=0, "    ---- ", IF(ABS(ROUND(100/T34*U34-100,1))&lt;999,ROUND(100/T34*U34-100,1),IF(ROUND(100/T34*U34-100,1)&gt;999,999,-999)))</f>
        <v>9.4</v>
      </c>
      <c r="W34" s="192">
        <v>7503.9950394000007</v>
      </c>
      <c r="X34" s="432">
        <v>8098.6189766999996</v>
      </c>
      <c r="Y34" s="328">
        <f t="shared" ref="Y34:Y91" si="48">IF(W34=0, "    ---- ", IF(ABS(ROUND(100/W34*X34-100,1))&lt;999,ROUND(100/W34*X34-100,1),IF(ROUND(100/W34*X34-100,1)&gt;999,999,-999)))</f>
        <v>7.9</v>
      </c>
      <c r="Z34" s="192">
        <f>11717+7236</f>
        <v>18953</v>
      </c>
      <c r="AA34" s="432">
        <f>13956+7406</f>
        <v>21362</v>
      </c>
      <c r="AB34" s="328">
        <f t="shared" ref="AB34:AB41" si="49">IF(Z34=0, "    ---- ", IF(ABS(ROUND(100/Z34*AA34-100,1))&lt;999,ROUND(100/Z34*AA34-100,1),IF(ROUND(100/Z34*AA34-100,1)&gt;999,999,-999)))</f>
        <v>12.7</v>
      </c>
      <c r="AC34" s="192"/>
      <c r="AD34" s="432"/>
      <c r="AE34" s="328"/>
      <c r="AF34" s="192">
        <v>4976.4859999999999</v>
      </c>
      <c r="AG34" s="432">
        <v>6247.4250000000002</v>
      </c>
      <c r="AH34" s="328">
        <f t="shared" ref="AH34:AH91" si="50">IF(AF34=0, "    ---- ", IF(ABS(ROUND(100/AF34*AG34-100,1))&lt;999,ROUND(100/AF34*AG34-100,1),IF(ROUND(100/AF34*AG34-100,1)&gt;999,999,-999)))</f>
        <v>25.5</v>
      </c>
      <c r="AI34" s="192">
        <v>20787</v>
      </c>
      <c r="AJ34" s="432">
        <v>23551</v>
      </c>
      <c r="AK34" s="328">
        <f t="shared" ref="AK34:AK91" si="51">IF(AI34=0, "    ---- ", IF(ABS(ROUND(100/AI34*AJ34-100,1))&lt;999,ROUND(100/AI34*AJ34-100,1),IF(ROUND(100/AI34*AJ34-100,1)&gt;999,999,-999)))</f>
        <v>13.3</v>
      </c>
      <c r="AL34" s="432"/>
      <c r="AM34" s="432"/>
      <c r="AN34" s="328"/>
      <c r="AO34" s="430">
        <f t="shared" si="44"/>
        <v>161914.86085854002</v>
      </c>
      <c r="AP34" s="430">
        <f t="shared" si="45"/>
        <v>177839.99760766001</v>
      </c>
      <c r="AQ34" s="433">
        <f t="shared" si="46"/>
        <v>9.8000000000000007</v>
      </c>
    </row>
    <row r="35" spans="1:43" s="452" customFormat="1" ht="20.100000000000001" customHeight="1" x14ac:dyDescent="0.3">
      <c r="A35" s="446" t="s">
        <v>204</v>
      </c>
      <c r="B35" s="192"/>
      <c r="C35" s="432"/>
      <c r="D35" s="432"/>
      <c r="E35" s="192">
        <f>SUM(E36+E38)</f>
        <v>100327.31151654001</v>
      </c>
      <c r="F35" s="432">
        <f>SUM(F36+F38)</f>
        <v>98068.878918009999</v>
      </c>
      <c r="G35" s="432">
        <f t="shared" si="43"/>
        <v>-2.2999999999999998</v>
      </c>
      <c r="H35" s="192">
        <f>SUM(H36+H38)</f>
        <v>238.37672087999999</v>
      </c>
      <c r="I35" s="432">
        <f>SUM(I36+I38)</f>
        <v>827.30643831999998</v>
      </c>
      <c r="J35" s="429">
        <f t="shared" si="47"/>
        <v>247.1</v>
      </c>
      <c r="K35" s="192">
        <f>SUM(K36+K38)</f>
        <v>212.29499999999999</v>
      </c>
      <c r="L35" s="432">
        <f>SUM(L36+L38)</f>
        <v>304.63400000000001</v>
      </c>
      <c r="M35" s="429">
        <f t="shared" ref="M35:M36" si="52">IF(K35=0, "    ---- ", IF(ABS(ROUND(100/K35*L35-100,1))&lt;999,ROUND(100/K35*L35-100,1),IF(ROUND(100/K35*L35-100,1)&gt;999,999,-999)))</f>
        <v>43.5</v>
      </c>
      <c r="N35" s="192">
        <f>SUM(N36+N38)</f>
        <v>5639.3</v>
      </c>
      <c r="O35" s="432">
        <f>SUM(O36+O38)</f>
        <v>5861</v>
      </c>
      <c r="P35" s="423">
        <f>IF(N35=0, "    ---- ", IF(ABS(ROUND(100/N35*O35-100,1))&lt;999,ROUND(100/N35*O35-100,1),IF(ROUND(100/N35*O35-100,1)&gt;999,999,-999)))</f>
        <v>3.9</v>
      </c>
      <c r="Q35" s="670"/>
      <c r="R35" s="429"/>
      <c r="S35" s="328"/>
      <c r="T35" s="192">
        <f>SUM(T36+T38)</f>
        <v>248860.59535404999</v>
      </c>
      <c r="U35" s="432">
        <v>260815.19212838</v>
      </c>
      <c r="V35" s="328">
        <f>IF(T35=0, "    ---- ", IF(ABS(ROUND(100/T35*U35-100,1))&lt;999,ROUND(100/T35*U35-100,1),IF(ROUND(100/T35*U35-100,1)&gt;999,999,-999)))</f>
        <v>4.8</v>
      </c>
      <c r="W35" s="192">
        <f>SUM(W36+W38)</f>
        <v>33156.035845649996</v>
      </c>
      <c r="X35" s="432">
        <f>SUM(X36+X38)</f>
        <v>34531.989664920002</v>
      </c>
      <c r="Y35" s="328">
        <f t="shared" si="48"/>
        <v>4.0999999999999996</v>
      </c>
      <c r="Z35" s="192">
        <f>SUM(Z36+Z38)</f>
        <v>23023</v>
      </c>
      <c r="AA35" s="432">
        <f>SUM(AA36+AA38)</f>
        <v>26368</v>
      </c>
      <c r="AB35" s="328">
        <f t="shared" si="49"/>
        <v>14.5</v>
      </c>
      <c r="AC35" s="192"/>
      <c r="AD35" s="432"/>
      <c r="AE35" s="328"/>
      <c r="AF35" s="192">
        <f>SUM(AF36+AF38)</f>
        <v>7862.2049999999999</v>
      </c>
      <c r="AG35" s="432">
        <f>SUM(AG36+AG38)</f>
        <v>7980.1890000000003</v>
      </c>
      <c r="AH35" s="328">
        <f t="shared" si="50"/>
        <v>1.5</v>
      </c>
      <c r="AI35" s="192">
        <f>SUM(AI36+AI38)</f>
        <v>141538</v>
      </c>
      <c r="AJ35" s="432">
        <f>SUM(AJ36+AJ38)</f>
        <v>132287</v>
      </c>
      <c r="AK35" s="328">
        <f t="shared" si="51"/>
        <v>-6.5</v>
      </c>
      <c r="AL35" s="432"/>
      <c r="AM35" s="432"/>
      <c r="AN35" s="328"/>
      <c r="AO35" s="430">
        <f t="shared" si="44"/>
        <v>560857.11943712004</v>
      </c>
      <c r="AP35" s="430">
        <f t="shared" si="45"/>
        <v>567044.19014963007</v>
      </c>
      <c r="AQ35" s="433">
        <f t="shared" si="46"/>
        <v>1.1000000000000001</v>
      </c>
    </row>
    <row r="36" spans="1:43" s="452" customFormat="1" ht="20.100000000000001" customHeight="1" x14ac:dyDescent="0.3">
      <c r="A36" s="446" t="s">
        <v>205</v>
      </c>
      <c r="B36" s="192"/>
      <c r="C36" s="432"/>
      <c r="D36" s="328"/>
      <c r="E36" s="192">
        <v>71653.603465020002</v>
      </c>
      <c r="F36" s="432">
        <v>73222.062635449998</v>
      </c>
      <c r="G36" s="328">
        <f t="shared" si="43"/>
        <v>2.2000000000000002</v>
      </c>
      <c r="H36" s="192"/>
      <c r="I36" s="432"/>
      <c r="J36" s="328"/>
      <c r="K36" s="192">
        <v>212.29499999999999</v>
      </c>
      <c r="L36" s="432">
        <v>304.63400000000001</v>
      </c>
      <c r="M36" s="429">
        <f t="shared" si="52"/>
        <v>43.5</v>
      </c>
      <c r="N36" s="192"/>
      <c r="O36" s="432"/>
      <c r="P36" s="423"/>
      <c r="Q36" s="670"/>
      <c r="R36" s="429"/>
      <c r="S36" s="328"/>
      <c r="T36" s="192">
        <v>21443.05812496</v>
      </c>
      <c r="U36" s="432">
        <v>18748.497139419997</v>
      </c>
      <c r="V36" s="328">
        <f>IF(T36=0, "    ---- ", IF(ABS(ROUND(100/T36*U36-100,1))&lt;999,ROUND(100/T36*U36-100,1),IF(ROUND(100/T36*U36-100,1)&gt;999,999,-999)))</f>
        <v>-12.6</v>
      </c>
      <c r="W36" s="192">
        <v>517.29838832999997</v>
      </c>
      <c r="X36" s="432">
        <v>3.4000000000000003E-7</v>
      </c>
      <c r="Y36" s="328">
        <f t="shared" si="48"/>
        <v>-100</v>
      </c>
      <c r="Z36" s="192"/>
      <c r="AA36" s="432"/>
      <c r="AB36" s="328"/>
      <c r="AC36" s="192"/>
      <c r="AD36" s="432"/>
      <c r="AE36" s="328"/>
      <c r="AF36" s="192">
        <v>533.654</v>
      </c>
      <c r="AG36" s="432">
        <v>312.17899999999997</v>
      </c>
      <c r="AH36" s="328">
        <f t="shared" si="50"/>
        <v>-41.5</v>
      </c>
      <c r="AI36" s="192">
        <v>10992</v>
      </c>
      <c r="AJ36" s="432">
        <v>8426</v>
      </c>
      <c r="AK36" s="328">
        <f t="shared" si="51"/>
        <v>-23.3</v>
      </c>
      <c r="AL36" s="432"/>
      <c r="AM36" s="432"/>
      <c r="AN36" s="328"/>
      <c r="AO36" s="430">
        <f t="shared" si="44"/>
        <v>105351.90897830999</v>
      </c>
      <c r="AP36" s="430">
        <f t="shared" si="45"/>
        <v>101013.37277521001</v>
      </c>
      <c r="AQ36" s="433">
        <f t="shared" si="46"/>
        <v>-4.0999999999999996</v>
      </c>
    </row>
    <row r="37" spans="1:43" s="452" customFormat="1" ht="20.100000000000001" customHeight="1" x14ac:dyDescent="0.3">
      <c r="A37" s="446" t="s">
        <v>188</v>
      </c>
      <c r="B37" s="192"/>
      <c r="C37" s="432"/>
      <c r="D37" s="432"/>
      <c r="E37" s="192">
        <v>71653.603465020002</v>
      </c>
      <c r="F37" s="432">
        <v>73222.062635449998</v>
      </c>
      <c r="G37" s="432">
        <f t="shared" si="43"/>
        <v>2.2000000000000002</v>
      </c>
      <c r="H37" s="192"/>
      <c r="I37" s="432"/>
      <c r="J37" s="432"/>
      <c r="K37" s="192"/>
      <c r="L37" s="432"/>
      <c r="M37" s="432"/>
      <c r="N37" s="192"/>
      <c r="O37" s="432"/>
      <c r="P37" s="423"/>
      <c r="Q37" s="670"/>
      <c r="R37" s="429"/>
      <c r="S37" s="328"/>
      <c r="T37" s="192">
        <v>21443.05812496</v>
      </c>
      <c r="U37" s="432">
        <v>18748.497139419997</v>
      </c>
      <c r="V37" s="328">
        <f>IF(T37=0, "    ---- ", IF(ABS(ROUND(100/T37*U37-100,1))&lt;999,ROUND(100/T37*U37-100,1),IF(ROUND(100/T37*U37-100,1)&gt;999,999,-999)))</f>
        <v>-12.6</v>
      </c>
      <c r="W37" s="192">
        <v>517.29838832999997</v>
      </c>
      <c r="X37" s="432">
        <v>3.4000000000000003E-7</v>
      </c>
      <c r="Y37" s="328">
        <f t="shared" si="48"/>
        <v>-100</v>
      </c>
      <c r="Z37" s="192"/>
      <c r="AA37" s="432"/>
      <c r="AB37" s="328"/>
      <c r="AC37" s="192"/>
      <c r="AD37" s="432"/>
      <c r="AE37" s="328"/>
      <c r="AF37" s="192">
        <v>-8.4750354290008545E-13</v>
      </c>
      <c r="AG37" s="432">
        <v>-8.4750354290008545E-13</v>
      </c>
      <c r="AH37" s="328">
        <f t="shared" si="50"/>
        <v>0</v>
      </c>
      <c r="AI37" s="192">
        <v>10992</v>
      </c>
      <c r="AJ37" s="432">
        <v>8426</v>
      </c>
      <c r="AK37" s="328">
        <f t="shared" si="51"/>
        <v>-23.3</v>
      </c>
      <c r="AL37" s="432"/>
      <c r="AM37" s="432"/>
      <c r="AN37" s="328"/>
      <c r="AO37" s="430">
        <f t="shared" si="44"/>
        <v>104605.95997831001</v>
      </c>
      <c r="AP37" s="430">
        <f t="shared" si="45"/>
        <v>100396.55977521</v>
      </c>
      <c r="AQ37" s="433">
        <f t="shared" si="46"/>
        <v>-4</v>
      </c>
    </row>
    <row r="38" spans="1:43" s="452" customFormat="1" ht="20.100000000000001" customHeight="1" x14ac:dyDescent="0.3">
      <c r="A38" s="446" t="s">
        <v>206</v>
      </c>
      <c r="B38" s="192"/>
      <c r="C38" s="432"/>
      <c r="D38" s="432"/>
      <c r="E38" s="192">
        <v>28673.70805152</v>
      </c>
      <c r="F38" s="432">
        <v>24846.816282560001</v>
      </c>
      <c r="G38" s="429">
        <f t="shared" si="43"/>
        <v>-13.3</v>
      </c>
      <c r="H38" s="192">
        <v>238.37672087999999</v>
      </c>
      <c r="I38" s="432">
        <v>827.30643831999998</v>
      </c>
      <c r="J38" s="429">
        <f t="shared" ref="J38" si="53">IF(H38=0, "    ---- ", IF(ABS(ROUND(100/H38*I38-100,1))&lt;999,ROUND(100/H38*I38-100,1),IF(ROUND(100/H38*I38-100,1)&gt;999,999,-999)))</f>
        <v>247.1</v>
      </c>
      <c r="K38" s="192"/>
      <c r="L38" s="432"/>
      <c r="M38" s="432"/>
      <c r="N38" s="192">
        <v>5639.3</v>
      </c>
      <c r="O38" s="432">
        <v>5861</v>
      </c>
      <c r="P38" s="423">
        <f t="shared" ref="P38:P57" si="54">IF(N38=0, "    ---- ", IF(ABS(ROUND(100/N38*O38-100,1))&lt;999,ROUND(100/N38*O38-100,1),IF(ROUND(100/N38*O38-100,1)&gt;999,999,-999)))</f>
        <v>3.9</v>
      </c>
      <c r="Q38" s="670"/>
      <c r="R38" s="429"/>
      <c r="S38" s="328"/>
      <c r="T38" s="192">
        <v>227417.53722909</v>
      </c>
      <c r="U38" s="432">
        <v>242066.69498895999</v>
      </c>
      <c r="V38" s="328">
        <f t="shared" ref="V38:V45" si="55">IF(T38=0, "    ---- ", IF(ABS(ROUND(100/T38*U38-100,1))&lt;999,ROUND(100/T38*U38-100,1),IF(ROUND(100/T38*U38-100,1)&gt;999,999,-999)))</f>
        <v>6.4</v>
      </c>
      <c r="W38" s="192">
        <v>32638.73745732</v>
      </c>
      <c r="X38" s="432">
        <v>34531.989664580004</v>
      </c>
      <c r="Y38" s="328">
        <f t="shared" si="48"/>
        <v>5.8</v>
      </c>
      <c r="Z38" s="192">
        <v>23023</v>
      </c>
      <c r="AA38" s="432">
        <v>26368</v>
      </c>
      <c r="AB38" s="328">
        <f t="shared" si="49"/>
        <v>14.5</v>
      </c>
      <c r="AC38" s="192"/>
      <c r="AD38" s="432"/>
      <c r="AE38" s="328"/>
      <c r="AF38" s="192">
        <v>7328.5510000000004</v>
      </c>
      <c r="AG38" s="432">
        <v>7668.01</v>
      </c>
      <c r="AH38" s="328">
        <f t="shared" si="50"/>
        <v>4.5999999999999996</v>
      </c>
      <c r="AI38" s="192">
        <f>102062+21993+6491</f>
        <v>130546</v>
      </c>
      <c r="AJ38" s="432">
        <f>99813+20597+3450+1</f>
        <v>123861</v>
      </c>
      <c r="AK38" s="328">
        <f t="shared" si="51"/>
        <v>-5.0999999999999996</v>
      </c>
      <c r="AL38" s="432"/>
      <c r="AM38" s="432"/>
      <c r="AN38" s="328"/>
      <c r="AO38" s="430">
        <f t="shared" si="44"/>
        <v>455505.21045880998</v>
      </c>
      <c r="AP38" s="430">
        <f t="shared" si="45"/>
        <v>466030.81737442</v>
      </c>
      <c r="AQ38" s="433">
        <f t="shared" si="46"/>
        <v>2.2999999999999998</v>
      </c>
    </row>
    <row r="39" spans="1:43" s="452" customFormat="1" ht="20.100000000000001" customHeight="1" x14ac:dyDescent="0.3">
      <c r="A39" s="446" t="s">
        <v>207</v>
      </c>
      <c r="B39" s="192">
        <f>SUM(B40:B44)</f>
        <v>1351.9549999999999</v>
      </c>
      <c r="C39" s="432">
        <f>SUM(C40:C44)</f>
        <v>1381.5440000000001</v>
      </c>
      <c r="D39" s="432">
        <f>IF(B39=0, "    ---- ", IF(ABS(ROUND(100/B39*C39-100,1))&lt;999,ROUND(100/B39*C39-100,1),IF(ROUND(100/B39*C39-100,1)&gt;999,999,-999)))</f>
        <v>2.2000000000000002</v>
      </c>
      <c r="E39" s="192">
        <f>SUM(E40:E44)</f>
        <v>72378.459263660014</v>
      </c>
      <c r="F39" s="432">
        <f>SUM(F40:F44)</f>
        <v>72554.469551610004</v>
      </c>
      <c r="G39" s="432">
        <f t="shared" si="43"/>
        <v>0.2</v>
      </c>
      <c r="H39" s="192">
        <f>SUM(H40:H44)</f>
        <v>6695.8995370500006</v>
      </c>
      <c r="I39" s="432">
        <f>SUM(I40:I44)</f>
        <v>6341.3619819199994</v>
      </c>
      <c r="J39" s="432">
        <f t="shared" ref="J39:J40" si="56">IF(H39=0, "    ---- ", IF(ABS(ROUND(100/H39*I39-100,1))&lt;999,ROUND(100/H39*I39-100,1),IF(ROUND(100/H39*I39-100,1)&gt;999,999,-999)))</f>
        <v>-5.3</v>
      </c>
      <c r="K39" s="192">
        <f>SUM(K40:K44)</f>
        <v>912.64800000000014</v>
      </c>
      <c r="L39" s="432">
        <f>SUM(L40:L44)</f>
        <v>993.93</v>
      </c>
      <c r="M39" s="432">
        <f t="shared" ref="M39:M46" si="57">IF(K39=0, "    ---- ", IF(ABS(ROUND(100/K39*L39-100,1))&lt;999,ROUND(100/K39*L39-100,1),IF(ROUND(100/K39*L39-100,1)&gt;999,999,-999)))</f>
        <v>8.9</v>
      </c>
      <c r="N39" s="192">
        <f>SUM(N40:N44)</f>
        <v>700.80000000000007</v>
      </c>
      <c r="O39" s="432">
        <f>SUM(O40:O44)</f>
        <v>845</v>
      </c>
      <c r="P39" s="423">
        <f t="shared" si="54"/>
        <v>20.6</v>
      </c>
      <c r="Q39" s="670"/>
      <c r="R39" s="429"/>
      <c r="S39" s="328"/>
      <c r="T39" s="192">
        <f>SUM(T40:T44)</f>
        <v>274303.36762072996</v>
      </c>
      <c r="U39" s="432">
        <v>314264.3207638</v>
      </c>
      <c r="V39" s="328">
        <f t="shared" si="55"/>
        <v>14.6</v>
      </c>
      <c r="W39" s="192">
        <f>SUM(W40:W44)</f>
        <v>14119.644954319998</v>
      </c>
      <c r="X39" s="432">
        <f>SUM(X40:X44)</f>
        <v>13879.200176169999</v>
      </c>
      <c r="Y39" s="328">
        <f t="shared" si="48"/>
        <v>-1.7</v>
      </c>
      <c r="Z39" s="192">
        <f>SUM(Z40:Z44)</f>
        <v>62508</v>
      </c>
      <c r="AA39" s="432">
        <f>SUM(AA40:AA44)</f>
        <v>65271</v>
      </c>
      <c r="AB39" s="328">
        <f t="shared" si="49"/>
        <v>4.4000000000000004</v>
      </c>
      <c r="AC39" s="192"/>
      <c r="AD39" s="432"/>
      <c r="AE39" s="328"/>
      <c r="AF39" s="192">
        <f>SUM(AF40:AF44)</f>
        <v>9924.33</v>
      </c>
      <c r="AG39" s="432">
        <f>SUM(AG40:AG44)</f>
        <v>9365.5949999999993</v>
      </c>
      <c r="AH39" s="328">
        <f t="shared" si="50"/>
        <v>-5.6</v>
      </c>
      <c r="AI39" s="192">
        <f>SUM(AI40:AI44)</f>
        <v>43333</v>
      </c>
      <c r="AJ39" s="432">
        <f>SUM(AJ40:AJ44)</f>
        <v>51600</v>
      </c>
      <c r="AK39" s="328">
        <f t="shared" si="51"/>
        <v>19.100000000000001</v>
      </c>
      <c r="AL39" s="432"/>
      <c r="AM39" s="432"/>
      <c r="AN39" s="328"/>
      <c r="AO39" s="430">
        <f t="shared" si="44"/>
        <v>486228.10437575995</v>
      </c>
      <c r="AP39" s="430">
        <f t="shared" si="45"/>
        <v>536496.42147349997</v>
      </c>
      <c r="AQ39" s="433">
        <f t="shared" si="46"/>
        <v>10.3</v>
      </c>
    </row>
    <row r="40" spans="1:43" s="452" customFormat="1" ht="20.100000000000001" customHeight="1" x14ac:dyDescent="0.3">
      <c r="A40" s="446" t="s">
        <v>208</v>
      </c>
      <c r="B40" s="192">
        <v>42.036999999999999</v>
      </c>
      <c r="C40" s="432">
        <v>42.517000000000003</v>
      </c>
      <c r="D40" s="328">
        <f>IF(B40=0, "    ---- ", IF(ABS(ROUND(100/B40*C40-100,1))&lt;999,ROUND(100/B40*C40-100,1),IF(ROUND(100/B40*C40-100,1)&gt;999,999,-999)))</f>
        <v>1.1000000000000001</v>
      </c>
      <c r="E40" s="192">
        <v>15700.473587350001</v>
      </c>
      <c r="F40" s="432">
        <v>16507.108676989999</v>
      </c>
      <c r="G40" s="328">
        <f t="shared" si="43"/>
        <v>5.0999999999999996</v>
      </c>
      <c r="H40" s="192"/>
      <c r="I40" s="432">
        <v>242.04850193999999</v>
      </c>
      <c r="J40" s="328" t="str">
        <f t="shared" si="56"/>
        <v xml:space="preserve">    ---- </v>
      </c>
      <c r="K40" s="192">
        <v>138.666</v>
      </c>
      <c r="L40" s="432">
        <v>146.56200000000001</v>
      </c>
      <c r="M40" s="328">
        <f t="shared" si="57"/>
        <v>5.7</v>
      </c>
      <c r="N40" s="192">
        <v>5.2</v>
      </c>
      <c r="O40" s="432">
        <v>11</v>
      </c>
      <c r="P40" s="423">
        <f t="shared" si="54"/>
        <v>111.5</v>
      </c>
      <c r="Q40" s="670"/>
      <c r="R40" s="429"/>
      <c r="S40" s="328"/>
      <c r="T40" s="192">
        <v>142569.46039527</v>
      </c>
      <c r="U40" s="432">
        <v>181436.63278196999</v>
      </c>
      <c r="V40" s="328">
        <f t="shared" si="55"/>
        <v>27.3</v>
      </c>
      <c r="W40" s="192">
        <v>5993.72827581</v>
      </c>
      <c r="X40" s="432">
        <v>6850.2235564599996</v>
      </c>
      <c r="Y40" s="328">
        <f t="shared" si="48"/>
        <v>14.3</v>
      </c>
      <c r="Z40" s="192">
        <v>39243</v>
      </c>
      <c r="AA40" s="432">
        <v>36562</v>
      </c>
      <c r="AB40" s="328">
        <f t="shared" si="49"/>
        <v>-6.8</v>
      </c>
      <c r="AC40" s="192"/>
      <c r="AD40" s="432"/>
      <c r="AE40" s="328"/>
      <c r="AF40" s="192">
        <v>3472.808</v>
      </c>
      <c r="AG40" s="432">
        <v>3522.9630000000002</v>
      </c>
      <c r="AH40" s="328">
        <f t="shared" si="50"/>
        <v>1.4</v>
      </c>
      <c r="AI40" s="192">
        <v>15228</v>
      </c>
      <c r="AJ40" s="432">
        <v>20883</v>
      </c>
      <c r="AK40" s="328">
        <f t="shared" si="51"/>
        <v>37.1</v>
      </c>
      <c r="AL40" s="432"/>
      <c r="AM40" s="432"/>
      <c r="AN40" s="328"/>
      <c r="AO40" s="430">
        <f t="shared" si="44"/>
        <v>222393.37325842999</v>
      </c>
      <c r="AP40" s="430">
        <f t="shared" si="45"/>
        <v>266204.05551735999</v>
      </c>
      <c r="AQ40" s="433">
        <f t="shared" si="46"/>
        <v>19.7</v>
      </c>
    </row>
    <row r="41" spans="1:43" s="452" customFormat="1" ht="20.100000000000001" customHeight="1" x14ac:dyDescent="0.3">
      <c r="A41" s="446" t="s">
        <v>209</v>
      </c>
      <c r="B41" s="192">
        <v>1243.961</v>
      </c>
      <c r="C41" s="432">
        <v>1305.183</v>
      </c>
      <c r="D41" s="432">
        <f>IF(B41=0, "    ---- ", IF(ABS(ROUND(100/B41*C41-100,1))&lt;999,ROUND(100/B41*C41-100,1),IF(ROUND(100/B41*C41-100,1)&gt;999,999,-999)))</f>
        <v>4.9000000000000004</v>
      </c>
      <c r="E41" s="192">
        <v>54595.502634949997</v>
      </c>
      <c r="F41" s="432">
        <v>53134.465648199999</v>
      </c>
      <c r="G41" s="432">
        <f t="shared" si="43"/>
        <v>-2.7</v>
      </c>
      <c r="H41" s="192">
        <v>6831.0047591800003</v>
      </c>
      <c r="I41" s="432">
        <v>6061.9657590799989</v>
      </c>
      <c r="J41" s="432">
        <f>IF(H41=0, "    ---- ", IF(ABS(ROUND(100/H41*I41-100,1))&lt;999,ROUND(100/H41*I41-100,1),IF(ROUND(100/H41*I41-100,1)&gt;999,999,-999)))</f>
        <v>-11.3</v>
      </c>
      <c r="K41" s="192">
        <v>600.44500000000005</v>
      </c>
      <c r="L41" s="432">
        <v>613.31399999999996</v>
      </c>
      <c r="M41" s="432">
        <f>IF(K41=0, "    ---- ", IF(ABS(ROUND(100/K41*L41-100,1))&lt;999,ROUND(100/K41*L41-100,1),IF(ROUND(100/K41*L41-100,1)&gt;999,999,-999)))</f>
        <v>2.1</v>
      </c>
      <c r="N41" s="192">
        <v>666.7</v>
      </c>
      <c r="O41" s="432">
        <v>824</v>
      </c>
      <c r="P41" s="423">
        <f t="shared" si="54"/>
        <v>23.6</v>
      </c>
      <c r="Q41" s="670"/>
      <c r="R41" s="429"/>
      <c r="S41" s="328"/>
      <c r="T41" s="192">
        <v>115368.06119943</v>
      </c>
      <c r="U41" s="432">
        <v>102180.76640439</v>
      </c>
      <c r="V41" s="328">
        <f t="shared" si="55"/>
        <v>-11.4</v>
      </c>
      <c r="W41" s="192">
        <v>7921.7319807299991</v>
      </c>
      <c r="X41" s="432">
        <v>6698.3540056400007</v>
      </c>
      <c r="Y41" s="328">
        <f t="shared" si="48"/>
        <v>-15.4</v>
      </c>
      <c r="Z41" s="192">
        <v>19033</v>
      </c>
      <c r="AA41" s="432">
        <v>25732</v>
      </c>
      <c r="AB41" s="328">
        <f t="shared" si="49"/>
        <v>35.200000000000003</v>
      </c>
      <c r="AC41" s="192"/>
      <c r="AD41" s="432"/>
      <c r="AE41" s="328"/>
      <c r="AF41" s="192">
        <v>6054.9359999999997</v>
      </c>
      <c r="AG41" s="432">
        <v>5861.74</v>
      </c>
      <c r="AH41" s="328">
        <f t="shared" si="50"/>
        <v>-3.2</v>
      </c>
      <c r="AI41" s="192">
        <v>26006</v>
      </c>
      <c r="AJ41" s="432">
        <v>28997</v>
      </c>
      <c r="AK41" s="328">
        <f t="shared" si="51"/>
        <v>11.5</v>
      </c>
      <c r="AL41" s="432"/>
      <c r="AM41" s="432"/>
      <c r="AN41" s="328"/>
      <c r="AO41" s="430">
        <f t="shared" si="44"/>
        <v>238321.34257428997</v>
      </c>
      <c r="AP41" s="430">
        <f t="shared" si="45"/>
        <v>231408.78881730998</v>
      </c>
      <c r="AQ41" s="433">
        <f t="shared" si="46"/>
        <v>-2.9</v>
      </c>
    </row>
    <row r="42" spans="1:43" s="452" customFormat="1" ht="20.100000000000001" customHeight="1" x14ac:dyDescent="0.3">
      <c r="A42" s="446" t="s">
        <v>210</v>
      </c>
      <c r="B42" s="192"/>
      <c r="C42" s="432"/>
      <c r="D42" s="432"/>
      <c r="E42" s="192">
        <v>1260.49877945</v>
      </c>
      <c r="F42" s="432">
        <v>1289.11133223</v>
      </c>
      <c r="G42" s="432">
        <f t="shared" si="43"/>
        <v>2.2999999999999998</v>
      </c>
      <c r="H42" s="192">
        <v>-244.37152026000001</v>
      </c>
      <c r="I42" s="432">
        <v>-33.197758919999998</v>
      </c>
      <c r="J42" s="429">
        <f t="shared" ref="J42:J43" si="58">IF(H42=0, "    ---- ", IF(ABS(ROUND(100/H42*I42-100,1))&lt;999,ROUND(100/H42*I42-100,1),IF(ROUND(100/H42*I42-100,1)&gt;999,999,-999)))</f>
        <v>-86.4</v>
      </c>
      <c r="K42" s="192"/>
      <c r="L42" s="432"/>
      <c r="M42" s="432"/>
      <c r="N42" s="192"/>
      <c r="O42" s="432"/>
      <c r="P42" s="423"/>
      <c r="Q42" s="670"/>
      <c r="R42" s="429"/>
      <c r="S42" s="328"/>
      <c r="T42" s="192">
        <v>12067.35218267</v>
      </c>
      <c r="U42" s="432">
        <v>17622.54962098</v>
      </c>
      <c r="V42" s="328">
        <f t="shared" si="55"/>
        <v>46</v>
      </c>
      <c r="W42" s="192">
        <v>0</v>
      </c>
      <c r="X42" s="432">
        <v>0</v>
      </c>
      <c r="Y42" s="429" t="str">
        <f t="shared" si="48"/>
        <v xml:space="preserve">    ---- </v>
      </c>
      <c r="Z42" s="192"/>
      <c r="AA42" s="432"/>
      <c r="AB42" s="328"/>
      <c r="AC42" s="192"/>
      <c r="AD42" s="432"/>
      <c r="AE42" s="328"/>
      <c r="AF42" s="192">
        <v>0</v>
      </c>
      <c r="AG42" s="432">
        <v>-228.476</v>
      </c>
      <c r="AH42" s="328" t="str">
        <f t="shared" si="50"/>
        <v xml:space="preserve">    ---- </v>
      </c>
      <c r="AI42" s="192"/>
      <c r="AJ42" s="432">
        <v>-55</v>
      </c>
      <c r="AK42" s="328" t="str">
        <f t="shared" si="51"/>
        <v xml:space="preserve">    ---- </v>
      </c>
      <c r="AL42" s="432"/>
      <c r="AM42" s="432"/>
      <c r="AN42" s="328"/>
      <c r="AO42" s="430">
        <f t="shared" si="44"/>
        <v>13083.479441859999</v>
      </c>
      <c r="AP42" s="430">
        <f t="shared" si="45"/>
        <v>18594.987194290003</v>
      </c>
      <c r="AQ42" s="433">
        <f t="shared" si="46"/>
        <v>42.1</v>
      </c>
    </row>
    <row r="43" spans="1:43" s="452" customFormat="1" ht="20.100000000000001" customHeight="1" x14ac:dyDescent="0.3">
      <c r="A43" s="446" t="s">
        <v>211</v>
      </c>
      <c r="B43" s="192"/>
      <c r="C43" s="432"/>
      <c r="D43" s="432"/>
      <c r="E43" s="192">
        <v>384.62476426000001</v>
      </c>
      <c r="F43" s="432">
        <v>836.16507723000007</v>
      </c>
      <c r="G43" s="432">
        <f t="shared" si="43"/>
        <v>117.4</v>
      </c>
      <c r="H43" s="192">
        <v>14.887119849999999</v>
      </c>
      <c r="I43" s="432">
        <v>18.459964940000003</v>
      </c>
      <c r="J43" s="429">
        <f t="shared" si="58"/>
        <v>24</v>
      </c>
      <c r="K43" s="192"/>
      <c r="L43" s="432"/>
      <c r="M43" s="432"/>
      <c r="N43" s="192"/>
      <c r="O43" s="432"/>
      <c r="P43" s="423"/>
      <c r="Q43" s="670"/>
      <c r="R43" s="429"/>
      <c r="S43" s="328"/>
      <c r="T43" s="192">
        <v>3066.7391915799999</v>
      </c>
      <c r="U43" s="432">
        <v>4107.5691008800004</v>
      </c>
      <c r="V43" s="328">
        <f t="shared" si="55"/>
        <v>33.9</v>
      </c>
      <c r="W43" s="192">
        <v>78.43541848000001</v>
      </c>
      <c r="X43" s="432">
        <v>148.84649231999998</v>
      </c>
      <c r="Y43" s="328">
        <f t="shared" si="48"/>
        <v>89.8</v>
      </c>
      <c r="Z43" s="192">
        <v>2733</v>
      </c>
      <c r="AA43" s="432">
        <v>1152</v>
      </c>
      <c r="AB43" s="328">
        <f>IF(Z43=0, "    ---- ", IF(ABS(ROUND(100/Z43*AA43-100,1))&lt;999,ROUND(100/Z43*AA43-100,1),IF(ROUND(100/Z43*AA43-100,1)&gt;999,999,-999)))</f>
        <v>-57.8</v>
      </c>
      <c r="AC43" s="192"/>
      <c r="AD43" s="432"/>
      <c r="AE43" s="328"/>
      <c r="AF43" s="192">
        <v>77.218000000000004</v>
      </c>
      <c r="AG43" s="432">
        <v>123.45</v>
      </c>
      <c r="AH43" s="328">
        <f t="shared" si="50"/>
        <v>59.9</v>
      </c>
      <c r="AI43" s="192">
        <v>2099</v>
      </c>
      <c r="AJ43" s="432">
        <v>1775</v>
      </c>
      <c r="AK43" s="328">
        <f t="shared" si="51"/>
        <v>-15.4</v>
      </c>
      <c r="AL43" s="432"/>
      <c r="AM43" s="432"/>
      <c r="AN43" s="328"/>
      <c r="AO43" s="430">
        <f t="shared" si="44"/>
        <v>8453.9044941700013</v>
      </c>
      <c r="AP43" s="430">
        <f t="shared" si="45"/>
        <v>8161.4906353699998</v>
      </c>
      <c r="AQ43" s="433">
        <f t="shared" si="46"/>
        <v>-3.5</v>
      </c>
    </row>
    <row r="44" spans="1:43" s="452" customFormat="1" ht="20.100000000000001" customHeight="1" x14ac:dyDescent="0.3">
      <c r="A44" s="446" t="s">
        <v>212</v>
      </c>
      <c r="B44" s="192">
        <v>65.956999999999994</v>
      </c>
      <c r="C44" s="432">
        <v>33.844000000000001</v>
      </c>
      <c r="D44" s="432">
        <f>IF(B44=0, "    ---- ", IF(ABS(ROUND(100/B44*C44-100,1))&lt;999,ROUND(100/B44*C44-100,1),IF(ROUND(100/B44*C44-100,1)&gt;999,999,-999)))</f>
        <v>-48.7</v>
      </c>
      <c r="E44" s="192">
        <v>437.35949765000009</v>
      </c>
      <c r="F44" s="432">
        <v>787.61881696000046</v>
      </c>
      <c r="G44" s="432">
        <f t="shared" si="43"/>
        <v>80.099999999999994</v>
      </c>
      <c r="H44" s="192">
        <v>94.379178280000005</v>
      </c>
      <c r="I44" s="432">
        <v>52.085514879999998</v>
      </c>
      <c r="J44" s="432">
        <f t="shared" ref="J44:J46" si="59">IF(H44=0, "    ---- ", IF(ABS(ROUND(100/H44*I44-100,1))&lt;999,ROUND(100/H44*I44-100,1),IF(ROUND(100/H44*I44-100,1)&gt;999,999,-999)))</f>
        <v>-44.8</v>
      </c>
      <c r="K44" s="192">
        <v>173.53700000000001</v>
      </c>
      <c r="L44" s="432">
        <v>234.054</v>
      </c>
      <c r="M44" s="432">
        <f t="shared" si="57"/>
        <v>34.9</v>
      </c>
      <c r="N44" s="192">
        <v>28.9</v>
      </c>
      <c r="O44" s="432">
        <v>10</v>
      </c>
      <c r="P44" s="423">
        <f t="shared" si="54"/>
        <v>-65.400000000000006</v>
      </c>
      <c r="Q44" s="670"/>
      <c r="R44" s="429"/>
      <c r="S44" s="328"/>
      <c r="T44" s="192">
        <v>1231.7546517799999</v>
      </c>
      <c r="U44" s="432">
        <v>8916.8028555799992</v>
      </c>
      <c r="V44" s="328">
        <f t="shared" si="55"/>
        <v>623.9</v>
      </c>
      <c r="W44" s="192">
        <v>125.7492793</v>
      </c>
      <c r="X44" s="432">
        <v>181.77612174999999</v>
      </c>
      <c r="Y44" s="328">
        <f t="shared" si="48"/>
        <v>44.6</v>
      </c>
      <c r="Z44" s="192">
        <v>1499</v>
      </c>
      <c r="AA44" s="432">
        <v>1825</v>
      </c>
      <c r="AB44" s="328">
        <f>IF(Z44=0, "    ---- ", IF(ABS(ROUND(100/Z44*AA44-100,1))&lt;999,ROUND(100/Z44*AA44-100,1),IF(ROUND(100/Z44*AA44-100,1)&gt;999,999,-999)))</f>
        <v>21.7</v>
      </c>
      <c r="AC44" s="192"/>
      <c r="AD44" s="432"/>
      <c r="AE44" s="328"/>
      <c r="AF44" s="192">
        <v>319.36799999999999</v>
      </c>
      <c r="AG44" s="432">
        <v>85.918000000000006</v>
      </c>
      <c r="AH44" s="328">
        <f t="shared" si="50"/>
        <v>-73.099999999999994</v>
      </c>
      <c r="AI44" s="192"/>
      <c r="AJ44" s="432"/>
      <c r="AK44" s="328"/>
      <c r="AL44" s="432"/>
      <c r="AM44" s="432"/>
      <c r="AN44" s="328"/>
      <c r="AO44" s="430">
        <f t="shared" si="44"/>
        <v>3976.0046070100002</v>
      </c>
      <c r="AP44" s="430">
        <f t="shared" si="45"/>
        <v>12127.099309169998</v>
      </c>
      <c r="AQ44" s="433">
        <f t="shared" si="46"/>
        <v>205</v>
      </c>
    </row>
    <row r="45" spans="1:43" s="452" customFormat="1" ht="20.100000000000001" customHeight="1" x14ac:dyDescent="0.3">
      <c r="A45" s="447" t="s">
        <v>213</v>
      </c>
      <c r="B45" s="192">
        <f>SUM(B33+B34+B35+B39)</f>
        <v>1351.9549999999999</v>
      </c>
      <c r="C45" s="432">
        <f>SUM(C33+C34+C35+C39)</f>
        <v>1381.5440000000001</v>
      </c>
      <c r="D45" s="328">
        <f>IF(B45=0, "    ---- ", IF(ABS(ROUND(100/B45*C45-100,1))&lt;999,ROUND(100/B45*C45-100,1),IF(ROUND(100/B45*C45-100,1)&gt;999,999,-999)))</f>
        <v>2.2000000000000002</v>
      </c>
      <c r="E45" s="192">
        <f>SUM(E33+E34+E35+E39)</f>
        <v>201453.57318791002</v>
      </c>
      <c r="F45" s="432">
        <f>SUM(F33+F34+F35+F39)</f>
        <v>200130.86287732999</v>
      </c>
      <c r="G45" s="328">
        <f t="shared" si="43"/>
        <v>-0.7</v>
      </c>
      <c r="H45" s="192">
        <f>SUM(H33+H34+H35+H39)</f>
        <v>6934.2762579300006</v>
      </c>
      <c r="I45" s="432">
        <f>SUM(I33+I34+I35+I39)</f>
        <v>7614.2473531499991</v>
      </c>
      <c r="J45" s="328">
        <f t="shared" si="59"/>
        <v>9.8000000000000007</v>
      </c>
      <c r="K45" s="192">
        <f>SUM(K33+K34+K35+K39)</f>
        <v>1124.9430000000002</v>
      </c>
      <c r="L45" s="432">
        <f>SUM(L33+L34+L35+L39)</f>
        <v>1298.5639999999999</v>
      </c>
      <c r="M45" s="328">
        <f t="shared" si="57"/>
        <v>15.4</v>
      </c>
      <c r="N45" s="192">
        <f>SUM(N33+N34+N35+N39)</f>
        <v>7394.0000000000009</v>
      </c>
      <c r="O45" s="432">
        <f>SUM(O33+O34+O35+O39)</f>
        <v>7933</v>
      </c>
      <c r="P45" s="423">
        <f t="shared" si="54"/>
        <v>7.3</v>
      </c>
      <c r="Q45" s="670"/>
      <c r="R45" s="429"/>
      <c r="S45" s="328"/>
      <c r="T45" s="192">
        <f>SUM(T33+T34+T35+T39)</f>
        <v>603075.95079391997</v>
      </c>
      <c r="U45" s="432">
        <v>662499.68359023007</v>
      </c>
      <c r="V45" s="328">
        <f t="shared" si="55"/>
        <v>9.9</v>
      </c>
      <c r="W45" s="192">
        <f>SUM(W33+W34+W35+W39)</f>
        <v>54779.67583937</v>
      </c>
      <c r="X45" s="432">
        <f>SUM(X33+X34+X35+X39)</f>
        <v>56509.808817789999</v>
      </c>
      <c r="Y45" s="328">
        <f t="shared" si="48"/>
        <v>3.2</v>
      </c>
      <c r="Z45" s="192">
        <f>SUM(Z33+Z34+Z35+Z39)</f>
        <v>104484</v>
      </c>
      <c r="AA45" s="432">
        <f>SUM(AA33+AA34+AA35+AA39)</f>
        <v>113001</v>
      </c>
      <c r="AB45" s="328">
        <f>IF(Z45=0, "    ---- ", IF(ABS(ROUND(100/Z45*AA45-100,1))&lt;999,ROUND(100/Z45*AA45-100,1),IF(ROUND(100/Z45*AA45-100,1)&gt;999,999,-999)))</f>
        <v>8.1999999999999993</v>
      </c>
      <c r="AC45" s="192"/>
      <c r="AD45" s="432"/>
      <c r="AE45" s="328"/>
      <c r="AF45" s="192">
        <f>SUM(AF33+AF34+AF35+AF39)</f>
        <v>22763.021000000001</v>
      </c>
      <c r="AG45" s="432">
        <f>SUM(AG33+AG34+AG35+AG39)</f>
        <v>23593.209000000003</v>
      </c>
      <c r="AH45" s="328">
        <f t="shared" si="50"/>
        <v>3.6</v>
      </c>
      <c r="AI45" s="192">
        <f>SUM(AI33+AI34+AI35+AI39)</f>
        <v>205658</v>
      </c>
      <c r="AJ45" s="432">
        <f>SUM(AJ33+AJ34+AJ35+AJ39)</f>
        <v>207438</v>
      </c>
      <c r="AK45" s="328">
        <f t="shared" si="51"/>
        <v>0.9</v>
      </c>
      <c r="AL45" s="432"/>
      <c r="AM45" s="432"/>
      <c r="AN45" s="328"/>
      <c r="AO45" s="430">
        <f t="shared" si="44"/>
        <v>1209019.3950791298</v>
      </c>
      <c r="AP45" s="430">
        <f t="shared" si="45"/>
        <v>1281399.9196385001</v>
      </c>
      <c r="AQ45" s="433">
        <f t="shared" si="46"/>
        <v>6</v>
      </c>
    </row>
    <row r="46" spans="1:43" s="452" customFormat="1" ht="20.100000000000001" customHeight="1" x14ac:dyDescent="0.3">
      <c r="A46" s="444" t="s">
        <v>332</v>
      </c>
      <c r="B46" s="192">
        <v>186.33699999999999</v>
      </c>
      <c r="C46" s="432">
        <v>227.91</v>
      </c>
      <c r="D46" s="328">
        <f>IF(B46=0, "    ---- ", IF(ABS(ROUND(100/B46*C46-100,1))&lt;999,ROUND(100/B46*C46-100,1),IF(ROUND(100/B46*C46-100,1)&gt;999,999,-999)))</f>
        <v>22.3</v>
      </c>
      <c r="E46" s="192">
        <v>264.57889319999998</v>
      </c>
      <c r="F46" s="432">
        <v>399.59901329000002</v>
      </c>
      <c r="G46" s="429">
        <f t="shared" si="43"/>
        <v>51</v>
      </c>
      <c r="H46" s="192">
        <v>524.33777470999996</v>
      </c>
      <c r="I46" s="432">
        <v>509.1145295</v>
      </c>
      <c r="J46" s="328">
        <f t="shared" si="59"/>
        <v>-2.9</v>
      </c>
      <c r="K46" s="192">
        <v>50.344000000000001</v>
      </c>
      <c r="L46" s="432">
        <v>67.055999999999997</v>
      </c>
      <c r="M46" s="328">
        <f t="shared" si="57"/>
        <v>33.200000000000003</v>
      </c>
      <c r="N46" s="192">
        <v>538.79999999999995</v>
      </c>
      <c r="O46" s="432">
        <v>586</v>
      </c>
      <c r="P46" s="423">
        <f t="shared" si="54"/>
        <v>8.8000000000000007</v>
      </c>
      <c r="Q46" s="670"/>
      <c r="R46" s="429"/>
      <c r="S46" s="328"/>
      <c r="T46" s="192"/>
      <c r="U46" s="432"/>
      <c r="V46" s="328"/>
      <c r="W46" s="192">
        <v>58.93</v>
      </c>
      <c r="X46" s="432">
        <v>65.45</v>
      </c>
      <c r="Y46" s="328">
        <f t="shared" si="48"/>
        <v>11.1</v>
      </c>
      <c r="Z46" s="192"/>
      <c r="AA46" s="432"/>
      <c r="AB46" s="328"/>
      <c r="AC46" s="192"/>
      <c r="AD46" s="432"/>
      <c r="AE46" s="328"/>
      <c r="AF46" s="192"/>
      <c r="AG46" s="432">
        <v>6.9720000000000004</v>
      </c>
      <c r="AH46" s="328" t="str">
        <f t="shared" si="50"/>
        <v xml:space="preserve">    ---- </v>
      </c>
      <c r="AI46" s="192">
        <v>3</v>
      </c>
      <c r="AJ46" s="432">
        <v>4</v>
      </c>
      <c r="AK46" s="328">
        <f t="shared" si="51"/>
        <v>33.299999999999997</v>
      </c>
      <c r="AL46" s="432"/>
      <c r="AM46" s="432"/>
      <c r="AN46" s="328"/>
      <c r="AO46" s="430">
        <f t="shared" si="44"/>
        <v>1626.3276679099999</v>
      </c>
      <c r="AP46" s="430">
        <f t="shared" si="45"/>
        <v>1866.1015427900002</v>
      </c>
      <c r="AQ46" s="433">
        <f t="shared" si="46"/>
        <v>14.7</v>
      </c>
    </row>
    <row r="47" spans="1:43" s="452" customFormat="1" ht="20.100000000000001" customHeight="1" x14ac:dyDescent="0.3">
      <c r="A47" s="444" t="s">
        <v>214</v>
      </c>
      <c r="B47" s="192"/>
      <c r="C47" s="432"/>
      <c r="D47" s="432"/>
      <c r="E47" s="192"/>
      <c r="F47" s="432"/>
      <c r="G47" s="432"/>
      <c r="H47" s="192"/>
      <c r="I47" s="432"/>
      <c r="J47" s="432"/>
      <c r="K47" s="192"/>
      <c r="L47" s="432"/>
      <c r="M47" s="432"/>
      <c r="N47" s="192"/>
      <c r="O47" s="432"/>
      <c r="P47" s="423"/>
      <c r="Q47" s="670"/>
      <c r="R47" s="429"/>
      <c r="S47" s="328"/>
      <c r="T47" s="192"/>
      <c r="U47" s="432"/>
      <c r="V47" s="328"/>
      <c r="W47" s="192"/>
      <c r="X47" s="432"/>
      <c r="Y47" s="328"/>
      <c r="Z47" s="192"/>
      <c r="AA47" s="432"/>
      <c r="AB47" s="328"/>
      <c r="AC47" s="192"/>
      <c r="AD47" s="432"/>
      <c r="AE47" s="328"/>
      <c r="AF47" s="192"/>
      <c r="AG47" s="432"/>
      <c r="AH47" s="328"/>
      <c r="AI47" s="192"/>
      <c r="AJ47" s="432"/>
      <c r="AK47" s="328"/>
      <c r="AL47" s="432"/>
      <c r="AM47" s="432"/>
      <c r="AN47" s="328"/>
      <c r="AO47" s="424"/>
      <c r="AP47" s="424"/>
      <c r="AQ47" s="433"/>
    </row>
    <row r="48" spans="1:43" s="452" customFormat="1" ht="20.100000000000001" customHeight="1" x14ac:dyDescent="0.3">
      <c r="A48" s="446" t="s">
        <v>215</v>
      </c>
      <c r="B48" s="192"/>
      <c r="C48" s="432"/>
      <c r="D48" s="432"/>
      <c r="E48" s="192"/>
      <c r="F48" s="432"/>
      <c r="G48" s="432"/>
      <c r="H48" s="192"/>
      <c r="I48" s="432"/>
      <c r="J48" s="432"/>
      <c r="K48" s="192"/>
      <c r="L48" s="432"/>
      <c r="M48" s="432"/>
      <c r="N48" s="192"/>
      <c r="O48" s="432"/>
      <c r="P48" s="423"/>
      <c r="Q48" s="670"/>
      <c r="R48" s="429"/>
      <c r="S48" s="328"/>
      <c r="T48" s="192"/>
      <c r="U48" s="432"/>
      <c r="V48" s="328"/>
      <c r="W48" s="192"/>
      <c r="X48" s="432">
        <v>0</v>
      </c>
      <c r="Y48" s="429" t="str">
        <f t="shared" ref="Y48:Y51" si="60">IF(W48=0, "    ---- ", IF(ABS(ROUND(100/W48*X48-100,1))&lt;999,ROUND(100/W48*X48-100,1),IF(ROUND(100/W48*X48-100,1)&gt;999,999,-999)))</f>
        <v xml:space="preserve">    ---- </v>
      </c>
      <c r="Z48" s="192"/>
      <c r="AA48" s="432"/>
      <c r="AB48" s="328"/>
      <c r="AC48" s="192"/>
      <c r="AD48" s="432"/>
      <c r="AE48" s="328"/>
      <c r="AF48" s="192"/>
      <c r="AG48" s="432"/>
      <c r="AH48" s="328"/>
      <c r="AI48" s="192"/>
      <c r="AJ48" s="432"/>
      <c r="AK48" s="328"/>
      <c r="AL48" s="432"/>
      <c r="AM48" s="432"/>
      <c r="AN48" s="328"/>
      <c r="AO48" s="430">
        <f t="shared" ref="AO48:AO62" si="61">B48+E48+H48+K48+N48+Q48+T48+AL48+W48+Z48+AC48+AF48+AI48</f>
        <v>0</v>
      </c>
      <c r="AP48" s="430">
        <f t="shared" ref="AP48:AP62" si="62">C48+F48+I48+L48+O48+R48+U48+AM48+X48+AA48+AD48+AG48+AJ48</f>
        <v>0</v>
      </c>
      <c r="AQ48" s="433" t="str">
        <f t="shared" si="46"/>
        <v xml:space="preserve">    ---- </v>
      </c>
    </row>
    <row r="49" spans="1:43" s="452" customFormat="1" ht="20.100000000000001" customHeight="1" x14ac:dyDescent="0.3">
      <c r="A49" s="446" t="s">
        <v>216</v>
      </c>
      <c r="B49" s="192"/>
      <c r="C49" s="432"/>
      <c r="D49" s="432"/>
      <c r="E49" s="192"/>
      <c r="F49" s="432">
        <v>4581.3613972029998</v>
      </c>
      <c r="G49" s="429" t="str">
        <f t="shared" ref="G49" si="63">IF(E49=0, "    ---- ", IF(ABS(ROUND(100/E49*F49-100,1))&lt;999,ROUND(100/E49*F49-100,1),IF(ROUND(100/E49*F49-100,1)&gt;999,999,-999)))</f>
        <v xml:space="preserve">    ---- </v>
      </c>
      <c r="H49" s="192"/>
      <c r="I49" s="432"/>
      <c r="J49" s="432"/>
      <c r="K49" s="192"/>
      <c r="L49" s="432"/>
      <c r="M49" s="432"/>
      <c r="N49" s="192">
        <v>1689.5</v>
      </c>
      <c r="O49" s="432">
        <v>1855</v>
      </c>
      <c r="P49" s="423">
        <f t="shared" si="54"/>
        <v>9.8000000000000007</v>
      </c>
      <c r="Q49" s="670"/>
      <c r="R49" s="429"/>
      <c r="S49" s="328"/>
      <c r="T49" s="192">
        <v>291.47526587999999</v>
      </c>
      <c r="U49" s="432">
        <v>342.75623284</v>
      </c>
      <c r="V49" s="328">
        <f t="shared" ref="V49:V60" si="64">IF(T49=0, "    ---- ", IF(ABS(ROUND(100/T49*U49-100,1))&lt;999,ROUND(100/T49*U49-100,1),IF(ROUND(100/T49*U49-100,1)&gt;999,999,-999)))</f>
        <v>17.600000000000001</v>
      </c>
      <c r="W49" s="192"/>
      <c r="X49" s="432">
        <v>3213.97</v>
      </c>
      <c r="Y49" s="429" t="str">
        <f t="shared" si="60"/>
        <v xml:space="preserve">    ---- </v>
      </c>
      <c r="Z49" s="192"/>
      <c r="AA49" s="432"/>
      <c r="AB49" s="328"/>
      <c r="AC49" s="192"/>
      <c r="AD49" s="432"/>
      <c r="AE49" s="328"/>
      <c r="AF49" s="192"/>
      <c r="AG49" s="432">
        <v>994.15700000000004</v>
      </c>
      <c r="AH49" s="328" t="str">
        <f t="shared" si="50"/>
        <v xml:space="preserve">    ---- </v>
      </c>
      <c r="AI49" s="192">
        <v>5924</v>
      </c>
      <c r="AJ49" s="432">
        <v>6379</v>
      </c>
      <c r="AK49" s="328">
        <f t="shared" si="51"/>
        <v>7.7</v>
      </c>
      <c r="AL49" s="432"/>
      <c r="AM49" s="432"/>
      <c r="AN49" s="328"/>
      <c r="AO49" s="430">
        <f t="shared" si="61"/>
        <v>7904.9752658799998</v>
      </c>
      <c r="AP49" s="430">
        <f t="shared" si="62"/>
        <v>17366.244630042998</v>
      </c>
      <c r="AQ49" s="433">
        <f t="shared" si="46"/>
        <v>119.7</v>
      </c>
    </row>
    <row r="50" spans="1:43" s="452" customFormat="1" ht="20.100000000000001" customHeight="1" x14ac:dyDescent="0.3">
      <c r="A50" s="446" t="s">
        <v>217</v>
      </c>
      <c r="B50" s="192"/>
      <c r="C50" s="432"/>
      <c r="D50" s="432"/>
      <c r="E50" s="192"/>
      <c r="F50" s="432"/>
      <c r="G50" s="432"/>
      <c r="H50" s="192"/>
      <c r="I50" s="432"/>
      <c r="J50" s="432"/>
      <c r="K50" s="192"/>
      <c r="L50" s="432"/>
      <c r="M50" s="432"/>
      <c r="N50" s="192"/>
      <c r="O50" s="432"/>
      <c r="P50" s="423"/>
      <c r="Q50" s="670"/>
      <c r="R50" s="429"/>
      <c r="S50" s="328"/>
      <c r="T50" s="192">
        <f>SUM(T51+T53)</f>
        <v>735.53232027000001</v>
      </c>
      <c r="U50" s="432">
        <v>925.47119404</v>
      </c>
      <c r="V50" s="328">
        <f t="shared" si="64"/>
        <v>25.8</v>
      </c>
      <c r="W50" s="192"/>
      <c r="X50" s="432">
        <f>SUM(X51+X53)</f>
        <v>0</v>
      </c>
      <c r="Y50" s="429" t="str">
        <f t="shared" si="60"/>
        <v xml:space="preserve">    ---- </v>
      </c>
      <c r="Z50" s="192"/>
      <c r="AA50" s="432"/>
      <c r="AB50" s="328"/>
      <c r="AC50" s="192"/>
      <c r="AD50" s="432"/>
      <c r="AE50" s="328"/>
      <c r="AF50" s="192"/>
      <c r="AG50" s="432"/>
      <c r="AH50" s="328"/>
      <c r="AI50" s="192">
        <f>SUM(AI51+AI53)</f>
        <v>1548</v>
      </c>
      <c r="AJ50" s="432">
        <f>SUM(AJ51+AJ53)</f>
        <v>1651</v>
      </c>
      <c r="AK50" s="328">
        <f t="shared" si="51"/>
        <v>6.7</v>
      </c>
      <c r="AL50" s="432"/>
      <c r="AM50" s="432"/>
      <c r="AN50" s="328"/>
      <c r="AO50" s="430">
        <f t="shared" si="61"/>
        <v>2283.5323202700001</v>
      </c>
      <c r="AP50" s="430">
        <f t="shared" si="62"/>
        <v>2576.4711940400002</v>
      </c>
      <c r="AQ50" s="433">
        <f t="shared" si="46"/>
        <v>12.8</v>
      </c>
    </row>
    <row r="51" spans="1:43" s="452" customFormat="1" ht="20.100000000000001" customHeight="1" x14ac:dyDescent="0.3">
      <c r="A51" s="446" t="s">
        <v>218</v>
      </c>
      <c r="B51" s="192"/>
      <c r="C51" s="432"/>
      <c r="D51" s="328"/>
      <c r="E51" s="192"/>
      <c r="F51" s="432"/>
      <c r="G51" s="328"/>
      <c r="H51" s="192"/>
      <c r="I51" s="432"/>
      <c r="J51" s="328"/>
      <c r="K51" s="192"/>
      <c r="L51" s="432"/>
      <c r="M51" s="328"/>
      <c r="N51" s="192"/>
      <c r="O51" s="432"/>
      <c r="P51" s="423"/>
      <c r="Q51" s="670"/>
      <c r="R51" s="429"/>
      <c r="S51" s="328"/>
      <c r="T51" s="192">
        <v>50.083350029999998</v>
      </c>
      <c r="U51" s="432">
        <v>53.390293369999995</v>
      </c>
      <c r="V51" s="328">
        <f t="shared" si="64"/>
        <v>6.6</v>
      </c>
      <c r="W51" s="192"/>
      <c r="X51" s="432">
        <v>0</v>
      </c>
      <c r="Y51" s="429" t="str">
        <f t="shared" si="60"/>
        <v xml:space="preserve">    ---- </v>
      </c>
      <c r="Z51" s="192"/>
      <c r="AA51" s="432"/>
      <c r="AB51" s="328"/>
      <c r="AC51" s="192"/>
      <c r="AD51" s="432"/>
      <c r="AE51" s="328"/>
      <c r="AF51" s="192"/>
      <c r="AG51" s="432"/>
      <c r="AH51" s="328"/>
      <c r="AI51" s="192"/>
      <c r="AJ51" s="432"/>
      <c r="AK51" s="328"/>
      <c r="AL51" s="432"/>
      <c r="AM51" s="432"/>
      <c r="AN51" s="328"/>
      <c r="AO51" s="430">
        <f t="shared" si="61"/>
        <v>50.083350029999998</v>
      </c>
      <c r="AP51" s="430">
        <f t="shared" si="62"/>
        <v>53.390293369999995</v>
      </c>
      <c r="AQ51" s="433">
        <f t="shared" si="46"/>
        <v>6.6</v>
      </c>
    </row>
    <row r="52" spans="1:43" s="475" customFormat="1" ht="20.100000000000001" customHeight="1" x14ac:dyDescent="0.3">
      <c r="A52" s="446" t="s">
        <v>188</v>
      </c>
      <c r="B52" s="192"/>
      <c r="C52" s="432"/>
      <c r="D52" s="429"/>
      <c r="E52" s="192"/>
      <c r="F52" s="432"/>
      <c r="G52" s="429"/>
      <c r="H52" s="192"/>
      <c r="I52" s="432"/>
      <c r="J52" s="429"/>
      <c r="K52" s="192"/>
      <c r="L52" s="432"/>
      <c r="M52" s="429"/>
      <c r="N52" s="192"/>
      <c r="O52" s="432"/>
      <c r="P52" s="428"/>
      <c r="Q52" s="670"/>
      <c r="R52" s="429"/>
      <c r="S52" s="429"/>
      <c r="T52" s="192">
        <v>50.083350029999998</v>
      </c>
      <c r="U52" s="432">
        <v>53.390293369999995</v>
      </c>
      <c r="V52" s="328">
        <f t="shared" si="64"/>
        <v>6.6</v>
      </c>
      <c r="W52" s="192"/>
      <c r="X52" s="432"/>
      <c r="Y52" s="429"/>
      <c r="Z52" s="192"/>
      <c r="AA52" s="432"/>
      <c r="AB52" s="429"/>
      <c r="AC52" s="192"/>
      <c r="AD52" s="432"/>
      <c r="AE52" s="429"/>
      <c r="AF52" s="192"/>
      <c r="AG52" s="432"/>
      <c r="AH52" s="429"/>
      <c r="AI52" s="192"/>
      <c r="AJ52" s="432"/>
      <c r="AK52" s="429"/>
      <c r="AL52" s="432"/>
      <c r="AM52" s="432"/>
      <c r="AN52" s="429"/>
      <c r="AO52" s="430">
        <f t="shared" si="61"/>
        <v>50.083350029999998</v>
      </c>
      <c r="AP52" s="430">
        <f t="shared" si="62"/>
        <v>53.390293369999995</v>
      </c>
      <c r="AQ52" s="431">
        <f t="shared" si="46"/>
        <v>6.6</v>
      </c>
    </row>
    <row r="53" spans="1:43" s="452" customFormat="1" ht="20.100000000000001" customHeight="1" x14ac:dyDescent="0.3">
      <c r="A53" s="446" t="s">
        <v>219</v>
      </c>
      <c r="B53" s="192"/>
      <c r="C53" s="432"/>
      <c r="D53" s="432"/>
      <c r="E53" s="192"/>
      <c r="F53" s="432"/>
      <c r="G53" s="432"/>
      <c r="H53" s="192"/>
      <c r="I53" s="432"/>
      <c r="J53" s="432"/>
      <c r="K53" s="192"/>
      <c r="L53" s="432"/>
      <c r="M53" s="432"/>
      <c r="N53" s="192"/>
      <c r="O53" s="432"/>
      <c r="P53" s="423"/>
      <c r="Q53" s="670"/>
      <c r="R53" s="429"/>
      <c r="S53" s="328"/>
      <c r="T53" s="192">
        <v>685.44897023999999</v>
      </c>
      <c r="U53" s="432">
        <v>872.08090067000001</v>
      </c>
      <c r="V53" s="328">
        <f t="shared" si="64"/>
        <v>27.2</v>
      </c>
      <c r="W53" s="192"/>
      <c r="X53" s="432">
        <v>0</v>
      </c>
      <c r="Y53" s="429" t="str">
        <f t="shared" ref="Y53" si="65">IF(W53=0, "    ---- ", IF(ABS(ROUND(100/W53*X53-100,1))&lt;999,ROUND(100/W53*X53-100,1),IF(ROUND(100/W53*X53-100,1)&gt;999,999,-999)))</f>
        <v xml:space="preserve">    ---- </v>
      </c>
      <c r="Z53" s="192"/>
      <c r="AA53" s="432"/>
      <c r="AB53" s="328"/>
      <c r="AC53" s="192"/>
      <c r="AD53" s="432"/>
      <c r="AE53" s="328"/>
      <c r="AF53" s="192"/>
      <c r="AG53" s="432"/>
      <c r="AH53" s="328"/>
      <c r="AI53" s="192">
        <f>960+588</f>
        <v>1548</v>
      </c>
      <c r="AJ53" s="432">
        <f>957+694</f>
        <v>1651</v>
      </c>
      <c r="AK53" s="328">
        <f t="shared" si="51"/>
        <v>6.7</v>
      </c>
      <c r="AL53" s="432"/>
      <c r="AM53" s="432"/>
      <c r="AN53" s="328"/>
      <c r="AO53" s="430">
        <f t="shared" si="61"/>
        <v>2233.4489702400001</v>
      </c>
      <c r="AP53" s="430">
        <f t="shared" si="62"/>
        <v>2523.0809006700001</v>
      </c>
      <c r="AQ53" s="433">
        <f t="shared" si="46"/>
        <v>13</v>
      </c>
    </row>
    <row r="54" spans="1:43" s="452" customFormat="1" ht="20.100000000000001" customHeight="1" x14ac:dyDescent="0.3">
      <c r="A54" s="446" t="s">
        <v>220</v>
      </c>
      <c r="B54" s="192">
        <f>SUM(B55:B59)</f>
        <v>25191.577000000001</v>
      </c>
      <c r="C54" s="432">
        <f>SUM(C55:C59)</f>
        <v>28250.884000000002</v>
      </c>
      <c r="D54" s="432">
        <f>IF(B54=0, "    ---- ", IF(ABS(ROUND(100/B54*C54-100,1))&lt;999,ROUND(100/B54*C54-100,1),IF(ROUND(100/B54*C54-100,1)&gt;999,999,-999)))</f>
        <v>12.1</v>
      </c>
      <c r="E54" s="192">
        <f>SUM(E55:E59)</f>
        <v>122659.43922628999</v>
      </c>
      <c r="F54" s="432">
        <f>SUM(F55:F59)</f>
        <v>132779.39894315699</v>
      </c>
      <c r="G54" s="432">
        <f t="shared" si="43"/>
        <v>8.3000000000000007</v>
      </c>
      <c r="H54" s="192"/>
      <c r="I54" s="432"/>
      <c r="J54" s="432"/>
      <c r="K54" s="192"/>
      <c r="L54" s="432"/>
      <c r="M54" s="432"/>
      <c r="N54" s="192">
        <f>SUM(N55:N59)</f>
        <v>34643.199999999997</v>
      </c>
      <c r="O54" s="432">
        <f>SUM(O55:O59)</f>
        <v>40864</v>
      </c>
      <c r="P54" s="423">
        <f t="shared" si="54"/>
        <v>18</v>
      </c>
      <c r="Q54" s="670"/>
      <c r="R54" s="429"/>
      <c r="S54" s="328"/>
      <c r="T54" s="192">
        <f>SUM(T55:T59)</f>
        <v>1054.35785179</v>
      </c>
      <c r="U54" s="432">
        <v>1319.7431776199999</v>
      </c>
      <c r="V54" s="328">
        <f t="shared" si="64"/>
        <v>25.2</v>
      </c>
      <c r="W54" s="192">
        <f>SUM(W55:W59)</f>
        <v>105547.00000000001</v>
      </c>
      <c r="X54" s="432">
        <f>SUM(X55:X59)</f>
        <v>119326.90000000001</v>
      </c>
      <c r="Y54" s="328">
        <f t="shared" si="48"/>
        <v>13.1</v>
      </c>
      <c r="Z54" s="192"/>
      <c r="AA54" s="432"/>
      <c r="AB54" s="328"/>
      <c r="AC54" s="192">
        <f>SUM(AC55:AC59)</f>
        <v>3051.61405891</v>
      </c>
      <c r="AD54" s="429">
        <f>SUM(AD55:AD59)</f>
        <v>2929.9268749500002</v>
      </c>
      <c r="AE54" s="328">
        <f>IF(AC54=0, "    ---- ", IF(ABS(ROUND(100/AC54*AD54-100,1))&lt;999,ROUND(100/AC54*AD54-100,1),IF(ROUND(100/AC54*AD54-100,1)&gt;999,999,-999)))</f>
        <v>-4</v>
      </c>
      <c r="AF54" s="192">
        <f>SUM(AF55:AF59)</f>
        <v>47144.990000000013</v>
      </c>
      <c r="AG54" s="432">
        <f>SUM(AG55:AG59)</f>
        <v>54261.97</v>
      </c>
      <c r="AH54" s="328">
        <f t="shared" si="50"/>
        <v>15.1</v>
      </c>
      <c r="AI54" s="192">
        <f>SUM(AI55:AI59)</f>
        <v>136762.69999999998</v>
      </c>
      <c r="AJ54" s="432">
        <f>SUM(AJ55:AJ59)</f>
        <v>146307</v>
      </c>
      <c r="AK54" s="328">
        <f t="shared" si="51"/>
        <v>7</v>
      </c>
      <c r="AL54" s="432"/>
      <c r="AM54" s="432"/>
      <c r="AN54" s="328"/>
      <c r="AO54" s="430">
        <f t="shared" si="61"/>
        <v>476054.87813699001</v>
      </c>
      <c r="AP54" s="430">
        <f t="shared" si="62"/>
        <v>526039.82299572695</v>
      </c>
      <c r="AQ54" s="433">
        <f t="shared" si="46"/>
        <v>10.5</v>
      </c>
    </row>
    <row r="55" spans="1:43" s="452" customFormat="1" ht="20.100000000000001" customHeight="1" x14ac:dyDescent="0.3">
      <c r="A55" s="446" t="s">
        <v>221</v>
      </c>
      <c r="B55" s="192">
        <v>16111.883</v>
      </c>
      <c r="C55" s="432">
        <v>18245.330999999998</v>
      </c>
      <c r="D55" s="432">
        <f>IF(B55=0, "    ---- ", IF(ABS(ROUND(100/B55*C55-100,1))&lt;999,ROUND(100/B55*C55-100,1),IF(ROUND(100/B55*C55-100,1)&gt;999,999,-999)))</f>
        <v>13.2</v>
      </c>
      <c r="E55" s="192">
        <v>73530.022751029988</v>
      </c>
      <c r="F55" s="432">
        <v>80502.968738886993</v>
      </c>
      <c r="G55" s="432">
        <f t="shared" si="43"/>
        <v>9.5</v>
      </c>
      <c r="H55" s="192"/>
      <c r="I55" s="432"/>
      <c r="J55" s="432"/>
      <c r="K55" s="192"/>
      <c r="L55" s="432"/>
      <c r="M55" s="432"/>
      <c r="N55" s="192">
        <v>29697.599999999999</v>
      </c>
      <c r="O55" s="432">
        <v>34252</v>
      </c>
      <c r="P55" s="423">
        <f t="shared" si="54"/>
        <v>15.3</v>
      </c>
      <c r="Q55" s="670"/>
      <c r="R55" s="429"/>
      <c r="S55" s="328"/>
      <c r="T55" s="192">
        <v>627.22337757000003</v>
      </c>
      <c r="U55" s="432">
        <v>899.07609710999998</v>
      </c>
      <c r="V55" s="328">
        <f t="shared" si="64"/>
        <v>43.3</v>
      </c>
      <c r="W55" s="192">
        <v>65464.6</v>
      </c>
      <c r="X55" s="432">
        <v>80830.58</v>
      </c>
      <c r="Y55" s="328">
        <f t="shared" si="48"/>
        <v>23.5</v>
      </c>
      <c r="Z55" s="192"/>
      <c r="AA55" s="432"/>
      <c r="AB55" s="328"/>
      <c r="AC55" s="192">
        <v>3051.61405891</v>
      </c>
      <c r="AD55" s="429">
        <v>2929.9268749500002</v>
      </c>
      <c r="AE55" s="328">
        <f>IF(AC55=0, "    ---- ", IF(ABS(ROUND(100/AC55*AD55-100,1))&lt;999,ROUND(100/AC55*AD55-100,1),IF(ROUND(100/AC55*AD55-100,1)&gt;999,999,-999)))</f>
        <v>-4</v>
      </c>
      <c r="AF55" s="192">
        <v>30076.348000000002</v>
      </c>
      <c r="AG55" s="432">
        <v>35754.400000000001</v>
      </c>
      <c r="AH55" s="328">
        <f t="shared" si="50"/>
        <v>18.899999999999999</v>
      </c>
      <c r="AI55" s="192">
        <v>93270.399999999994</v>
      </c>
      <c r="AJ55" s="432">
        <v>103581</v>
      </c>
      <c r="AK55" s="328">
        <f t="shared" si="51"/>
        <v>11.1</v>
      </c>
      <c r="AL55" s="432"/>
      <c r="AM55" s="432"/>
      <c r="AN55" s="328"/>
      <c r="AO55" s="430">
        <f t="shared" si="61"/>
        <v>311829.69118750998</v>
      </c>
      <c r="AP55" s="430">
        <f t="shared" si="62"/>
        <v>356995.28271094698</v>
      </c>
      <c r="AQ55" s="433">
        <f t="shared" si="46"/>
        <v>14.5</v>
      </c>
    </row>
    <row r="56" spans="1:43" s="452" customFormat="1" ht="20.100000000000001" customHeight="1" x14ac:dyDescent="0.3">
      <c r="A56" s="446" t="s">
        <v>222</v>
      </c>
      <c r="B56" s="192">
        <v>8649.17</v>
      </c>
      <c r="C56" s="432">
        <v>9449.152</v>
      </c>
      <c r="D56" s="432">
        <f>IF(B56=0, "    ---- ", IF(ABS(ROUND(100/B56*C56-100,1))&lt;999,ROUND(100/B56*C56-100,1),IF(ROUND(100/B56*C56-100,1)&gt;999,999,-999)))</f>
        <v>9.1999999999999993</v>
      </c>
      <c r="E56" s="192">
        <v>47728.763988760002</v>
      </c>
      <c r="F56" s="432">
        <v>50433.845488470004</v>
      </c>
      <c r="G56" s="432">
        <f t="shared" si="43"/>
        <v>5.7</v>
      </c>
      <c r="H56" s="192"/>
      <c r="I56" s="432"/>
      <c r="J56" s="432"/>
      <c r="K56" s="192"/>
      <c r="L56" s="432"/>
      <c r="M56" s="432"/>
      <c r="N56" s="192">
        <v>4861.1000000000004</v>
      </c>
      <c r="O56" s="432">
        <v>6414</v>
      </c>
      <c r="P56" s="423">
        <f t="shared" si="54"/>
        <v>31.9</v>
      </c>
      <c r="Q56" s="670"/>
      <c r="R56" s="429"/>
      <c r="S56" s="328"/>
      <c r="T56" s="192">
        <v>330.20643543</v>
      </c>
      <c r="U56" s="432">
        <v>315.01450298999998</v>
      </c>
      <c r="V56" s="328">
        <f t="shared" si="64"/>
        <v>-4.5999999999999996</v>
      </c>
      <c r="W56" s="192">
        <v>39645.480000000003</v>
      </c>
      <c r="X56" s="432">
        <v>37824.44</v>
      </c>
      <c r="Y56" s="429">
        <f t="shared" si="48"/>
        <v>-4.5999999999999996</v>
      </c>
      <c r="Z56" s="192"/>
      <c r="AA56" s="432"/>
      <c r="AB56" s="328"/>
      <c r="AC56" s="192"/>
      <c r="AD56" s="429"/>
      <c r="AE56" s="328"/>
      <c r="AF56" s="192">
        <v>16744.915000000001</v>
      </c>
      <c r="AG56" s="432">
        <v>17925.695</v>
      </c>
      <c r="AH56" s="328">
        <f t="shared" si="50"/>
        <v>7.1</v>
      </c>
      <c r="AI56" s="192">
        <v>42733</v>
      </c>
      <c r="AJ56" s="432">
        <v>41537</v>
      </c>
      <c r="AK56" s="328">
        <f t="shared" si="51"/>
        <v>-2.8</v>
      </c>
      <c r="AL56" s="432"/>
      <c r="AM56" s="432"/>
      <c r="AN56" s="328"/>
      <c r="AO56" s="430">
        <f t="shared" si="61"/>
        <v>160692.63542419</v>
      </c>
      <c r="AP56" s="430">
        <f t="shared" si="62"/>
        <v>163899.14699146</v>
      </c>
      <c r="AQ56" s="433">
        <f t="shared" si="46"/>
        <v>2</v>
      </c>
    </row>
    <row r="57" spans="1:43" s="452" customFormat="1" ht="20.100000000000001" customHeight="1" x14ac:dyDescent="0.3">
      <c r="A57" s="446" t="s">
        <v>223</v>
      </c>
      <c r="B57" s="192"/>
      <c r="C57" s="432"/>
      <c r="D57" s="328"/>
      <c r="E57" s="192">
        <v>1400.6524865000001</v>
      </c>
      <c r="F57" s="432">
        <v>1842.5847157999999</v>
      </c>
      <c r="G57" s="328">
        <f t="shared" si="43"/>
        <v>31.6</v>
      </c>
      <c r="H57" s="192"/>
      <c r="I57" s="432"/>
      <c r="J57" s="328"/>
      <c r="K57" s="192"/>
      <c r="L57" s="432"/>
      <c r="M57" s="328"/>
      <c r="N57" s="192"/>
      <c r="O57" s="432">
        <v>42</v>
      </c>
      <c r="P57" s="328" t="str">
        <f t="shared" si="54"/>
        <v xml:space="preserve">    ---- </v>
      </c>
      <c r="Q57" s="670"/>
      <c r="R57" s="429"/>
      <c r="S57" s="328"/>
      <c r="T57" s="192">
        <v>84.439382390000006</v>
      </c>
      <c r="U57" s="432">
        <v>90.041771409999996</v>
      </c>
      <c r="V57" s="328">
        <f t="shared" si="64"/>
        <v>6.6</v>
      </c>
      <c r="W57" s="192"/>
      <c r="X57" s="432">
        <v>0</v>
      </c>
      <c r="Y57" s="429" t="str">
        <f t="shared" si="48"/>
        <v xml:space="preserve">    ---- </v>
      </c>
      <c r="Z57" s="192"/>
      <c r="AA57" s="432"/>
      <c r="AB57" s="328"/>
      <c r="AC57" s="192"/>
      <c r="AD57" s="429"/>
      <c r="AE57" s="328"/>
      <c r="AF57" s="192">
        <v>0</v>
      </c>
      <c r="AG57" s="432">
        <v>76.442999999999998</v>
      </c>
      <c r="AH57" s="328" t="str">
        <f t="shared" si="50"/>
        <v xml:space="preserve">    ---- </v>
      </c>
      <c r="AI57" s="192">
        <v>134.30000000000001</v>
      </c>
      <c r="AJ57" s="432">
        <v>123</v>
      </c>
      <c r="AK57" s="328">
        <f t="shared" si="51"/>
        <v>-8.4</v>
      </c>
      <c r="AL57" s="432"/>
      <c r="AM57" s="432"/>
      <c r="AN57" s="328"/>
      <c r="AO57" s="430">
        <f t="shared" si="61"/>
        <v>1619.3918688900001</v>
      </c>
      <c r="AP57" s="430">
        <f t="shared" si="62"/>
        <v>2174.0694872099998</v>
      </c>
      <c r="AQ57" s="433">
        <f t="shared" si="46"/>
        <v>34.299999999999997</v>
      </c>
    </row>
    <row r="58" spans="1:43" s="452" customFormat="1" ht="20.100000000000001" customHeight="1" x14ac:dyDescent="0.3">
      <c r="A58" s="446" t="s">
        <v>224</v>
      </c>
      <c r="B58" s="192"/>
      <c r="C58" s="432"/>
      <c r="D58" s="328"/>
      <c r="E58" s="192"/>
      <c r="F58" s="432"/>
      <c r="G58" s="328"/>
      <c r="H58" s="192"/>
      <c r="I58" s="432"/>
      <c r="J58" s="328"/>
      <c r="K58" s="192"/>
      <c r="L58" s="432"/>
      <c r="M58" s="328"/>
      <c r="N58" s="192"/>
      <c r="O58" s="432"/>
      <c r="P58" s="328"/>
      <c r="Q58" s="670"/>
      <c r="R58" s="429"/>
      <c r="S58" s="328"/>
      <c r="T58" s="192">
        <v>11.095450339999999</v>
      </c>
      <c r="U58" s="432">
        <v>15.610806119999999</v>
      </c>
      <c r="V58" s="328">
        <f t="shared" si="64"/>
        <v>40.700000000000003</v>
      </c>
      <c r="W58" s="192">
        <v>93.1</v>
      </c>
      <c r="X58" s="432">
        <v>222.85</v>
      </c>
      <c r="Y58" s="429">
        <f t="shared" si="48"/>
        <v>139.4</v>
      </c>
      <c r="Z58" s="192"/>
      <c r="AA58" s="432"/>
      <c r="AB58" s="328"/>
      <c r="AC58" s="192"/>
      <c r="AD58" s="429"/>
      <c r="AE58" s="328"/>
      <c r="AF58" s="192">
        <v>91.281000000000006</v>
      </c>
      <c r="AG58" s="432">
        <v>314.94299999999998</v>
      </c>
      <c r="AH58" s="328">
        <f t="shared" si="50"/>
        <v>245</v>
      </c>
      <c r="AI58" s="192">
        <v>625</v>
      </c>
      <c r="AJ58" s="432">
        <v>1066</v>
      </c>
      <c r="AK58" s="328">
        <f t="shared" si="51"/>
        <v>70.599999999999994</v>
      </c>
      <c r="AL58" s="432"/>
      <c r="AM58" s="432"/>
      <c r="AN58" s="328"/>
      <c r="AO58" s="430">
        <f t="shared" si="61"/>
        <v>820.47645033999993</v>
      </c>
      <c r="AP58" s="430">
        <f t="shared" si="62"/>
        <v>1619.4038061199999</v>
      </c>
      <c r="AQ58" s="433">
        <f t="shared" si="46"/>
        <v>97.4</v>
      </c>
    </row>
    <row r="59" spans="1:43" s="452" customFormat="1" ht="20.100000000000001" customHeight="1" x14ac:dyDescent="0.3">
      <c r="A59" s="446" t="s">
        <v>225</v>
      </c>
      <c r="B59" s="192">
        <f>215.691+55.174+159.659</f>
        <v>430.524</v>
      </c>
      <c r="C59" s="432">
        <f>225.643+148.146+182.612</f>
        <v>556.40099999999995</v>
      </c>
      <c r="D59" s="328">
        <f>IF(B59=0, "    ---- ", IF(ABS(ROUND(100/B59*C59-100,1))&lt;999,ROUND(100/B59*C59-100,1),IF(ROUND(100/B59*C59-100,1)&gt;999,999,-999)))</f>
        <v>29.2</v>
      </c>
      <c r="E59" s="192"/>
      <c r="F59" s="432"/>
      <c r="G59" s="328"/>
      <c r="H59" s="192"/>
      <c r="I59" s="432"/>
      <c r="J59" s="328"/>
      <c r="K59" s="192"/>
      <c r="L59" s="432"/>
      <c r="M59" s="328"/>
      <c r="N59" s="192">
        <v>84.5</v>
      </c>
      <c r="O59" s="432">
        <v>156</v>
      </c>
      <c r="P59" s="328">
        <f>IF(N59=0, "    ---- ", IF(ABS(ROUND(100/N59*O59-100,1))&lt;999,ROUND(100/N59*O59-100,1),IF(ROUND(100/N59*O59-100,1)&gt;999,999,-999)))</f>
        <v>84.6</v>
      </c>
      <c r="Q59" s="670"/>
      <c r="R59" s="429"/>
      <c r="S59" s="328"/>
      <c r="T59" s="192">
        <v>1.39320606</v>
      </c>
      <c r="U59" s="432">
        <v>-1E-8</v>
      </c>
      <c r="V59" s="328">
        <f t="shared" si="64"/>
        <v>-100</v>
      </c>
      <c r="W59" s="192">
        <v>343.82</v>
      </c>
      <c r="X59" s="432">
        <v>449.03</v>
      </c>
      <c r="Y59" s="328">
        <f t="shared" si="48"/>
        <v>30.6</v>
      </c>
      <c r="Z59" s="192"/>
      <c r="AA59" s="432"/>
      <c r="AB59" s="328"/>
      <c r="AC59" s="192"/>
      <c r="AD59" s="429"/>
      <c r="AE59" s="328"/>
      <c r="AF59" s="192">
        <v>232.446</v>
      </c>
      <c r="AG59" s="432">
        <v>190.489</v>
      </c>
      <c r="AH59" s="328">
        <f t="shared" si="50"/>
        <v>-18.100000000000001</v>
      </c>
      <c r="AI59" s="192"/>
      <c r="AJ59" s="432"/>
      <c r="AK59" s="328"/>
      <c r="AL59" s="432"/>
      <c r="AM59" s="432"/>
      <c r="AN59" s="328"/>
      <c r="AO59" s="430">
        <f t="shared" si="61"/>
        <v>1092.68320606</v>
      </c>
      <c r="AP59" s="430">
        <f t="shared" si="62"/>
        <v>1351.91999999</v>
      </c>
      <c r="AQ59" s="433">
        <f t="shared" si="46"/>
        <v>23.7</v>
      </c>
    </row>
    <row r="60" spans="1:43" s="452" customFormat="1" ht="20.100000000000001" customHeight="1" x14ac:dyDescent="0.3">
      <c r="A60" s="447" t="s">
        <v>226</v>
      </c>
      <c r="B60" s="192">
        <f>SUM(B48+B49+B50+B54)</f>
        <v>25191.577000000001</v>
      </c>
      <c r="C60" s="432">
        <f>SUM(C48+C49+C50+C54)</f>
        <v>28250.884000000002</v>
      </c>
      <c r="D60" s="328">
        <f>IF(B60=0, "    ---- ", IF(ABS(ROUND(100/B60*C60-100,1))&lt;999,ROUND(100/B60*C60-100,1),IF(ROUND(100/B60*C60-100,1)&gt;999,999,-999)))</f>
        <v>12.1</v>
      </c>
      <c r="E60" s="192">
        <f>SUM(E48+E49+E50+E54)</f>
        <v>122659.43922628999</v>
      </c>
      <c r="F60" s="432">
        <f>SUM(F48+F49+F50+F54)</f>
        <v>137360.76034035999</v>
      </c>
      <c r="G60" s="328">
        <f t="shared" si="43"/>
        <v>12</v>
      </c>
      <c r="H60" s="192"/>
      <c r="I60" s="432"/>
      <c r="J60" s="328"/>
      <c r="K60" s="192"/>
      <c r="L60" s="432"/>
      <c r="M60" s="328"/>
      <c r="N60" s="192">
        <f>SUM(N48+N49+N50+N54)</f>
        <v>36332.699999999997</v>
      </c>
      <c r="O60" s="432">
        <f>SUM(O48+O49+O50+O54)</f>
        <v>42719</v>
      </c>
      <c r="P60" s="328">
        <f>IF(N60=0, "    ---- ", IF(ABS(ROUND(100/N60*O60-100,1))&lt;999,ROUND(100/N60*O60-100,1),IF(ROUND(100/N60*O60-100,1)&gt;999,999,-999)))</f>
        <v>17.600000000000001</v>
      </c>
      <c r="Q60" s="670"/>
      <c r="R60" s="429"/>
      <c r="S60" s="328"/>
      <c r="T60" s="192">
        <f>SUM(T48+T49+T50+T54)</f>
        <v>2081.36543794</v>
      </c>
      <c r="U60" s="432">
        <v>2587.9706044999998</v>
      </c>
      <c r="V60" s="328">
        <f t="shared" si="64"/>
        <v>24.3</v>
      </c>
      <c r="W60" s="192">
        <f>SUM(W48+W49+W50+W54)</f>
        <v>105547.00000000001</v>
      </c>
      <c r="X60" s="432">
        <f>SUM(X48+X49+X50+X54)</f>
        <v>122540.87000000001</v>
      </c>
      <c r="Y60" s="328">
        <f t="shared" si="48"/>
        <v>16.100000000000001</v>
      </c>
      <c r="Z60" s="192"/>
      <c r="AA60" s="432"/>
      <c r="AB60" s="328"/>
      <c r="AC60" s="192">
        <f>SUM(AC48+AC49+AC50+AC54)</f>
        <v>3051.61405891</v>
      </c>
      <c r="AD60" s="429">
        <f>SUM(AD48+AD49+AD50+AD54)</f>
        <v>2929.9268749500002</v>
      </c>
      <c r="AE60" s="328">
        <f>IF(AC60=0, "    ---- ", IF(ABS(ROUND(100/AC60*AD60-100,1))&lt;999,ROUND(100/AC60*AD60-100,1),IF(ROUND(100/AC60*AD60-100,1)&gt;999,999,-999)))</f>
        <v>-4</v>
      </c>
      <c r="AF60" s="192">
        <f>SUM(AF48+AF49+AF50+AF54)</f>
        <v>47144.990000000013</v>
      </c>
      <c r="AG60" s="432">
        <f>SUM(AG48+AG49+AG50+AG54)</f>
        <v>55256.127</v>
      </c>
      <c r="AH60" s="328">
        <f t="shared" si="50"/>
        <v>17.2</v>
      </c>
      <c r="AI60" s="192">
        <f>SUM(AI48+AI49+AI50+AI54)</f>
        <v>144234.69999999998</v>
      </c>
      <c r="AJ60" s="432">
        <f>SUM(AJ48+AJ49+AJ50+AJ54)</f>
        <v>154337</v>
      </c>
      <c r="AK60" s="328">
        <f t="shared" si="51"/>
        <v>7</v>
      </c>
      <c r="AL60" s="432"/>
      <c r="AM60" s="432"/>
      <c r="AN60" s="328"/>
      <c r="AO60" s="430">
        <f t="shared" si="61"/>
        <v>486243.38572313997</v>
      </c>
      <c r="AP60" s="430">
        <f t="shared" si="62"/>
        <v>545982.53881980991</v>
      </c>
      <c r="AQ60" s="433">
        <f t="shared" si="46"/>
        <v>12.3</v>
      </c>
    </row>
    <row r="61" spans="1:43" s="452" customFormat="1" ht="20.100000000000001" customHeight="1" x14ac:dyDescent="0.3">
      <c r="A61" s="444" t="s">
        <v>333</v>
      </c>
      <c r="B61" s="192"/>
      <c r="C61" s="432"/>
      <c r="D61" s="328"/>
      <c r="E61" s="192"/>
      <c r="F61" s="432"/>
      <c r="G61" s="328"/>
      <c r="H61" s="192"/>
      <c r="I61" s="432"/>
      <c r="J61" s="328"/>
      <c r="K61" s="192"/>
      <c r="L61" s="432"/>
      <c r="M61" s="328"/>
      <c r="N61" s="192">
        <v>5.4</v>
      </c>
      <c r="O61" s="432">
        <v>9</v>
      </c>
      <c r="P61" s="328">
        <f>IF(N61=0, "    ---- ", IF(ABS(ROUND(100/N61*O61-100,1))&lt;999,ROUND(100/N61*O61-100,1),IF(ROUND(100/N61*O61-100,1)&gt;999,999,-999)))</f>
        <v>66.7</v>
      </c>
      <c r="Q61" s="670"/>
      <c r="R61" s="429"/>
      <c r="S61" s="328"/>
      <c r="T61" s="192"/>
      <c r="U61" s="432"/>
      <c r="V61" s="328"/>
      <c r="W61" s="192"/>
      <c r="X61" s="432"/>
      <c r="Y61" s="328"/>
      <c r="Z61" s="192"/>
      <c r="AA61" s="432"/>
      <c r="AB61" s="328"/>
      <c r="AC61" s="192"/>
      <c r="AD61" s="429"/>
      <c r="AE61" s="328"/>
      <c r="AF61" s="192"/>
      <c r="AG61" s="432"/>
      <c r="AH61" s="328"/>
      <c r="AI61" s="192"/>
      <c r="AJ61" s="432"/>
      <c r="AK61" s="328"/>
      <c r="AL61" s="432"/>
      <c r="AM61" s="432"/>
      <c r="AN61" s="328"/>
      <c r="AO61" s="430">
        <f t="shared" si="61"/>
        <v>5.4</v>
      </c>
      <c r="AP61" s="430">
        <f t="shared" si="62"/>
        <v>9</v>
      </c>
      <c r="AQ61" s="433">
        <f t="shared" si="46"/>
        <v>66.7</v>
      </c>
    </row>
    <row r="62" spans="1:43" s="452" customFormat="1" ht="20.100000000000001" customHeight="1" x14ac:dyDescent="0.3">
      <c r="A62" s="446" t="s">
        <v>227</v>
      </c>
      <c r="B62" s="192">
        <f>SUM(B45+B46+B60+B61)</f>
        <v>26729.869000000002</v>
      </c>
      <c r="C62" s="432">
        <f>SUM(C45+C46+C60+C61)</f>
        <v>29860.338000000003</v>
      </c>
      <c r="D62" s="328">
        <f>IF(B62=0, "    ---- ", IF(ABS(ROUND(100/B62*C62-100,1))&lt;999,ROUND(100/B62*C62-100,1),IF(ROUND(100/B62*C62-100,1)&gt;999,999,-999)))</f>
        <v>11.7</v>
      </c>
      <c r="E62" s="192">
        <f>SUM(E45+E46+E60+E61)</f>
        <v>324377.59130740003</v>
      </c>
      <c r="F62" s="432">
        <f>SUM(F45+F46+F60+F61)</f>
        <v>337891.22223097994</v>
      </c>
      <c r="G62" s="328">
        <f t="shared" si="43"/>
        <v>4.2</v>
      </c>
      <c r="H62" s="192">
        <f>SUM(H45+H46+H60+H61)</f>
        <v>7458.6140326400009</v>
      </c>
      <c r="I62" s="432">
        <f>SUM(I45+I46+I60+I61)</f>
        <v>8123.3618826499987</v>
      </c>
      <c r="J62" s="328">
        <f>IF(H62=0, "    ---- ", IF(ABS(ROUND(100/H62*I62-100,1))&lt;999,ROUND(100/H62*I62-100,1),IF(ROUND(100/H62*I62-100,1)&gt;999,999,-999)))</f>
        <v>8.9</v>
      </c>
      <c r="K62" s="192">
        <f>SUM(K45+K46+K60+K61)</f>
        <v>1175.2870000000003</v>
      </c>
      <c r="L62" s="432">
        <f>SUM(L45+L46+L60+L61)</f>
        <v>1365.62</v>
      </c>
      <c r="M62" s="328">
        <f>IF(K62=0, "    ---- ", IF(ABS(ROUND(100/K62*L62-100,1))&lt;999,ROUND(100/K62*L62-100,1),IF(ROUND(100/K62*L62-100,1)&gt;999,999,-999)))</f>
        <v>16.2</v>
      </c>
      <c r="N62" s="192">
        <f>SUM(N45+N46+N60+N61)</f>
        <v>44270.9</v>
      </c>
      <c r="O62" s="432">
        <f>SUM(O45+O46+O60+O61)</f>
        <v>51247</v>
      </c>
      <c r="P62" s="328">
        <f>IF(N62=0, "    ---- ", IF(ABS(ROUND(100/N62*O62-100,1))&lt;999,ROUND(100/N62*O62-100,1),IF(ROUND(100/N62*O62-100,1)&gt;999,999,-999)))</f>
        <v>15.8</v>
      </c>
      <c r="Q62" s="670"/>
      <c r="R62" s="429"/>
      <c r="S62" s="328"/>
      <c r="T62" s="192">
        <f>SUM(T45+T46+T60+T61)</f>
        <v>605157.31623185996</v>
      </c>
      <c r="U62" s="432">
        <v>665087.6541947301</v>
      </c>
      <c r="V62" s="328">
        <f>IF(T62=0, "    ---- ", IF(ABS(ROUND(100/T62*U62-100,1))&lt;999,ROUND(100/T62*U62-100,1),IF(ROUND(100/T62*U62-100,1)&gt;999,999,-999)))</f>
        <v>9.9</v>
      </c>
      <c r="W62" s="192">
        <f>SUM(W45+W46+W60+W61)</f>
        <v>160385.60583937002</v>
      </c>
      <c r="X62" s="432">
        <f>SUM(X45+X46+X60+X61)</f>
        <v>179116.12881779001</v>
      </c>
      <c r="Y62" s="328">
        <f t="shared" si="48"/>
        <v>11.7</v>
      </c>
      <c r="Z62" s="192">
        <f>SUM(Z45+Z46+Z60+Z61)</f>
        <v>104484</v>
      </c>
      <c r="AA62" s="432">
        <f>SUM(AA45+AA46+AA60+AA61)</f>
        <v>113001</v>
      </c>
      <c r="AB62" s="328">
        <f>IF(Z62=0, "    ---- ", IF(ABS(ROUND(100/Z62*AA62-100,1))&lt;999,ROUND(100/Z62*AA62-100,1),IF(ROUND(100/Z62*AA62-100,1)&gt;999,999,-999)))</f>
        <v>8.1999999999999993</v>
      </c>
      <c r="AC62" s="192">
        <f>SUM(AC45+AC46+AC60+AC61)</f>
        <v>3051.61405891</v>
      </c>
      <c r="AD62" s="429">
        <f>SUM(AD45+AD46+AD60+AD61)</f>
        <v>2929.9268749500002</v>
      </c>
      <c r="AE62" s="328">
        <f>IF(AC62=0, "    ---- ", IF(ABS(ROUND(100/AC62*AD62-100,1))&lt;999,ROUND(100/AC62*AD62-100,1),IF(ROUND(100/AC62*AD62-100,1)&gt;999,999,-999)))</f>
        <v>-4</v>
      </c>
      <c r="AF62" s="192">
        <f>SUM(AF45+AF46+AF60+AF61)</f>
        <v>69908.011000000013</v>
      </c>
      <c r="AG62" s="432">
        <f>SUM(AG45+AG46+AG60+AG61)</f>
        <v>78856.308000000005</v>
      </c>
      <c r="AH62" s="328">
        <f t="shared" si="50"/>
        <v>12.8</v>
      </c>
      <c r="AI62" s="192">
        <f>SUM(AI45+AI46+AI60+AI61)</f>
        <v>349895.69999999995</v>
      </c>
      <c r="AJ62" s="432">
        <f>SUM(AJ45+AJ46+AJ60+AJ61)</f>
        <v>361779</v>
      </c>
      <c r="AK62" s="328">
        <f t="shared" si="51"/>
        <v>3.4</v>
      </c>
      <c r="AL62" s="432"/>
      <c r="AM62" s="432"/>
      <c r="AN62" s="328"/>
      <c r="AO62" s="430">
        <f t="shared" si="61"/>
        <v>1696894.50847018</v>
      </c>
      <c r="AP62" s="430">
        <f t="shared" si="62"/>
        <v>1829257.5600010999</v>
      </c>
      <c r="AQ62" s="433">
        <f t="shared" si="46"/>
        <v>7.8</v>
      </c>
    </row>
    <row r="63" spans="1:43" s="476" customFormat="1" ht="20.100000000000001" customHeight="1" x14ac:dyDescent="0.3">
      <c r="A63" s="444"/>
      <c r="B63" s="194"/>
      <c r="C63" s="426"/>
      <c r="D63" s="425"/>
      <c r="E63" s="194"/>
      <c r="F63" s="426"/>
      <c r="G63" s="425"/>
      <c r="H63" s="194"/>
      <c r="I63" s="426"/>
      <c r="J63" s="425"/>
      <c r="K63" s="194"/>
      <c r="L63" s="426"/>
      <c r="M63" s="425"/>
      <c r="N63" s="194"/>
      <c r="O63" s="426"/>
      <c r="P63" s="434"/>
      <c r="Q63" s="268"/>
      <c r="R63" s="427"/>
      <c r="S63" s="425"/>
      <c r="T63" s="194"/>
      <c r="U63" s="426"/>
      <c r="V63" s="425"/>
      <c r="W63" s="194"/>
      <c r="X63" s="426"/>
      <c r="Y63" s="425"/>
      <c r="Z63" s="194"/>
      <c r="AA63" s="426"/>
      <c r="AB63" s="425"/>
      <c r="AC63" s="194"/>
      <c r="AD63" s="426"/>
      <c r="AE63" s="425"/>
      <c r="AF63" s="194"/>
      <c r="AG63" s="426"/>
      <c r="AH63" s="425"/>
      <c r="AI63" s="194"/>
      <c r="AJ63" s="426"/>
      <c r="AK63" s="425"/>
      <c r="AL63" s="426"/>
      <c r="AM63" s="426"/>
      <c r="AN63" s="425"/>
      <c r="AO63" s="435"/>
      <c r="AP63" s="435"/>
      <c r="AQ63" s="436"/>
    </row>
    <row r="64" spans="1:43" s="476" customFormat="1" ht="20.100000000000001" customHeight="1" x14ac:dyDescent="0.3">
      <c r="A64" s="444" t="s">
        <v>228</v>
      </c>
      <c r="B64" s="194">
        <f>SUM(B29+B62)</f>
        <v>27737.597000000002</v>
      </c>
      <c r="C64" s="426">
        <f>SUM(C29+C62)</f>
        <v>30986.781000000003</v>
      </c>
      <c r="D64" s="425">
        <f>IF(B64=0, "    ---- ", IF(ABS(ROUND(100/B64*C64-100,1))&lt;999,ROUND(100/B64*C64-100,1),IF(ROUND(100/B64*C64-100,1)&gt;999,999,-999)))</f>
        <v>11.7</v>
      </c>
      <c r="E64" s="194">
        <f>SUM(E29+E62)</f>
        <v>360120.46593875001</v>
      </c>
      <c r="F64" s="426">
        <f>SUM(F29+F62)</f>
        <v>372178.80141664995</v>
      </c>
      <c r="G64" s="425">
        <f t="shared" si="43"/>
        <v>3.3</v>
      </c>
      <c r="H64" s="194">
        <f>SUM(H29+H62)</f>
        <v>10986.34101932</v>
      </c>
      <c r="I64" s="426">
        <f>SUM(I29+I62)</f>
        <v>12103.556937919999</v>
      </c>
      <c r="J64" s="425">
        <f>IF(H64=0, "    ---- ", IF(ABS(ROUND(100/H64*I64-100,1))&lt;999,ROUND(100/H64*I64-100,1),IF(ROUND(100/H64*I64-100,1)&gt;999,999,-999)))</f>
        <v>10.199999999999999</v>
      </c>
      <c r="K64" s="194">
        <f>SUM(K29+K62)</f>
        <v>2369.2070000000003</v>
      </c>
      <c r="L64" s="426">
        <f>SUM(L29+L62)</f>
        <v>2372.88</v>
      </c>
      <c r="M64" s="425">
        <f>IF(K64=0, "    ---- ", IF(ABS(ROUND(100/K64*L64-100,1))&lt;999,ROUND(100/K64*L64-100,1),IF(ROUND(100/K64*L64-100,1)&gt;999,999,-999)))</f>
        <v>0.2</v>
      </c>
      <c r="N64" s="194">
        <f>SUM(N29+N62)</f>
        <v>45804.4</v>
      </c>
      <c r="O64" s="426">
        <f>SUM(O29+O62)</f>
        <v>52812</v>
      </c>
      <c r="P64" s="434">
        <f>IF(N64=0, "    ---- ", IF(ABS(ROUND(100/N64*O64-100,1))&lt;999,ROUND(100/N64*O64-100,1),IF(ROUND(100/N64*O64-100,1)&gt;999,999,-999)))</f>
        <v>15.3</v>
      </c>
      <c r="Q64" s="268">
        <f>SUM(Q29+Q62)</f>
        <v>157.74681726</v>
      </c>
      <c r="R64" s="427">
        <f>SUM(R29+R62)</f>
        <v>167.64422300000001</v>
      </c>
      <c r="S64" s="425">
        <f>IF(Q64=0, "    ---- ", IF(ABS(ROUND(100/Q64*R64-100,1))&lt;999,ROUND(100/Q64*R64-100,1),IF(ROUND(100/Q64*R64-100,1)&gt;999,999,-999)))</f>
        <v>6.3</v>
      </c>
      <c r="T64" s="194">
        <f>SUM(T29+T62)</f>
        <v>650623.37779499998</v>
      </c>
      <c r="U64" s="426">
        <v>710467.01435118006</v>
      </c>
      <c r="V64" s="425">
        <f>IF(T64=0, "    ---- ", IF(ABS(ROUND(100/T64*U64-100,1))&lt;999,ROUND(100/T64*U64-100,1),IF(ROUND(100/T64*U64-100,1)&gt;999,999,-999)))</f>
        <v>9.1999999999999993</v>
      </c>
      <c r="W64" s="194">
        <f>SUM(W29+W62)</f>
        <v>172216.32583937002</v>
      </c>
      <c r="X64" s="426">
        <f>SUM(X29+X62)</f>
        <v>191603.51881779003</v>
      </c>
      <c r="Y64" s="425">
        <f t="shared" si="48"/>
        <v>11.3</v>
      </c>
      <c r="Z64" s="194">
        <f>SUM(Z29+Z62)</f>
        <v>116549</v>
      </c>
      <c r="AA64" s="426">
        <f>SUM(AA29+AA62)</f>
        <v>125404</v>
      </c>
      <c r="AB64" s="425">
        <f>IF(Z64=0, "    ---- ", IF(ABS(ROUND(100/Z64*AA64-100,1))&lt;999,ROUND(100/Z64*AA64-100,1),IF(ROUND(100/Z64*AA64-100,1)&gt;999,999,-999)))</f>
        <v>7.6</v>
      </c>
      <c r="AC64" s="194">
        <f>SUM(AC29+AC62)</f>
        <v>3147.5923068500001</v>
      </c>
      <c r="AD64" s="426">
        <f>SUM(AD29+AD62)</f>
        <v>3029.8588702100001</v>
      </c>
      <c r="AE64" s="425">
        <f>IF(AC64=0, "    ---- ", IF(ABS(ROUND(100/AC64*AD64-100,1))&lt;999,ROUND(100/AC64*AD64-100,1),IF(ROUND(100/AC64*AD64-100,1)&gt;999,999,-999)))</f>
        <v>-3.7</v>
      </c>
      <c r="AF64" s="194">
        <f>SUM(AF29+AF62)</f>
        <v>77098.079000000012</v>
      </c>
      <c r="AG64" s="426">
        <f>SUM(AG29+AG62)</f>
        <v>85983.821000000011</v>
      </c>
      <c r="AH64" s="425">
        <f t="shared" si="50"/>
        <v>11.5</v>
      </c>
      <c r="AI64" s="194">
        <f>SUM(AI29+AI62)</f>
        <v>390309.69999999995</v>
      </c>
      <c r="AJ64" s="426">
        <f>SUM(AJ29+AJ62)</f>
        <v>406065</v>
      </c>
      <c r="AK64" s="425">
        <f t="shared" si="51"/>
        <v>4</v>
      </c>
      <c r="AL64" s="426"/>
      <c r="AM64" s="426">
        <f>SUM(AM29+AM62)</f>
        <v>4</v>
      </c>
      <c r="AN64" s="425" t="str">
        <f>IF(AL64=0, "    ---- ", IF(ABS(ROUND(100/AL64*AM64-100,1))&lt;999,ROUND(100/AL64*AM64-100,1),IF(ROUND(100/AL64*AM64-100,1)&gt;999,999,-999)))</f>
        <v xml:space="preserve">    ---- </v>
      </c>
      <c r="AO64" s="437">
        <f>B64+E64+H64+K64+N64+Q64+T64+AL64+W64+Z64+AC64+AF64+AI64</f>
        <v>1857119.83271655</v>
      </c>
      <c r="AP64" s="437">
        <f>C64+F64+I64+L64+O64+R64+U64+AM64+X64+AA64+AD64+AG64+AJ64</f>
        <v>1993178.8766167499</v>
      </c>
      <c r="AQ64" s="436">
        <f t="shared" si="46"/>
        <v>7.3</v>
      </c>
    </row>
    <row r="65" spans="1:43" s="452" customFormat="1" ht="20.100000000000001" customHeight="1" x14ac:dyDescent="0.3">
      <c r="A65" s="448"/>
      <c r="B65" s="192"/>
      <c r="C65" s="432"/>
      <c r="D65" s="328"/>
      <c r="E65" s="192"/>
      <c r="F65" s="432"/>
      <c r="G65" s="328"/>
      <c r="H65" s="192"/>
      <c r="I65" s="432"/>
      <c r="J65" s="328"/>
      <c r="K65" s="192"/>
      <c r="L65" s="432"/>
      <c r="M65" s="328"/>
      <c r="N65" s="192"/>
      <c r="O65" s="432"/>
      <c r="P65" s="423"/>
      <c r="Q65" s="670"/>
      <c r="R65" s="429"/>
      <c r="S65" s="328"/>
      <c r="T65" s="192"/>
      <c r="U65" s="432"/>
      <c r="V65" s="328"/>
      <c r="W65" s="192"/>
      <c r="X65" s="432"/>
      <c r="Y65" s="328"/>
      <c r="Z65" s="192"/>
      <c r="AA65" s="432"/>
      <c r="AB65" s="328"/>
      <c r="AC65" s="192"/>
      <c r="AD65" s="432"/>
      <c r="AE65" s="328"/>
      <c r="AF65" s="192"/>
      <c r="AG65" s="432"/>
      <c r="AH65" s="328"/>
      <c r="AI65" s="192"/>
      <c r="AJ65" s="432"/>
      <c r="AK65" s="328"/>
      <c r="AL65" s="633"/>
      <c r="AM65" s="432"/>
      <c r="AN65" s="328"/>
      <c r="AO65" s="424"/>
      <c r="AP65" s="424"/>
      <c r="AQ65" s="433"/>
    </row>
    <row r="66" spans="1:43" s="452" customFormat="1" ht="20.100000000000001" customHeight="1" x14ac:dyDescent="0.3">
      <c r="A66" s="444" t="s">
        <v>229</v>
      </c>
      <c r="B66" s="192"/>
      <c r="C66" s="432"/>
      <c r="D66" s="328"/>
      <c r="E66" s="192"/>
      <c r="F66" s="432"/>
      <c r="G66" s="328"/>
      <c r="H66" s="192"/>
      <c r="I66" s="432"/>
      <c r="J66" s="328"/>
      <c r="K66" s="192"/>
      <c r="L66" s="432"/>
      <c r="M66" s="328"/>
      <c r="N66" s="192"/>
      <c r="O66" s="432"/>
      <c r="P66" s="423"/>
      <c r="Q66" s="670"/>
      <c r="R66" s="429"/>
      <c r="S66" s="328"/>
      <c r="T66" s="192"/>
      <c r="U66" s="432"/>
      <c r="V66" s="328"/>
      <c r="W66" s="192"/>
      <c r="X66" s="432"/>
      <c r="Y66" s="328"/>
      <c r="Z66" s="192"/>
      <c r="AA66" s="432"/>
      <c r="AB66" s="328"/>
      <c r="AC66" s="192"/>
      <c r="AD66" s="432"/>
      <c r="AE66" s="328"/>
      <c r="AF66" s="192"/>
      <c r="AG66" s="432"/>
      <c r="AH66" s="328"/>
      <c r="AI66" s="192"/>
      <c r="AJ66" s="432"/>
      <c r="AK66" s="328"/>
      <c r="AL66" s="432"/>
      <c r="AM66" s="432"/>
      <c r="AN66" s="328"/>
      <c r="AO66" s="424"/>
      <c r="AP66" s="424"/>
      <c r="AQ66" s="433"/>
    </row>
    <row r="67" spans="1:43" s="452" customFormat="1" ht="20.100000000000001" customHeight="1" x14ac:dyDescent="0.3">
      <c r="A67" s="444"/>
      <c r="B67" s="192"/>
      <c r="C67" s="432"/>
      <c r="D67" s="328"/>
      <c r="E67" s="192"/>
      <c r="F67" s="432"/>
      <c r="G67" s="328"/>
      <c r="H67" s="192"/>
      <c r="I67" s="432"/>
      <c r="J67" s="328"/>
      <c r="K67" s="192"/>
      <c r="L67" s="432"/>
      <c r="M67" s="328"/>
      <c r="N67" s="192"/>
      <c r="O67" s="432"/>
      <c r="P67" s="423"/>
      <c r="Q67" s="670"/>
      <c r="R67" s="429"/>
      <c r="S67" s="328"/>
      <c r="T67" s="192"/>
      <c r="U67" s="432"/>
      <c r="V67" s="328"/>
      <c r="W67" s="192"/>
      <c r="X67" s="432"/>
      <c r="Y67" s="328"/>
      <c r="Z67" s="192"/>
      <c r="AA67" s="432"/>
      <c r="AB67" s="328"/>
      <c r="AC67" s="192"/>
      <c r="AD67" s="432"/>
      <c r="AE67" s="328"/>
      <c r="AF67" s="192"/>
      <c r="AG67" s="432"/>
      <c r="AH67" s="328"/>
      <c r="AI67" s="192"/>
      <c r="AJ67" s="432"/>
      <c r="AK67" s="328"/>
      <c r="AL67" s="432"/>
      <c r="AM67" s="432"/>
      <c r="AN67" s="328"/>
      <c r="AO67" s="424"/>
      <c r="AP67" s="424"/>
      <c r="AQ67" s="433"/>
    </row>
    <row r="68" spans="1:43" s="452" customFormat="1" ht="20.100000000000001" customHeight="1" x14ac:dyDescent="0.3">
      <c r="A68" s="446" t="s">
        <v>230</v>
      </c>
      <c r="B68" s="192">
        <v>406.16</v>
      </c>
      <c r="C68" s="432">
        <v>406.16</v>
      </c>
      <c r="D68" s="328">
        <f>IF(B68=0, "    ---- ", IF(ABS(ROUND(100/B68*C68-100,1))&lt;999,ROUND(100/B68*C68-100,1),IF(ROUND(100/B68*C68-100,1)&gt;999,999,-999)))</f>
        <v>0</v>
      </c>
      <c r="E68" s="192">
        <v>7657.0531522000001</v>
      </c>
      <c r="F68" s="432">
        <v>7657.0531522000001</v>
      </c>
      <c r="G68" s="328">
        <f t="shared" si="43"/>
        <v>0</v>
      </c>
      <c r="H68" s="192">
        <v>2452.057311</v>
      </c>
      <c r="I68" s="432">
        <v>2452.057311</v>
      </c>
      <c r="J68" s="328">
        <f>IF(H68=0, "    ---- ", IF(ABS(ROUND(100/H68*I68-100,1))&lt;999,ROUND(100/H68*I68-100,1),IF(ROUND(100/H68*I68-100,1)&gt;999,999,-999)))</f>
        <v>0</v>
      </c>
      <c r="K68" s="192">
        <v>210</v>
      </c>
      <c r="L68" s="432">
        <v>210</v>
      </c>
      <c r="M68" s="328">
        <f>IF(K68=0, "    ---- ", IF(ABS(ROUND(100/K68*L68-100,1))&lt;999,ROUND(100/K68*L68-100,1),IF(ROUND(100/K68*L68-100,1)&gt;999,999,-999)))</f>
        <v>0</v>
      </c>
      <c r="N68" s="192">
        <v>121.8</v>
      </c>
      <c r="O68" s="432">
        <v>121</v>
      </c>
      <c r="P68" s="423">
        <f>IF(N68=0, "    ---- ", IF(ABS(ROUND(100/N68*O68-100,1))&lt;999,ROUND(100/N68*O68-100,1),IF(ROUND(100/N68*O68-100,1)&gt;999,999,-999)))</f>
        <v>-0.7</v>
      </c>
      <c r="Q68" s="670">
        <v>5</v>
      </c>
      <c r="R68" s="429">
        <v>5</v>
      </c>
      <c r="S68" s="328">
        <f>IF(Q68=0, "    ---- ", IF(ABS(ROUND(100/Q68*R68-100,1))&lt;999,ROUND(100/Q68*R68-100,1),IF(ROUND(100/Q68*R68-100,1)&gt;999,999,-999)))</f>
        <v>0</v>
      </c>
      <c r="T68" s="192">
        <v>17918.880185000002</v>
      </c>
      <c r="U68" s="432">
        <v>19830.973155</v>
      </c>
      <c r="V68" s="328">
        <f t="shared" ref="V68:V79" si="66">IF(T68=0, "    ---- ", IF(ABS(ROUND(100/T68*U68-100,1))&lt;999,ROUND(100/T68*U68-100,1),IF(ROUND(100/T68*U68-100,1)&gt;999,999,-999)))</f>
        <v>10.7</v>
      </c>
      <c r="W68" s="192">
        <v>1126.76</v>
      </c>
      <c r="X68" s="432">
        <v>1126.76</v>
      </c>
      <c r="Y68" s="328">
        <f t="shared" si="48"/>
        <v>0</v>
      </c>
      <c r="Z68" s="192">
        <v>1430</v>
      </c>
      <c r="AA68" s="432">
        <v>1430</v>
      </c>
      <c r="AB68" s="328">
        <f>IF(Z68=0, "    ---- ", IF(ABS(ROUND(100/Z68*AA68-100,1))&lt;999,ROUND(100/Z68*AA68-100,1),IF(ROUND(100/Z68*AA68-100,1)&gt;999,999,-999)))</f>
        <v>0</v>
      </c>
      <c r="AC68" s="192">
        <v>48.519831859999996</v>
      </c>
      <c r="AD68" s="432">
        <v>48.519831859999996</v>
      </c>
      <c r="AE68" s="328">
        <f>IF(AC68=0, "    ---- ", IF(ABS(ROUND(100/AC68*AD68-100,1))&lt;999,ROUND(100/AC68*AD68-100,1),IF(ROUND(100/AC68*AD68-100,1)&gt;999,999,-999)))</f>
        <v>0</v>
      </c>
      <c r="AF68" s="192">
        <v>4257.0320000000002</v>
      </c>
      <c r="AG68" s="432">
        <v>4257.0320000000002</v>
      </c>
      <c r="AH68" s="328">
        <f t="shared" si="50"/>
        <v>0</v>
      </c>
      <c r="AI68" s="192">
        <v>14361</v>
      </c>
      <c r="AJ68" s="432">
        <v>15150</v>
      </c>
      <c r="AK68" s="328">
        <f t="shared" si="51"/>
        <v>5.5</v>
      </c>
      <c r="AL68" s="432"/>
      <c r="AM68" s="432">
        <v>19</v>
      </c>
      <c r="AN68" s="328" t="str">
        <f>IF(AL68=0, "    ---- ", IF(ABS(ROUND(100/AL68*AM68-100,1))&lt;999,ROUND(100/AL68*AM68-100,1),IF(ROUND(100/AL68*AM68-100,1)&gt;999,999,-999)))</f>
        <v xml:space="preserve">    ---- </v>
      </c>
      <c r="AO68" s="430">
        <f t="shared" ref="AO68:AP71" si="67">B68+E68+H68+K68+N68+Q68+T68+AL68+W68+Z68+AC68+AF68+AI68</f>
        <v>49994.262480060002</v>
      </c>
      <c r="AP68" s="430">
        <f t="shared" si="67"/>
        <v>52713.555450060005</v>
      </c>
      <c r="AQ68" s="433">
        <f t="shared" si="46"/>
        <v>5.4</v>
      </c>
    </row>
    <row r="69" spans="1:43" s="452" customFormat="1" ht="20.100000000000001" customHeight="1" x14ac:dyDescent="0.3">
      <c r="A69" s="446" t="s">
        <v>231</v>
      </c>
      <c r="B69" s="192">
        <v>619.32500000000005</v>
      </c>
      <c r="C69" s="432">
        <v>727.44</v>
      </c>
      <c r="D69" s="328">
        <f>IF(B69=0, "    ---- ", IF(ABS(ROUND(100/B69*C69-100,1))&lt;999,ROUND(100/B69*C69-100,1),IF(ROUND(100/B69*C69-100,1)&gt;999,999,-999)))</f>
        <v>17.5</v>
      </c>
      <c r="E69" s="192">
        <v>17120.484398820001</v>
      </c>
      <c r="F69" s="432">
        <v>17013.05493138</v>
      </c>
      <c r="G69" s="328">
        <f t="shared" si="43"/>
        <v>-0.6</v>
      </c>
      <c r="H69" s="192">
        <v>170.52977622000154</v>
      </c>
      <c r="I69" s="432">
        <v>-1.4240892299992665</v>
      </c>
      <c r="J69" s="328">
        <f>IF(H69=0, "    ---- ", IF(ABS(ROUND(100/H69*I69-100,1))&lt;999,ROUND(100/H69*I69-100,1),IF(ROUND(100/H69*I69-100,1)&gt;999,999,-999)))</f>
        <v>-100.8</v>
      </c>
      <c r="K69" s="192">
        <v>289.858</v>
      </c>
      <c r="L69" s="432">
        <v>346.67099999999999</v>
      </c>
      <c r="M69" s="328">
        <f>IF(K69=0, "    ---- ", IF(ABS(ROUND(100/K69*L69-100,1))&lt;999,ROUND(100/K69*L69-100,1),IF(ROUND(100/K69*L69-100,1)&gt;999,999,-999)))</f>
        <v>19.600000000000001</v>
      </c>
      <c r="N69" s="192">
        <v>938.9</v>
      </c>
      <c r="O69" s="432">
        <v>958</v>
      </c>
      <c r="P69" s="423">
        <f>IF(N69=0, "    ---- ", IF(ABS(ROUND(100/N69*O69-100,1))&lt;999,ROUND(100/N69*O69-100,1),IF(ROUND(100/N69*O69-100,1)&gt;999,999,-999)))</f>
        <v>2</v>
      </c>
      <c r="Q69" s="670">
        <v>103.85169184</v>
      </c>
      <c r="R69" s="429">
        <v>109.082977</v>
      </c>
      <c r="S69" s="328">
        <f>IF(Q69=0, "    ---- ", IF(ABS(ROUND(100/Q69*R69-100,1))&lt;999,ROUND(100/Q69*R69-100,1),IF(ROUND(100/Q69*R69-100,1)&gt;999,999,-999)))</f>
        <v>5</v>
      </c>
      <c r="T69" s="192">
        <f>21188.39239167+5508.52907862002</f>
        <v>26696.921470290021</v>
      </c>
      <c r="U69" s="432">
        <v>21558.636475880001</v>
      </c>
      <c r="V69" s="328">
        <f t="shared" si="66"/>
        <v>-19.2</v>
      </c>
      <c r="W69" s="192">
        <v>7593.34</v>
      </c>
      <c r="X69" s="432">
        <v>8239.94</v>
      </c>
      <c r="Y69" s="328">
        <f t="shared" si="48"/>
        <v>8.5</v>
      </c>
      <c r="Z69" s="192">
        <v>9168</v>
      </c>
      <c r="AA69" s="432">
        <v>10049</v>
      </c>
      <c r="AB69" s="328">
        <f>IF(Z69=0, "    ---- ", IF(ABS(ROUND(100/Z69*AA69-100,1))&lt;999,ROUND(100/Z69*AA69-100,1),IF(ROUND(100/Z69*AA69-100,1)&gt;999,999,-999)))</f>
        <v>9.6</v>
      </c>
      <c r="AC69" s="192">
        <v>31.59700818</v>
      </c>
      <c r="AD69" s="432">
        <v>43.540595680000003</v>
      </c>
      <c r="AE69" s="328">
        <f>IF(AC69=0, "    ---- ", IF(ABS(ROUND(100/AC69*AD69-100,1))&lt;999,ROUND(100/AC69*AD69-100,1),IF(ROUND(100/AC69*AD69-100,1)&gt;999,999,-999)))</f>
        <v>37.799999999999997</v>
      </c>
      <c r="AF69" s="192">
        <v>885.29399999999998</v>
      </c>
      <c r="AG69" s="432">
        <v>1683.0989999999999</v>
      </c>
      <c r="AH69" s="328">
        <f t="shared" si="50"/>
        <v>90.1</v>
      </c>
      <c r="AI69" s="192">
        <v>12374</v>
      </c>
      <c r="AJ69" s="432">
        <v>12271</v>
      </c>
      <c r="AK69" s="328">
        <f t="shared" si="51"/>
        <v>-0.8</v>
      </c>
      <c r="AL69" s="432"/>
      <c r="AM69" s="432">
        <v>-20</v>
      </c>
      <c r="AN69" s="328" t="str">
        <f>IF(AL69=0, "    ---- ", IF(ABS(ROUND(100/AL69*AM69-100,1))&lt;999,ROUND(100/AL69*AM69-100,1),IF(ROUND(100/AL69*AM69-100,1)&gt;999,999,-999)))</f>
        <v xml:space="preserve">    ---- </v>
      </c>
      <c r="AO69" s="430">
        <f t="shared" si="67"/>
        <v>75992.10134535002</v>
      </c>
      <c r="AP69" s="430">
        <f t="shared" si="67"/>
        <v>72978.040890709992</v>
      </c>
      <c r="AQ69" s="433">
        <f t="shared" si="46"/>
        <v>-4</v>
      </c>
    </row>
    <row r="70" spans="1:43" s="452" customFormat="1" ht="20.100000000000001" customHeight="1" x14ac:dyDescent="0.3">
      <c r="A70" s="446" t="s">
        <v>232</v>
      </c>
      <c r="B70" s="192">
        <v>8.0370000000000008</v>
      </c>
      <c r="C70" s="432">
        <v>11.117000000000001</v>
      </c>
      <c r="D70" s="328">
        <f>IF(B70=0, "    ---- ", IF(ABS(ROUND(100/B70*C70-100,1))&lt;999,ROUND(100/B70*C70-100,1),IF(ROUND(100/B70*C70-100,1)&gt;999,999,-999)))</f>
        <v>38.299999999999997</v>
      </c>
      <c r="E70" s="192">
        <v>808.35995328000001</v>
      </c>
      <c r="F70" s="432">
        <v>929.41688958999998</v>
      </c>
      <c r="G70" s="328">
        <f>IF(E70=0, "    ---- ", IF(ABS(ROUND(100/E70*F70-100,1))&lt;999,ROUND(100/E70*F70-100,1),IF(ROUND(100/E70*F70-100,1)&gt;999,999,-999)))</f>
        <v>15</v>
      </c>
      <c r="H70" s="192"/>
      <c r="I70" s="432">
        <v>0</v>
      </c>
      <c r="J70" s="328" t="str">
        <f t="shared" ref="J70:J71" si="68">IF(H70=0, "    ---- ", IF(ABS(ROUND(100/H70*I70-100,1))&lt;999,ROUND(100/H70*I70-100,1),IF(ROUND(100/H70*I70-100,1)&gt;999,999,-999)))</f>
        <v xml:space="preserve">    ---- </v>
      </c>
      <c r="K70" s="192">
        <v>62.503</v>
      </c>
      <c r="L70" s="432">
        <v>44.459000000000003</v>
      </c>
      <c r="M70" s="328">
        <f>IF(K70=0, "    ---- ", IF(ABS(ROUND(100/K70*L70-100,1))&lt;999,ROUND(100/K70*L70-100,1),IF(ROUND(100/K70*L70-100,1)&gt;999,999,-999)))</f>
        <v>-28.9</v>
      </c>
      <c r="N70" s="192">
        <v>35.200000000000003</v>
      </c>
      <c r="O70" s="432">
        <v>39</v>
      </c>
      <c r="P70" s="328">
        <f>IF(N70=0, "    ---- ", IF(ABS(ROUND(100/N70*O70-100,1))&lt;999,ROUND(100/N70*O70-100,1),IF(ROUND(100/N70*O70-100,1)&gt;999,999,-999)))</f>
        <v>10.8</v>
      </c>
      <c r="Q70" s="670"/>
      <c r="R70" s="429"/>
      <c r="S70" s="328"/>
      <c r="T70" s="192">
        <v>5404.3820040000001</v>
      </c>
      <c r="U70" s="432">
        <v>4887.1478652100004</v>
      </c>
      <c r="V70" s="328">
        <f t="shared" si="66"/>
        <v>-9.6</v>
      </c>
      <c r="W70" s="192">
        <v>71.14</v>
      </c>
      <c r="X70" s="432">
        <v>133.5</v>
      </c>
      <c r="Y70" s="328">
        <f t="shared" si="48"/>
        <v>87.7</v>
      </c>
      <c r="Z70" s="192"/>
      <c r="AA70" s="432"/>
      <c r="AB70" s="328"/>
      <c r="AC70" s="192"/>
      <c r="AD70" s="432"/>
      <c r="AE70" s="328"/>
      <c r="AF70" s="192">
        <v>164.09100000000001</v>
      </c>
      <c r="AG70" s="432">
        <v>238.78899999999999</v>
      </c>
      <c r="AH70" s="328">
        <f>IF(AF70=0, "    ---- ", IF(ABS(ROUND(100/AF70*AG70-100,1))&lt;999,ROUND(100/AF70*AG70-100,1),IF(ROUND(100/AF70*AG70-100,1)&gt;999,999,-999)))</f>
        <v>45.5</v>
      </c>
      <c r="AI70" s="192">
        <v>430</v>
      </c>
      <c r="AJ70" s="432">
        <v>620</v>
      </c>
      <c r="AK70" s="328">
        <f t="shared" si="51"/>
        <v>44.2</v>
      </c>
      <c r="AL70" s="432"/>
      <c r="AM70" s="432"/>
      <c r="AN70" s="328"/>
      <c r="AO70" s="430">
        <f t="shared" si="67"/>
        <v>6983.7129572800013</v>
      </c>
      <c r="AP70" s="430">
        <f t="shared" si="67"/>
        <v>6903.4297548000004</v>
      </c>
      <c r="AQ70" s="433">
        <f t="shared" si="46"/>
        <v>-1.1000000000000001</v>
      </c>
    </row>
    <row r="71" spans="1:43" s="452" customFormat="1" ht="20.100000000000001" customHeight="1" x14ac:dyDescent="0.3">
      <c r="A71" s="446" t="s">
        <v>233</v>
      </c>
      <c r="B71" s="192"/>
      <c r="C71" s="432"/>
      <c r="D71" s="328"/>
      <c r="E71" s="192">
        <v>7000</v>
      </c>
      <c r="F71" s="432">
        <v>7000</v>
      </c>
      <c r="G71" s="328">
        <f t="shared" si="43"/>
        <v>0</v>
      </c>
      <c r="H71" s="192">
        <v>550</v>
      </c>
      <c r="I71" s="432">
        <v>550</v>
      </c>
      <c r="J71" s="328">
        <f t="shared" si="68"/>
        <v>0</v>
      </c>
      <c r="K71" s="192"/>
      <c r="L71" s="432"/>
      <c r="M71" s="328"/>
      <c r="N71" s="192">
        <v>300</v>
      </c>
      <c r="O71" s="432">
        <v>300</v>
      </c>
      <c r="P71" s="328">
        <f>IF(N71=0, "    ---- ", IF(ABS(ROUND(100/N71*O71-100,1))&lt;999,ROUND(100/N71*O71-100,1),IF(ROUND(100/N71*O71-100,1)&gt;999,999,-999)))</f>
        <v>0</v>
      </c>
      <c r="Q71" s="670"/>
      <c r="R71" s="429"/>
      <c r="S71" s="328"/>
      <c r="T71" s="192">
        <v>4668.38307128</v>
      </c>
      <c r="U71" s="432">
        <v>4444.4230759700004</v>
      </c>
      <c r="V71" s="328">
        <f t="shared" si="66"/>
        <v>-4.8</v>
      </c>
      <c r="W71" s="192">
        <v>2830</v>
      </c>
      <c r="X71" s="432">
        <v>2830</v>
      </c>
      <c r="Y71" s="328">
        <f t="shared" si="48"/>
        <v>0</v>
      </c>
      <c r="Z71" s="192">
        <v>1240</v>
      </c>
      <c r="AA71" s="432">
        <v>1240</v>
      </c>
      <c r="AB71" s="328">
        <f>IF(Z71=0, "    ---- ", IF(ABS(ROUND(100/Z71*AA71-100,1))&lt;999,ROUND(100/Z71*AA71-100,1),IF(ROUND(100/Z71*AA71-100,1)&gt;999,999,-999)))</f>
        <v>0</v>
      </c>
      <c r="AC71" s="192"/>
      <c r="AD71" s="432"/>
      <c r="AE71" s="328"/>
      <c r="AF71" s="192">
        <v>1000</v>
      </c>
      <c r="AG71" s="432">
        <v>0</v>
      </c>
      <c r="AH71" s="328">
        <f t="shared" si="50"/>
        <v>-100</v>
      </c>
      <c r="AI71" s="192">
        <v>10908</v>
      </c>
      <c r="AJ71" s="432">
        <v>10354</v>
      </c>
      <c r="AK71" s="328">
        <f t="shared" si="51"/>
        <v>-5.0999999999999996</v>
      </c>
      <c r="AL71" s="432"/>
      <c r="AM71" s="432"/>
      <c r="AN71" s="328"/>
      <c r="AO71" s="430">
        <f t="shared" si="67"/>
        <v>28496.383071280001</v>
      </c>
      <c r="AP71" s="430">
        <f t="shared" si="67"/>
        <v>26718.42307597</v>
      </c>
      <c r="AQ71" s="433">
        <f t="shared" si="46"/>
        <v>-6.2</v>
      </c>
    </row>
    <row r="72" spans="1:43" s="452" customFormat="1" ht="20.100000000000001" customHeight="1" x14ac:dyDescent="0.3">
      <c r="A72" s="446" t="s">
        <v>234</v>
      </c>
      <c r="B72" s="192"/>
      <c r="C72" s="432"/>
      <c r="D72" s="328"/>
      <c r="E72" s="192"/>
      <c r="F72" s="432"/>
      <c r="G72" s="328"/>
      <c r="H72" s="192"/>
      <c r="I72" s="432"/>
      <c r="J72" s="328"/>
      <c r="K72" s="192"/>
      <c r="L72" s="432"/>
      <c r="M72" s="328"/>
      <c r="N72" s="192"/>
      <c r="O72" s="432"/>
      <c r="P72" s="423"/>
      <c r="Q72" s="670"/>
      <c r="R72" s="429"/>
      <c r="S72" s="328"/>
      <c r="T72" s="192"/>
      <c r="U72" s="432">
        <v>0</v>
      </c>
      <c r="V72" s="328"/>
      <c r="W72" s="192"/>
      <c r="X72" s="432"/>
      <c r="Y72" s="328"/>
      <c r="Z72" s="192"/>
      <c r="AA72" s="432"/>
      <c r="AB72" s="328"/>
      <c r="AC72" s="192"/>
      <c r="AD72" s="432"/>
      <c r="AE72" s="328"/>
      <c r="AF72" s="192"/>
      <c r="AG72" s="432"/>
      <c r="AH72" s="328"/>
      <c r="AI72" s="192"/>
      <c r="AJ72" s="432"/>
      <c r="AK72" s="328"/>
      <c r="AL72" s="432"/>
      <c r="AM72" s="432"/>
      <c r="AN72" s="328"/>
      <c r="AO72" s="424"/>
      <c r="AP72" s="424"/>
      <c r="AQ72" s="433"/>
    </row>
    <row r="73" spans="1:43" s="452" customFormat="1" ht="20.100000000000001" customHeight="1" x14ac:dyDescent="0.3">
      <c r="A73" s="446" t="s">
        <v>389</v>
      </c>
      <c r="B73" s="192">
        <v>1200.7619999999999</v>
      </c>
      <c r="C73" s="432">
        <v>1272.6890000000001</v>
      </c>
      <c r="D73" s="328">
        <f>IF(B73=0, "    ---- ", IF(ABS(ROUND(100/B73*C73-100,1))&lt;999,ROUND(100/B73*C73-100,1),IF(ROUND(100/B73*C73-100,1)&gt;999,999,-999)))</f>
        <v>6</v>
      </c>
      <c r="E73" s="192">
        <v>191969.48911904002</v>
      </c>
      <c r="F73" s="432">
        <v>185312.63040635001</v>
      </c>
      <c r="G73" s="328">
        <f t="shared" si="43"/>
        <v>-3.5</v>
      </c>
      <c r="H73" s="192">
        <v>7147.0598160899981</v>
      </c>
      <c r="I73" s="432">
        <v>7753.4712186999996</v>
      </c>
      <c r="J73" s="328">
        <f>IF(H73=0, "    ---- ", IF(ABS(ROUND(100/H73*I73-100,1))&lt;999,ROUND(100/H73*I73-100,1),IF(ROUND(100/H73*I73-100,1)&gt;999,999,-999)))</f>
        <v>8.5</v>
      </c>
      <c r="K73" s="192">
        <v>1486.934</v>
      </c>
      <c r="L73" s="432">
        <v>1716.5940000000001</v>
      </c>
      <c r="M73" s="328">
        <f>IF(K73=0, "    ---- ", IF(ABS(ROUND(100/K73*L73-100,1))&lt;999,ROUND(100/K73*L73-100,1),IF(ROUND(100/K73*L73-100,1)&gt;999,999,-999)))</f>
        <v>15.4</v>
      </c>
      <c r="N73" s="192">
        <v>7553.3</v>
      </c>
      <c r="O73" s="432">
        <v>8117</v>
      </c>
      <c r="P73" s="423">
        <f>IF(N73=0, "    ---- ", IF(ABS(ROUND(100/N73*O73-100,1))&lt;999,ROUND(100/N73*O73-100,1),IF(ROUND(100/N73*O73-100,1)&gt;999,999,-999)))</f>
        <v>7.5</v>
      </c>
      <c r="Q73" s="670">
        <v>42.266233130000003</v>
      </c>
      <c r="R73" s="429">
        <v>41.207251999999997</v>
      </c>
      <c r="S73" s="328">
        <f>IF(Q73=0, "    ---- ", IF(ABS(ROUND(100/Q73*R73-100,1))&lt;999,ROUND(100/Q73*R73-100,1),IF(ROUND(100/Q73*R73-100,1)&gt;999,999,-999)))</f>
        <v>-2.5</v>
      </c>
      <c r="T73" s="192">
        <v>451196.40807189001</v>
      </c>
      <c r="U73" s="432">
        <v>483154.23521393002</v>
      </c>
      <c r="V73" s="328">
        <f t="shared" si="66"/>
        <v>7.1</v>
      </c>
      <c r="W73" s="192">
        <v>48392.23</v>
      </c>
      <c r="X73" s="432">
        <v>48506.19</v>
      </c>
      <c r="Y73" s="328">
        <f t="shared" si="48"/>
        <v>0.2</v>
      </c>
      <c r="Z73" s="192">
        <v>67128</v>
      </c>
      <c r="AA73" s="432">
        <v>72659</v>
      </c>
      <c r="AB73" s="328">
        <f>IF(Z73=0, "    ---- ", IF(ABS(ROUND(100/Z73*AA73-100,1))&lt;999,ROUND(100/Z73*AA73-100,1),IF(ROUND(100/Z73*AA73-100,1)&gt;999,999,-999)))</f>
        <v>8.1999999999999993</v>
      </c>
      <c r="AC73" s="192"/>
      <c r="AD73" s="432"/>
      <c r="AE73" s="328"/>
      <c r="AF73" s="192">
        <v>18129.91</v>
      </c>
      <c r="AG73" s="432">
        <v>18850.142</v>
      </c>
      <c r="AH73" s="328">
        <f t="shared" si="50"/>
        <v>4</v>
      </c>
      <c r="AI73" s="192">
        <v>179675</v>
      </c>
      <c r="AJ73" s="432">
        <v>184546</v>
      </c>
      <c r="AK73" s="328">
        <f t="shared" si="51"/>
        <v>2.7</v>
      </c>
      <c r="AL73" s="432"/>
      <c r="AM73" s="432">
        <v>1</v>
      </c>
      <c r="AN73" s="328" t="str">
        <f>IF(AL73=0, "    ---- ", IF(ABS(ROUND(100/AL73*AM73-100,1))&lt;999,ROUND(100/AL73*AM73-100,1),IF(ROUND(100/AL73*AM73-100,1)&gt;999,999,-999)))</f>
        <v xml:space="preserve">    ---- </v>
      </c>
      <c r="AO73" s="430">
        <f t="shared" ref="AO73:AP79" si="69">B73+E73+H73+K73+N73+Q73+T73+AL73+W73+Z73+AC73+AF73+AI73</f>
        <v>973921.35924015008</v>
      </c>
      <c r="AP73" s="430">
        <f t="shared" si="69"/>
        <v>1011930.15909098</v>
      </c>
      <c r="AQ73" s="433">
        <f t="shared" si="46"/>
        <v>3.9</v>
      </c>
    </row>
    <row r="74" spans="1:43" s="452" customFormat="1" ht="20.100000000000001" customHeight="1" x14ac:dyDescent="0.3">
      <c r="A74" s="446" t="s">
        <v>235</v>
      </c>
      <c r="B74" s="192">
        <v>26.885999999999999</v>
      </c>
      <c r="C74" s="432">
        <v>30.02</v>
      </c>
      <c r="D74" s="328">
        <f>IF(B74=0, "    ---- ", IF(ABS(ROUND(100/B74*C74-100,1))&lt;999,ROUND(100/B74*C74-100,1),IF(ROUND(100/B74*C74-100,1)&gt;999,999,-999)))</f>
        <v>11.7</v>
      </c>
      <c r="E74" s="192">
        <v>6303.4139096199997</v>
      </c>
      <c r="F74" s="432">
        <v>7337.4223241099999</v>
      </c>
      <c r="G74" s="328">
        <f t="shared" si="43"/>
        <v>16.399999999999999</v>
      </c>
      <c r="H74" s="192"/>
      <c r="I74" s="432"/>
      <c r="J74" s="328"/>
      <c r="K74" s="192">
        <v>5.7919999999999998</v>
      </c>
      <c r="L74" s="432">
        <v>4.66</v>
      </c>
      <c r="M74" s="328">
        <f>IF(K74=0, "    ---- ", IF(ABS(ROUND(100/K74*L74-100,1))&lt;999,ROUND(100/K74*L74-100,1),IF(ROUND(100/K74*L74-100,1)&gt;999,999,-999)))</f>
        <v>-19.5</v>
      </c>
      <c r="N74" s="192">
        <v>295.39999999999998</v>
      </c>
      <c r="O74" s="432">
        <v>333</v>
      </c>
      <c r="P74" s="423">
        <f>IF(N74=0, "    ---- ", IF(ABS(ROUND(100/N74*O74-100,1))&lt;999,ROUND(100/N74*O74-100,1),IF(ROUND(100/N74*O74-100,1)&gt;999,999,-999)))</f>
        <v>12.7</v>
      </c>
      <c r="Q74" s="670"/>
      <c r="R74" s="429"/>
      <c r="S74" s="328"/>
      <c r="T74" s="192">
        <v>43325.559620519998</v>
      </c>
      <c r="U74" s="432">
        <v>117604.62277491001</v>
      </c>
      <c r="V74" s="328">
        <f t="shared" si="66"/>
        <v>171.4</v>
      </c>
      <c r="W74" s="192">
        <v>2588.09</v>
      </c>
      <c r="X74" s="432">
        <v>3784.09</v>
      </c>
      <c r="Y74" s="328">
        <f t="shared" si="48"/>
        <v>46.2</v>
      </c>
      <c r="Z74" s="192">
        <v>7896</v>
      </c>
      <c r="AA74" s="432">
        <v>0</v>
      </c>
      <c r="AB74" s="328">
        <f>IF(Z74=0, "    ---- ", IF(ABS(ROUND(100/Z74*AA74-100,1))&lt;999,ROUND(100/Z74*AA74-100,1),IF(ROUND(100/Z74*AA74-100,1)&gt;999,999,-999)))</f>
        <v>-100</v>
      </c>
      <c r="AC74" s="192"/>
      <c r="AD74" s="432"/>
      <c r="AE74" s="328"/>
      <c r="AF74" s="192">
        <v>1201.2090000000001</v>
      </c>
      <c r="AG74" s="432">
        <v>1406.885</v>
      </c>
      <c r="AH74" s="328">
        <f t="shared" si="50"/>
        <v>17.100000000000001</v>
      </c>
      <c r="AI74" s="192">
        <v>11592</v>
      </c>
      <c r="AJ74" s="432">
        <f>12289+1960+1</f>
        <v>14250</v>
      </c>
      <c r="AK74" s="328">
        <f t="shared" si="51"/>
        <v>22.9</v>
      </c>
      <c r="AL74" s="432"/>
      <c r="AM74" s="432"/>
      <c r="AN74" s="328"/>
      <c r="AO74" s="430">
        <f t="shared" si="69"/>
        <v>73234.35053014</v>
      </c>
      <c r="AP74" s="430">
        <f t="shared" si="69"/>
        <v>144750.70009902</v>
      </c>
      <c r="AQ74" s="433">
        <f t="shared" si="46"/>
        <v>97.7</v>
      </c>
    </row>
    <row r="75" spans="1:43" s="452" customFormat="1" ht="20.100000000000001" customHeight="1" x14ac:dyDescent="0.3">
      <c r="A75" s="446" t="s">
        <v>236</v>
      </c>
      <c r="B75" s="192">
        <v>63.954000000000001</v>
      </c>
      <c r="C75" s="432">
        <v>13.904999999999999</v>
      </c>
      <c r="D75" s="328">
        <f>IF(B75=0, "    ---- ", IF(ABS(ROUND(100/B75*C75-100,1))&lt;999,ROUND(100/B75*C75-100,1),IF(ROUND(100/B75*C75-100,1)&gt;999,999,-999)))</f>
        <v>-78.3</v>
      </c>
      <c r="E75" s="192">
        <v>1017.57212887</v>
      </c>
      <c r="F75" s="432">
        <v>1011.9052699700001</v>
      </c>
      <c r="G75" s="328">
        <f t="shared" si="43"/>
        <v>-0.6</v>
      </c>
      <c r="H75" s="192"/>
      <c r="I75" s="432"/>
      <c r="J75" s="328"/>
      <c r="K75" s="192">
        <v>6.9</v>
      </c>
      <c r="L75" s="432"/>
      <c r="M75" s="328">
        <f>IF(K75=0, "    ---- ", IF(ABS(ROUND(100/K75*L75-100,1))&lt;999,ROUND(100/K75*L75-100,1),IF(ROUND(100/K75*L75-100,1)&gt;999,999,-999)))</f>
        <v>-100</v>
      </c>
      <c r="N75" s="192">
        <v>2.2999999999999998</v>
      </c>
      <c r="O75" s="432">
        <v>1</v>
      </c>
      <c r="P75" s="423">
        <f>IF(N75=0, "    ---- ", IF(ABS(ROUND(100/N75*O75-100,1))&lt;999,ROUND(100/N75*O75-100,1),IF(ROUND(100/N75*O75-100,1)&gt;999,999,-999)))</f>
        <v>-56.5</v>
      </c>
      <c r="Q75" s="670"/>
      <c r="R75" s="429"/>
      <c r="S75" s="328"/>
      <c r="T75" s="192">
        <v>56575.338283750003</v>
      </c>
      <c r="U75" s="432">
        <v>1E-8</v>
      </c>
      <c r="V75" s="328">
        <f t="shared" si="66"/>
        <v>-100</v>
      </c>
      <c r="W75" s="192">
        <v>2373.83</v>
      </c>
      <c r="X75" s="432">
        <v>2962.93</v>
      </c>
      <c r="Y75" s="328">
        <f t="shared" si="48"/>
        <v>24.8</v>
      </c>
      <c r="Z75" s="192">
        <v>18139</v>
      </c>
      <c r="AA75" s="432">
        <v>0</v>
      </c>
      <c r="AB75" s="328">
        <f>IF(Z75=0, "    ---- ", IF(ABS(ROUND(100/Z75*AA75-100,1))&lt;999,ROUND(100/Z75*AA75-100,1),IF(ROUND(100/Z75*AA75-100,1)&gt;999,999,-999)))</f>
        <v>-100</v>
      </c>
      <c r="AC75" s="192"/>
      <c r="AD75" s="432"/>
      <c r="AE75" s="328"/>
      <c r="AF75" s="192">
        <v>2673.8429999999998</v>
      </c>
      <c r="AG75" s="432">
        <v>2352.1770000000001</v>
      </c>
      <c r="AH75" s="328">
        <f t="shared" si="50"/>
        <v>-12</v>
      </c>
      <c r="AI75" s="192">
        <v>5549</v>
      </c>
      <c r="AJ75" s="432">
        <v>1977</v>
      </c>
      <c r="AK75" s="328">
        <f t="shared" si="51"/>
        <v>-64.400000000000006</v>
      </c>
      <c r="AL75" s="432"/>
      <c r="AM75" s="432"/>
      <c r="AN75" s="328"/>
      <c r="AO75" s="430">
        <f t="shared" si="69"/>
        <v>86401.737412620001</v>
      </c>
      <c r="AP75" s="430">
        <f t="shared" si="69"/>
        <v>8318.9172699800001</v>
      </c>
      <c r="AQ75" s="433">
        <f t="shared" si="46"/>
        <v>-90.4</v>
      </c>
    </row>
    <row r="76" spans="1:43" s="452" customFormat="1" ht="20.100000000000001" customHeight="1" x14ac:dyDescent="0.3">
      <c r="A76" s="446" t="s">
        <v>390</v>
      </c>
      <c r="B76" s="192">
        <v>16.143000000000001</v>
      </c>
      <c r="C76" s="432">
        <v>17.77</v>
      </c>
      <c r="D76" s="328">
        <f>IF(B76=0, "    ---- ", IF(ABS(ROUND(100/B76*C76-100,1))&lt;999,ROUND(100/B76*C76-100,1),IF(ROUND(100/B76*C76-100,1)&gt;999,999,-999)))</f>
        <v>10.1</v>
      </c>
      <c r="E76" s="192">
        <v>576.08517588999996</v>
      </c>
      <c r="F76" s="432">
        <v>0</v>
      </c>
      <c r="G76" s="328">
        <f t="shared" si="43"/>
        <v>-100</v>
      </c>
      <c r="H76" s="192"/>
      <c r="I76" s="432"/>
      <c r="J76" s="328"/>
      <c r="K76" s="192"/>
      <c r="L76" s="432"/>
      <c r="M76" s="328"/>
      <c r="N76" s="192">
        <v>1.1000000000000001</v>
      </c>
      <c r="O76" s="432">
        <v>1</v>
      </c>
      <c r="P76" s="328">
        <f>IF(N76=0, "    ---- ", IF(ABS(ROUND(100/N76*O76-100,1))&lt;999,ROUND(100/N76*O76-100,1),IF(ROUND(100/N76*O76-100,1)&gt;999,999,-999)))</f>
        <v>-9.1</v>
      </c>
      <c r="Q76" s="670"/>
      <c r="R76" s="429"/>
      <c r="S76" s="328"/>
      <c r="T76" s="192">
        <v>37730.600965370002</v>
      </c>
      <c r="U76" s="432">
        <v>40322.631527089994</v>
      </c>
      <c r="V76" s="328">
        <f t="shared" si="66"/>
        <v>6.9</v>
      </c>
      <c r="W76" s="192">
        <v>882.15</v>
      </c>
      <c r="X76" s="432">
        <v>822.08</v>
      </c>
      <c r="Y76" s="328">
        <f t="shared" si="48"/>
        <v>-6.8</v>
      </c>
      <c r="Z76" s="192">
        <v>7301</v>
      </c>
      <c r="AA76" s="432">
        <v>9393</v>
      </c>
      <c r="AB76" s="328">
        <f t="shared" ref="AB76:AB78" si="70">IF(Z76=0, "    ---- ", IF(ABS(ROUND(100/Z76*AA76-100,1))&lt;999,ROUND(100/Z76*AA76-100,1),IF(ROUND(100/Z76*AA76-100,1)&gt;999,999,-999)))</f>
        <v>28.7</v>
      </c>
      <c r="AC76" s="192"/>
      <c r="AD76" s="432"/>
      <c r="AE76" s="328"/>
      <c r="AF76" s="192">
        <v>242.79300000000001</v>
      </c>
      <c r="AG76" s="432">
        <v>419.94799999999998</v>
      </c>
      <c r="AH76" s="328">
        <f t="shared" si="50"/>
        <v>73</v>
      </c>
      <c r="AI76" s="192">
        <v>2308</v>
      </c>
      <c r="AJ76" s="432">
        <v>3729</v>
      </c>
      <c r="AK76" s="328">
        <f t="shared" si="51"/>
        <v>61.6</v>
      </c>
      <c r="AL76" s="432"/>
      <c r="AM76" s="432"/>
      <c r="AN76" s="328"/>
      <c r="AO76" s="430">
        <f t="shared" si="69"/>
        <v>49057.872141259999</v>
      </c>
      <c r="AP76" s="430">
        <f t="shared" si="69"/>
        <v>54705.429527089989</v>
      </c>
      <c r="AQ76" s="433">
        <f t="shared" si="46"/>
        <v>11.5</v>
      </c>
    </row>
    <row r="77" spans="1:43" s="452" customFormat="1" ht="20.100000000000001" customHeight="1" x14ac:dyDescent="0.3">
      <c r="A77" s="446" t="s">
        <v>356</v>
      </c>
      <c r="B77" s="192">
        <v>44.212000000000003</v>
      </c>
      <c r="C77" s="432">
        <v>47.16</v>
      </c>
      <c r="D77" s="328">
        <f>IF(B77=0, "    ---- ", IF(ABS(ROUND(100/B77*C77-100,1))&lt;999,ROUND(100/B77*C77-100,1),IF(ROUND(100/B77*C77-100,1)&gt;999,999,-999)))</f>
        <v>6.7</v>
      </c>
      <c r="E77" s="192">
        <v>528.20566192000001</v>
      </c>
      <c r="F77" s="432">
        <v>427.20976020999996</v>
      </c>
      <c r="G77" s="328">
        <f t="shared" si="43"/>
        <v>-19.100000000000001</v>
      </c>
      <c r="H77" s="192"/>
      <c r="I77" s="432"/>
      <c r="J77" s="328"/>
      <c r="K77" s="192"/>
      <c r="L77" s="432"/>
      <c r="M77" s="328"/>
      <c r="N77" s="192"/>
      <c r="O77" s="432"/>
      <c r="P77" s="423"/>
      <c r="Q77" s="670"/>
      <c r="R77" s="429"/>
      <c r="S77" s="328"/>
      <c r="T77" s="192"/>
      <c r="U77" s="432">
        <v>0</v>
      </c>
      <c r="V77" s="328" t="str">
        <f t="shared" si="66"/>
        <v xml:space="preserve">    ---- </v>
      </c>
      <c r="W77" s="192"/>
      <c r="X77" s="432">
        <v>0</v>
      </c>
      <c r="Y77" s="328" t="str">
        <f t="shared" si="48"/>
        <v xml:space="preserve">    ---- </v>
      </c>
      <c r="Z77" s="192">
        <v>413</v>
      </c>
      <c r="AA77" s="432">
        <v>438</v>
      </c>
      <c r="AB77" s="328">
        <f t="shared" si="70"/>
        <v>6.1</v>
      </c>
      <c r="AC77" s="192"/>
      <c r="AD77" s="432"/>
      <c r="AE77" s="328"/>
      <c r="AF77" s="192"/>
      <c r="AG77" s="432"/>
      <c r="AH77" s="328"/>
      <c r="AI77" s="192">
        <v>698</v>
      </c>
      <c r="AJ77" s="432">
        <v>712</v>
      </c>
      <c r="AK77" s="328">
        <f t="shared" si="51"/>
        <v>2</v>
      </c>
      <c r="AL77" s="432"/>
      <c r="AM77" s="432"/>
      <c r="AN77" s="328"/>
      <c r="AO77" s="430">
        <f t="shared" si="69"/>
        <v>1683.41766192</v>
      </c>
      <c r="AP77" s="430">
        <f t="shared" si="69"/>
        <v>1624.3697602100001</v>
      </c>
      <c r="AQ77" s="433">
        <f t="shared" si="46"/>
        <v>-3.5</v>
      </c>
    </row>
    <row r="78" spans="1:43" s="452" customFormat="1" ht="20.100000000000001" customHeight="1" x14ac:dyDescent="0.3">
      <c r="A78" s="446" t="s">
        <v>237</v>
      </c>
      <c r="B78" s="192"/>
      <c r="C78" s="432"/>
      <c r="D78" s="328"/>
      <c r="E78" s="192"/>
      <c r="F78" s="432">
        <v>2889.7928328400003</v>
      </c>
      <c r="G78" s="429" t="str">
        <f t="shared" si="43"/>
        <v xml:space="preserve">    ---- </v>
      </c>
      <c r="H78" s="192"/>
      <c r="I78" s="432"/>
      <c r="J78" s="328"/>
      <c r="K78" s="192"/>
      <c r="L78" s="432"/>
      <c r="M78" s="328"/>
      <c r="N78" s="192">
        <v>14.4</v>
      </c>
      <c r="O78" s="432">
        <v>19</v>
      </c>
      <c r="P78" s="328">
        <f>IF(N78=0, "    ---- ", IF(ABS(ROUND(100/N78*O78-100,1))&lt;999,ROUND(100/N78*O78-100,1),IF(ROUND(100/N78*O78-100,1)&gt;999,999,-999)))</f>
        <v>31.9</v>
      </c>
      <c r="Q78" s="670"/>
      <c r="R78" s="429"/>
      <c r="S78" s="328"/>
      <c r="T78" s="192"/>
      <c r="U78" s="432">
        <v>104.22051399999999</v>
      </c>
      <c r="V78" s="328" t="str">
        <f t="shared" si="66"/>
        <v xml:space="preserve">    ---- </v>
      </c>
      <c r="W78" s="192"/>
      <c r="X78" s="432"/>
      <c r="Y78" s="328"/>
      <c r="Z78" s="192">
        <v>2218</v>
      </c>
      <c r="AA78" s="429">
        <v>28948</v>
      </c>
      <c r="AB78" s="328">
        <f t="shared" si="70"/>
        <v>999</v>
      </c>
      <c r="AC78" s="192"/>
      <c r="AD78" s="432"/>
      <c r="AE78" s="328"/>
      <c r="AF78" s="192">
        <v>252.03700478000022</v>
      </c>
      <c r="AG78" s="432">
        <v>201.6431726900002</v>
      </c>
      <c r="AH78" s="328">
        <f t="shared" si="50"/>
        <v>-20</v>
      </c>
      <c r="AI78" s="192">
        <v>362</v>
      </c>
      <c r="AJ78" s="432">
        <v>92</v>
      </c>
      <c r="AK78" s="328">
        <f t="shared" si="51"/>
        <v>-74.599999999999994</v>
      </c>
      <c r="AL78" s="432"/>
      <c r="AM78" s="432"/>
      <c r="AN78" s="328"/>
      <c r="AO78" s="430">
        <f t="shared" si="69"/>
        <v>2846.4370047800003</v>
      </c>
      <c r="AP78" s="430">
        <f t="shared" si="69"/>
        <v>32254.656519530003</v>
      </c>
      <c r="AQ78" s="433">
        <f t="shared" si="46"/>
        <v>999</v>
      </c>
    </row>
    <row r="79" spans="1:43" s="452" customFormat="1" ht="20.100000000000001" customHeight="1" x14ac:dyDescent="0.3">
      <c r="A79" s="447" t="s">
        <v>238</v>
      </c>
      <c r="B79" s="192">
        <f>SUM(B73:B78)</f>
        <v>1351.9569999999999</v>
      </c>
      <c r="C79" s="432">
        <f>SUM(C73:C78)</f>
        <v>1381.5440000000001</v>
      </c>
      <c r="D79" s="328">
        <f>IF(B79=0, "    ---- ", IF(ABS(ROUND(100/B79*C79-100,1))&lt;999,ROUND(100/B79*C79-100,1),IF(ROUND(100/B79*C79-100,1)&gt;999,999,-999)))</f>
        <v>2.2000000000000002</v>
      </c>
      <c r="E79" s="192">
        <f>SUM(E73:E78)</f>
        <v>200394.76599534001</v>
      </c>
      <c r="F79" s="432">
        <f>SUM(F73:F78)</f>
        <v>196978.96059348003</v>
      </c>
      <c r="G79" s="328">
        <f t="shared" si="43"/>
        <v>-1.7</v>
      </c>
      <c r="H79" s="192">
        <f>SUM(H73:H78)</f>
        <v>7147.0598160899981</v>
      </c>
      <c r="I79" s="432">
        <f>SUM(I73:I78)</f>
        <v>7753.4712186999996</v>
      </c>
      <c r="J79" s="328">
        <f>IF(H79=0, "    ---- ", IF(ABS(ROUND(100/H79*I79-100,1))&lt;999,ROUND(100/H79*I79-100,1),IF(ROUND(100/H79*I79-100,1)&gt;999,999,-999)))</f>
        <v>8.5</v>
      </c>
      <c r="K79" s="192">
        <f>SUM(K73:K78)</f>
        <v>1499.626</v>
      </c>
      <c r="L79" s="432">
        <f>SUM(L73:L78)</f>
        <v>1721.2540000000001</v>
      </c>
      <c r="M79" s="328">
        <f>IF(K79=0, "    ---- ", IF(ABS(ROUND(100/K79*L79-100,1))&lt;999,ROUND(100/K79*L79-100,1),IF(ROUND(100/K79*L79-100,1)&gt;999,999,-999)))</f>
        <v>14.8</v>
      </c>
      <c r="N79" s="192">
        <f>SUM(N73:N78)</f>
        <v>7866.5</v>
      </c>
      <c r="O79" s="432">
        <f>SUM(O73:O78)</f>
        <v>8471</v>
      </c>
      <c r="P79" s="423">
        <f>IF(N79=0, "    ---- ", IF(ABS(ROUND(100/N79*O79-100,1))&lt;999,ROUND(100/N79*O79-100,1),IF(ROUND(100/N79*O79-100,1)&gt;999,999,-999)))</f>
        <v>7.7</v>
      </c>
      <c r="Q79" s="670">
        <f>SUM(Q73:Q78)</f>
        <v>42.266233130000003</v>
      </c>
      <c r="R79" s="429">
        <f>SUM(R73:R78)</f>
        <v>41.207251999999997</v>
      </c>
      <c r="S79" s="328">
        <f>IF(Q79=0, "    ---- ", IF(ABS(ROUND(100/Q79*R79-100,1))&lt;999,ROUND(100/Q79*R79-100,1),IF(ROUND(100/Q79*R79-100,1)&gt;999,999,-999)))</f>
        <v>-2.5</v>
      </c>
      <c r="T79" s="192">
        <f>SUM(T73:T78)</f>
        <v>588827.90694152995</v>
      </c>
      <c r="U79" s="432">
        <v>641185.71002994</v>
      </c>
      <c r="V79" s="328">
        <f t="shared" si="66"/>
        <v>8.9</v>
      </c>
      <c r="W79" s="192">
        <f>SUM(W73:W78)</f>
        <v>54236.30000000001</v>
      </c>
      <c r="X79" s="432">
        <f>SUM(X73:X78)</f>
        <v>56075.29</v>
      </c>
      <c r="Y79" s="328">
        <f t="shared" si="48"/>
        <v>3.4</v>
      </c>
      <c r="Z79" s="192">
        <f>SUM(Z73:Z78)</f>
        <v>103095</v>
      </c>
      <c r="AA79" s="432">
        <f>SUM(AA73:AA78)</f>
        <v>111438</v>
      </c>
      <c r="AB79" s="328">
        <f>IF(Z79=0, "    ---- ", IF(ABS(ROUND(100/Z79*AA79-100,1))&lt;999,ROUND(100/Z79*AA79-100,1),IF(ROUND(100/Z79*AA79-100,1)&gt;999,999,-999)))</f>
        <v>8.1</v>
      </c>
      <c r="AC79" s="192"/>
      <c r="AD79" s="432"/>
      <c r="AE79" s="328"/>
      <c r="AF79" s="192">
        <f>SUM(AF73:AF78)</f>
        <v>22499.79200478</v>
      </c>
      <c r="AG79" s="432">
        <f>SUM(AG73:AG78)</f>
        <v>23230.795172689999</v>
      </c>
      <c r="AH79" s="328">
        <f t="shared" si="50"/>
        <v>3.2</v>
      </c>
      <c r="AI79" s="192">
        <f>SUM(AI73:AI78)</f>
        <v>200184</v>
      </c>
      <c r="AJ79" s="432">
        <f>SUM(AJ73:AJ78)</f>
        <v>205306</v>
      </c>
      <c r="AK79" s="328">
        <f t="shared" si="51"/>
        <v>2.6</v>
      </c>
      <c r="AL79" s="432"/>
      <c r="AM79" s="432">
        <f>SUM(AM73:AM78)</f>
        <v>1</v>
      </c>
      <c r="AN79" s="328" t="str">
        <f>IF(AL79=0, "    ---- ", IF(ABS(ROUND(100/AL79*AM79-100,1))&lt;999,ROUND(100/AL79*AM79-100,1),IF(ROUND(100/AL79*AM79-100,1)&gt;999,999,-999)))</f>
        <v xml:space="preserve">    ---- </v>
      </c>
      <c r="AO79" s="430">
        <f t="shared" si="69"/>
        <v>1187145.1739908699</v>
      </c>
      <c r="AP79" s="430">
        <f t="shared" si="69"/>
        <v>1253584.23226681</v>
      </c>
      <c r="AQ79" s="433">
        <f t="shared" si="46"/>
        <v>5.6</v>
      </c>
    </row>
    <row r="80" spans="1:43" s="452" customFormat="1" ht="20.100000000000001" customHeight="1" x14ac:dyDescent="0.3">
      <c r="A80" s="446" t="s">
        <v>239</v>
      </c>
      <c r="B80" s="192"/>
      <c r="C80" s="432"/>
      <c r="D80" s="328"/>
      <c r="E80" s="192"/>
      <c r="F80" s="432"/>
      <c r="G80" s="328"/>
      <c r="H80" s="192"/>
      <c r="I80" s="432"/>
      <c r="J80" s="328"/>
      <c r="K80" s="192"/>
      <c r="L80" s="432"/>
      <c r="M80" s="328"/>
      <c r="N80" s="192"/>
      <c r="O80" s="432"/>
      <c r="P80" s="423"/>
      <c r="Q80" s="670"/>
      <c r="R80" s="429"/>
      <c r="S80" s="328"/>
      <c r="T80" s="192"/>
      <c r="U80" s="432"/>
      <c r="V80" s="328"/>
      <c r="W80" s="192"/>
      <c r="X80" s="432"/>
      <c r="Y80" s="328"/>
      <c r="Z80" s="192"/>
      <c r="AA80" s="432"/>
      <c r="AB80" s="328"/>
      <c r="AC80" s="192"/>
      <c r="AD80" s="432"/>
      <c r="AE80" s="328"/>
      <c r="AF80" s="192"/>
      <c r="AG80" s="432"/>
      <c r="AH80" s="328"/>
      <c r="AI80" s="192"/>
      <c r="AJ80" s="432"/>
      <c r="AK80" s="328"/>
      <c r="AL80" s="432"/>
      <c r="AM80" s="432"/>
      <c r="AN80" s="328"/>
      <c r="AO80" s="424"/>
      <c r="AP80" s="424"/>
      <c r="AQ80" s="433"/>
    </row>
    <row r="81" spans="1:43" s="452" customFormat="1" ht="20.100000000000001" customHeight="1" x14ac:dyDescent="0.3">
      <c r="A81" s="446" t="s">
        <v>391</v>
      </c>
      <c r="B81" s="192">
        <v>25109.317999999999</v>
      </c>
      <c r="C81" s="432">
        <v>28177.805</v>
      </c>
      <c r="D81" s="328">
        <f>IF(B81=0, "    ---- ", IF(ABS(ROUND(100/B81*C81-100,1))&lt;999,ROUND(100/B81*C81-100,1),IF(ROUND(100/B81*C81-100,1)&gt;999,999,-999)))</f>
        <v>12.2</v>
      </c>
      <c r="E81" s="192">
        <v>122108.88565324999</v>
      </c>
      <c r="F81" s="432">
        <v>136822.14120086</v>
      </c>
      <c r="G81" s="328">
        <f t="shared" si="43"/>
        <v>12</v>
      </c>
      <c r="H81" s="192"/>
      <c r="I81" s="432"/>
      <c r="J81" s="328"/>
      <c r="K81" s="192"/>
      <c r="L81" s="432"/>
      <c r="M81" s="328"/>
      <c r="N81" s="192">
        <v>36082.199999999997</v>
      </c>
      <c r="O81" s="432">
        <v>42467</v>
      </c>
      <c r="P81" s="423">
        <f>IF(N81=0, "    ---- ", IF(ABS(ROUND(100/N81*O81-100,1))&lt;999,ROUND(100/N81*O81-100,1),IF(ROUND(100/N81*O81-100,1)&gt;999,999,-999)))</f>
        <v>17.7</v>
      </c>
      <c r="Q81" s="670"/>
      <c r="R81" s="429"/>
      <c r="S81" s="328"/>
      <c r="T81" s="192">
        <v>1472.37521384</v>
      </c>
      <c r="U81" s="432">
        <v>2296.1026710100004</v>
      </c>
      <c r="V81" s="328">
        <f t="shared" ref="V81:V91" si="71">IF(T81=0, "    ---- ", IF(ABS(ROUND(100/T81*U81-100,1))&lt;999,ROUND(100/T81*U81-100,1),IF(ROUND(100/T81*U81-100,1)&gt;999,999,-999)))</f>
        <v>55.9</v>
      </c>
      <c r="W81" s="192">
        <v>105547</v>
      </c>
      <c r="X81" s="432">
        <v>122540.88</v>
      </c>
      <c r="Y81" s="328">
        <f t="shared" si="48"/>
        <v>16.100000000000001</v>
      </c>
      <c r="Z81" s="192"/>
      <c r="AA81" s="432"/>
      <c r="AB81" s="328"/>
      <c r="AC81" s="192">
        <v>3051.25411394</v>
      </c>
      <c r="AD81" s="432">
        <v>2929.92688907</v>
      </c>
      <c r="AE81" s="328">
        <f>IF(AC81=0, "    ---- ", IF(ABS(ROUND(100/AC81*AD81-100,1))&lt;999,ROUND(100/AC81*AD81-100,1),IF(ROUND(100/AC81*AD81-100,1)&gt;999,999,-999)))</f>
        <v>-4</v>
      </c>
      <c r="AF81" s="192">
        <v>46507.936999999998</v>
      </c>
      <c r="AG81" s="432">
        <v>54614.574000000001</v>
      </c>
      <c r="AH81" s="328">
        <f t="shared" si="50"/>
        <v>17.399999999999999</v>
      </c>
      <c r="AI81" s="192">
        <v>144324</v>
      </c>
      <c r="AJ81" s="432">
        <v>154155</v>
      </c>
      <c r="AK81" s="328">
        <f t="shared" si="51"/>
        <v>6.8</v>
      </c>
      <c r="AL81" s="432"/>
      <c r="AM81" s="432"/>
      <c r="AN81" s="328"/>
      <c r="AO81" s="430">
        <f t="shared" ref="AO81:AO89" si="72">B81+E81+H81+K81+N81+Q81+T81+AL81+W81+Z81+AC81+AF81+AI81</f>
        <v>484202.96998102998</v>
      </c>
      <c r="AP81" s="430">
        <f t="shared" ref="AP81:AP89" si="73">C81+F81+I81+L81+O81+R81+U81+AM81+X81+AA81+AD81+AG81+AJ81</f>
        <v>544003.42976094014</v>
      </c>
      <c r="AQ81" s="433">
        <f t="shared" si="46"/>
        <v>12.4</v>
      </c>
    </row>
    <row r="82" spans="1:43" s="452" customFormat="1" ht="20.100000000000001" customHeight="1" x14ac:dyDescent="0.3">
      <c r="A82" s="446" t="s">
        <v>392</v>
      </c>
      <c r="B82" s="192"/>
      <c r="C82" s="432"/>
      <c r="D82" s="328"/>
      <c r="E82" s="192"/>
      <c r="F82" s="432"/>
      <c r="G82" s="328"/>
      <c r="H82" s="192"/>
      <c r="I82" s="432"/>
      <c r="J82" s="328"/>
      <c r="K82" s="192"/>
      <c r="L82" s="432"/>
      <c r="M82" s="328"/>
      <c r="N82" s="192"/>
      <c r="O82" s="432"/>
      <c r="P82" s="328"/>
      <c r="Q82" s="670"/>
      <c r="R82" s="429"/>
      <c r="S82" s="328"/>
      <c r="T82" s="192">
        <v>135.0443942</v>
      </c>
      <c r="U82" s="432">
        <v>193.33815799999999</v>
      </c>
      <c r="V82" s="328">
        <f t="shared" si="71"/>
        <v>43.2</v>
      </c>
      <c r="W82" s="192"/>
      <c r="X82" s="432"/>
      <c r="Y82" s="328"/>
      <c r="Z82" s="192"/>
      <c r="AA82" s="432"/>
      <c r="AB82" s="328"/>
      <c r="AC82" s="192"/>
      <c r="AD82" s="432"/>
      <c r="AE82" s="328"/>
      <c r="AF82" s="192">
        <v>0</v>
      </c>
      <c r="AG82" s="432">
        <v>40.685000000000002</v>
      </c>
      <c r="AH82" s="328" t="str">
        <f t="shared" si="50"/>
        <v xml:space="preserve">    ---- </v>
      </c>
      <c r="AI82" s="192"/>
      <c r="AJ82" s="432"/>
      <c r="AK82" s="328"/>
      <c r="AL82" s="432"/>
      <c r="AM82" s="432"/>
      <c r="AN82" s="328"/>
      <c r="AO82" s="430">
        <f t="shared" si="72"/>
        <v>135.0443942</v>
      </c>
      <c r="AP82" s="430">
        <f t="shared" si="73"/>
        <v>234.023158</v>
      </c>
      <c r="AQ82" s="433">
        <f t="shared" si="46"/>
        <v>73.3</v>
      </c>
    </row>
    <row r="83" spans="1:43" s="452" customFormat="1" ht="20.100000000000001" customHeight="1" x14ac:dyDescent="0.3">
      <c r="A83" s="446" t="s">
        <v>393</v>
      </c>
      <c r="B83" s="646">
        <v>82.26</v>
      </c>
      <c r="C83" s="328">
        <v>62.304000000000002</v>
      </c>
      <c r="D83" s="328">
        <f>IF(B83=0, "    ---- ", IF(ABS(ROUND(100/B83*C83-100,1))&lt;999,ROUND(100/B83*C83-100,1),IF(ROUND(100/B83*C83-100,1)&gt;999,999,-999)))</f>
        <v>-24.3</v>
      </c>
      <c r="E83" s="646">
        <v>550.55357304999995</v>
      </c>
      <c r="F83" s="328">
        <v>538.61913949999996</v>
      </c>
      <c r="G83" s="328">
        <f t="shared" si="43"/>
        <v>-2.2000000000000002</v>
      </c>
      <c r="H83" s="646"/>
      <c r="I83" s="328"/>
      <c r="J83" s="328"/>
      <c r="K83" s="646"/>
      <c r="L83" s="328"/>
      <c r="M83" s="328"/>
      <c r="N83" s="646">
        <v>250.6</v>
      </c>
      <c r="O83" s="328">
        <v>252</v>
      </c>
      <c r="P83" s="328">
        <f>IF(N83=0, "    ---- ", IF(ABS(ROUND(100/N83*O83-100,1))&lt;999,ROUND(100/N83*O83-100,1),IF(ROUND(100/N83*O83-100,1)&gt;999,999,-999)))</f>
        <v>0.6</v>
      </c>
      <c r="Q83" s="670"/>
      <c r="R83" s="429"/>
      <c r="S83" s="328"/>
      <c r="T83" s="646">
        <v>466.12528992</v>
      </c>
      <c r="U83" s="328">
        <v>550.55816191999997</v>
      </c>
      <c r="V83" s="328">
        <f t="shared" si="71"/>
        <v>18.100000000000001</v>
      </c>
      <c r="W83" s="646"/>
      <c r="X83" s="328"/>
      <c r="Y83" s="328"/>
      <c r="Z83" s="646"/>
      <c r="AA83" s="328"/>
      <c r="AB83" s="328"/>
      <c r="AC83" s="646"/>
      <c r="AD83" s="432"/>
      <c r="AE83" s="328"/>
      <c r="AF83" s="646">
        <v>636.88400000000001</v>
      </c>
      <c r="AG83" s="328">
        <v>694.524</v>
      </c>
      <c r="AH83" s="328">
        <f t="shared" si="50"/>
        <v>9.1</v>
      </c>
      <c r="AI83" s="646"/>
      <c r="AJ83" s="328"/>
      <c r="AK83" s="328"/>
      <c r="AL83" s="328"/>
      <c r="AM83" s="328"/>
      <c r="AN83" s="328"/>
      <c r="AO83" s="430">
        <f t="shared" si="72"/>
        <v>1986.4228629700001</v>
      </c>
      <c r="AP83" s="430">
        <f t="shared" si="73"/>
        <v>2098.0053014199998</v>
      </c>
      <c r="AQ83" s="433">
        <f t="shared" si="46"/>
        <v>5.6</v>
      </c>
    </row>
    <row r="84" spans="1:43" s="452" customFormat="1" ht="20.100000000000001" customHeight="1" x14ac:dyDescent="0.3">
      <c r="A84" s="446" t="s">
        <v>237</v>
      </c>
      <c r="B84" s="192"/>
      <c r="C84" s="432"/>
      <c r="D84" s="432"/>
      <c r="E84" s="192"/>
      <c r="F84" s="432"/>
      <c r="G84" s="432"/>
      <c r="H84" s="192"/>
      <c r="I84" s="432"/>
      <c r="J84" s="432"/>
      <c r="K84" s="192"/>
      <c r="L84" s="432"/>
      <c r="M84" s="432"/>
      <c r="N84" s="192"/>
      <c r="O84" s="432"/>
      <c r="P84" s="423"/>
      <c r="Q84" s="670"/>
      <c r="R84" s="429"/>
      <c r="S84" s="328"/>
      <c r="T84" s="192">
        <v>0</v>
      </c>
      <c r="U84" s="432">
        <v>0.66830599999999996</v>
      </c>
      <c r="V84" s="328" t="str">
        <f t="shared" si="71"/>
        <v xml:space="preserve">    ---- </v>
      </c>
      <c r="W84" s="192"/>
      <c r="X84" s="432"/>
      <c r="Y84" s="328"/>
      <c r="Z84" s="192"/>
      <c r="AA84" s="432"/>
      <c r="AB84" s="328"/>
      <c r="AC84" s="192"/>
      <c r="AD84" s="432"/>
      <c r="AE84" s="432"/>
      <c r="AF84" s="192"/>
      <c r="AG84" s="432"/>
      <c r="AH84" s="328"/>
      <c r="AI84" s="192"/>
      <c r="AJ84" s="432"/>
      <c r="AK84" s="328"/>
      <c r="AL84" s="432"/>
      <c r="AM84" s="432"/>
      <c r="AN84" s="328"/>
      <c r="AO84" s="430">
        <f t="shared" si="72"/>
        <v>0</v>
      </c>
      <c r="AP84" s="430">
        <f t="shared" si="73"/>
        <v>0.66830599999999996</v>
      </c>
      <c r="AQ84" s="433" t="str">
        <f t="shared" si="46"/>
        <v xml:space="preserve">    ---- </v>
      </c>
    </row>
    <row r="85" spans="1:43" s="452" customFormat="1" ht="20.100000000000001" customHeight="1" x14ac:dyDescent="0.3">
      <c r="A85" s="447" t="s">
        <v>240</v>
      </c>
      <c r="B85" s="192">
        <f>SUM(B81:B84)</f>
        <v>25191.577999999998</v>
      </c>
      <c r="C85" s="432">
        <f>SUM(C81:C84)</f>
        <v>28240.109</v>
      </c>
      <c r="D85" s="432">
        <f>IF(B85=0, "    ---- ", IF(ABS(ROUND(100/B85*C85-100,1))&lt;999,ROUND(100/B85*C85-100,1),IF(ROUND(100/B85*C85-100,1)&gt;999,999,-999)))</f>
        <v>12.1</v>
      </c>
      <c r="E85" s="192">
        <f>SUM(E81:E84)</f>
        <v>122659.43922629999</v>
      </c>
      <c r="F85" s="432">
        <f>SUM(F81:F84)</f>
        <v>137360.76034035999</v>
      </c>
      <c r="G85" s="432">
        <f t="shared" si="43"/>
        <v>12</v>
      </c>
      <c r="H85" s="192"/>
      <c r="I85" s="432"/>
      <c r="J85" s="432"/>
      <c r="K85" s="192"/>
      <c r="L85" s="432"/>
      <c r="M85" s="432"/>
      <c r="N85" s="192">
        <f>SUM(N81:N84)</f>
        <v>36332.799999999996</v>
      </c>
      <c r="O85" s="432">
        <f>SUM(O81:O84)</f>
        <v>42719</v>
      </c>
      <c r="P85" s="423">
        <f>IF(N85=0, "    ---- ", IF(ABS(ROUND(100/N85*O85-100,1))&lt;999,ROUND(100/N85*O85-100,1),IF(ROUND(100/N85*O85-100,1)&gt;999,999,-999)))</f>
        <v>17.600000000000001</v>
      </c>
      <c r="Q85" s="670"/>
      <c r="R85" s="429"/>
      <c r="S85" s="328"/>
      <c r="T85" s="192">
        <f>SUM(T81:T84)</f>
        <v>2073.5448979600001</v>
      </c>
      <c r="U85" s="432">
        <v>3040.6672969300002</v>
      </c>
      <c r="V85" s="328">
        <f t="shared" si="71"/>
        <v>46.6</v>
      </c>
      <c r="W85" s="192">
        <f>SUM(W81:W84)</f>
        <v>105547</v>
      </c>
      <c r="X85" s="432">
        <f>SUM(X81:X84)</f>
        <v>122540.88</v>
      </c>
      <c r="Y85" s="328">
        <f t="shared" si="48"/>
        <v>16.100000000000001</v>
      </c>
      <c r="Z85" s="192"/>
      <c r="AA85" s="432"/>
      <c r="AB85" s="328"/>
      <c r="AC85" s="192">
        <f>SUM(AC81:AC84)</f>
        <v>3051.25411394</v>
      </c>
      <c r="AD85" s="432">
        <f>SUM(AD81:AD84)</f>
        <v>2929.92688907</v>
      </c>
      <c r="AE85" s="432">
        <f>IF(AC85=0, "    ---- ", IF(ABS(ROUND(100/AC85*AD85-100,1))&lt;999,ROUND(100/AC85*AD85-100,1),IF(ROUND(100/AC85*AD85-100,1)&gt;999,999,-999)))</f>
        <v>-4</v>
      </c>
      <c r="AF85" s="192">
        <f>SUM(AF81:AF84)</f>
        <v>47144.820999999996</v>
      </c>
      <c r="AG85" s="432">
        <f>SUM(AG81:AG84)</f>
        <v>55349.782999999996</v>
      </c>
      <c r="AH85" s="328">
        <f t="shared" si="50"/>
        <v>17.399999999999999</v>
      </c>
      <c r="AI85" s="192">
        <f>SUM(AI81:AI84)</f>
        <v>144324</v>
      </c>
      <c r="AJ85" s="432">
        <f>SUM(AJ81:AJ84)</f>
        <v>154155</v>
      </c>
      <c r="AK85" s="328">
        <f t="shared" si="51"/>
        <v>6.8</v>
      </c>
      <c r="AL85" s="432"/>
      <c r="AM85" s="432"/>
      <c r="AN85" s="328"/>
      <c r="AO85" s="430">
        <f t="shared" si="72"/>
        <v>486324.43723819999</v>
      </c>
      <c r="AP85" s="430">
        <f t="shared" si="73"/>
        <v>546336.12652636005</v>
      </c>
      <c r="AQ85" s="433">
        <f t="shared" si="46"/>
        <v>12.3</v>
      </c>
    </row>
    <row r="86" spans="1:43" s="452" customFormat="1" ht="20.100000000000001" customHeight="1" x14ac:dyDescent="0.3">
      <c r="A86" s="446" t="s">
        <v>241</v>
      </c>
      <c r="B86" s="192">
        <v>46.228000000000002</v>
      </c>
      <c r="C86" s="432">
        <v>52.557000000000002</v>
      </c>
      <c r="D86" s="328">
        <f>IF(B86=0, "    ---- ", IF(ABS(ROUND(100/B86*C86-100,1))&lt;999,ROUND(100/B86*C86-100,1),IF(ROUND(100/B86*C86-100,1)&gt;999,999,-999)))</f>
        <v>13.7</v>
      </c>
      <c r="E86" s="192">
        <v>1838.20187848</v>
      </c>
      <c r="F86" s="432">
        <v>2379.0238743</v>
      </c>
      <c r="G86" s="328">
        <f t="shared" si="43"/>
        <v>29.4</v>
      </c>
      <c r="H86" s="192">
        <v>280.87184006000001</v>
      </c>
      <c r="I86" s="432">
        <v>874.40457130000016</v>
      </c>
      <c r="J86" s="328">
        <f>IF(H86=0, "    ---- ", IF(ABS(ROUND(100/H86*I86-100,1))&lt;999,ROUND(100/H86*I86-100,1),IF(ROUND(100/H86*I86-100,1)&gt;999,999,-999)))</f>
        <v>211.3</v>
      </c>
      <c r="K86" s="192">
        <v>348.46199999999999</v>
      </c>
      <c r="L86" s="432">
        <v>67.569000000000003</v>
      </c>
      <c r="M86" s="328">
        <f>IF(K86=0, "    ---- ", IF(ABS(ROUND(100/K86*L86-100,1))&lt;999,ROUND(100/K86*L86-100,1),IF(ROUND(100/K86*L86-100,1)&gt;999,999,-999)))</f>
        <v>-80.599999999999994</v>
      </c>
      <c r="N86" s="192">
        <v>37.299999999999997</v>
      </c>
      <c r="O86" s="432">
        <v>46</v>
      </c>
      <c r="P86" s="328">
        <f>IF(N86=0, "    ---- ", IF(ABS(ROUND(100/N86*O86-100,1))&lt;999,ROUND(100/N86*O86-100,1),IF(ROUND(100/N86*O86-100,1)&gt;999,999,-999)))</f>
        <v>23.3</v>
      </c>
      <c r="Q86" s="670"/>
      <c r="R86" s="429"/>
      <c r="S86" s="328"/>
      <c r="T86" s="192">
        <v>2252.7877592700002</v>
      </c>
      <c r="U86" s="432">
        <v>847.55684692</v>
      </c>
      <c r="V86" s="328">
        <f t="shared" si="71"/>
        <v>-62.4</v>
      </c>
      <c r="W86" s="192">
        <v>505.86</v>
      </c>
      <c r="X86" s="432">
        <v>446.41</v>
      </c>
      <c r="Y86" s="328">
        <f t="shared" si="48"/>
        <v>-11.8</v>
      </c>
      <c r="Z86" s="192">
        <v>723</v>
      </c>
      <c r="AA86" s="432">
        <v>551</v>
      </c>
      <c r="AB86" s="328">
        <f>IF(Z86=0, "    ---- ", IF(ABS(ROUND(100/Z86*AA86-100,1))&lt;999,ROUND(100/Z86*AA86-100,1),IF(ROUND(100/Z86*AA86-100,1)&gt;999,999,-999)))</f>
        <v>-23.8</v>
      </c>
      <c r="AC86" s="192"/>
      <c r="AD86" s="432"/>
      <c r="AE86" s="328"/>
      <c r="AF86" s="192">
        <v>498.23599999999999</v>
      </c>
      <c r="AG86" s="432">
        <v>624.35699999999997</v>
      </c>
      <c r="AH86" s="328">
        <f t="shared" si="50"/>
        <v>25.3</v>
      </c>
      <c r="AI86" s="192">
        <v>7</v>
      </c>
      <c r="AJ86" s="432">
        <v>2</v>
      </c>
      <c r="AK86" s="328">
        <f t="shared" si="51"/>
        <v>-71.400000000000006</v>
      </c>
      <c r="AL86" s="432"/>
      <c r="AM86" s="432"/>
      <c r="AN86" s="328"/>
      <c r="AO86" s="430">
        <f t="shared" si="72"/>
        <v>6537.9474778099993</v>
      </c>
      <c r="AP86" s="430">
        <f t="shared" si="73"/>
        <v>5890.8782925199994</v>
      </c>
      <c r="AQ86" s="433">
        <f t="shared" si="46"/>
        <v>-9.9</v>
      </c>
    </row>
    <row r="87" spans="1:43" s="452" customFormat="1" ht="20.100000000000001" customHeight="1" x14ac:dyDescent="0.3">
      <c r="A87" s="446" t="s">
        <v>242</v>
      </c>
      <c r="B87" s="192"/>
      <c r="C87" s="432"/>
      <c r="D87" s="328"/>
      <c r="E87" s="192"/>
      <c r="F87" s="432"/>
      <c r="G87" s="328"/>
      <c r="H87" s="192">
        <v>366.73587767000004</v>
      </c>
      <c r="I87" s="432">
        <v>371.00221926000006</v>
      </c>
      <c r="J87" s="328">
        <f t="shared" ref="J87:J88" si="74">IF(H87=0, "    ---- ", IF(ABS(ROUND(100/H87*I87-100,1))&lt;999,ROUND(100/H87*I87-100,1),IF(ROUND(100/H87*I87-100,1)&gt;999,999,-999)))</f>
        <v>1.2</v>
      </c>
      <c r="K87" s="192"/>
      <c r="L87" s="432"/>
      <c r="M87" s="328"/>
      <c r="N87" s="192"/>
      <c r="O87" s="432"/>
      <c r="P87" s="328"/>
      <c r="Q87" s="670"/>
      <c r="R87" s="429"/>
      <c r="S87" s="328"/>
      <c r="T87" s="192">
        <v>0</v>
      </c>
      <c r="U87" s="432">
        <v>0</v>
      </c>
      <c r="V87" s="328" t="str">
        <f t="shared" si="71"/>
        <v xml:space="preserve">    ---- </v>
      </c>
      <c r="W87" s="192">
        <v>0</v>
      </c>
      <c r="X87" s="432">
        <v>0</v>
      </c>
      <c r="Y87" s="328" t="str">
        <f t="shared" si="48"/>
        <v xml:space="preserve">    ---- </v>
      </c>
      <c r="Z87" s="192"/>
      <c r="AA87" s="432"/>
      <c r="AB87" s="328"/>
      <c r="AC87" s="192"/>
      <c r="AD87" s="432"/>
      <c r="AE87" s="328"/>
      <c r="AF87" s="192">
        <v>0</v>
      </c>
      <c r="AG87" s="432">
        <v>6.9720000000000004</v>
      </c>
      <c r="AH87" s="328" t="str">
        <f t="shared" si="50"/>
        <v xml:space="preserve">    ---- </v>
      </c>
      <c r="AI87" s="192"/>
      <c r="AJ87" s="432"/>
      <c r="AK87" s="328"/>
      <c r="AL87" s="432"/>
      <c r="AM87" s="432"/>
      <c r="AN87" s="328"/>
      <c r="AO87" s="430">
        <f t="shared" si="72"/>
        <v>366.73587767000004</v>
      </c>
      <c r="AP87" s="430">
        <f t="shared" si="73"/>
        <v>377.97421926000004</v>
      </c>
      <c r="AQ87" s="433">
        <f t="shared" si="46"/>
        <v>3.1</v>
      </c>
    </row>
    <row r="88" spans="1:43" s="452" customFormat="1" ht="20.100000000000001" customHeight="1" x14ac:dyDescent="0.3">
      <c r="A88" s="446" t="s">
        <v>243</v>
      </c>
      <c r="B88" s="192">
        <v>86.686000000000007</v>
      </c>
      <c r="C88" s="432">
        <v>155.21899999999999</v>
      </c>
      <c r="D88" s="432">
        <f>IF(B88=0, "    ---- ", IF(ABS(ROUND(100/B88*C88-100,1))&lt;999,ROUND(100/B88*C88-100,1),IF(ROUND(100/B88*C88-100,1)&gt;999,999,-999)))</f>
        <v>79.099999999999994</v>
      </c>
      <c r="E88" s="192">
        <v>3319.6692863999951</v>
      </c>
      <c r="F88" s="432">
        <v>3701.6088913600047</v>
      </c>
      <c r="G88" s="432">
        <f t="shared" si="43"/>
        <v>11.5</v>
      </c>
      <c r="H88" s="192">
        <v>18.500937689999976</v>
      </c>
      <c r="I88" s="432">
        <v>104.04570689000001</v>
      </c>
      <c r="J88" s="328">
        <f t="shared" si="74"/>
        <v>462.4</v>
      </c>
      <c r="K88" s="192"/>
      <c r="L88" s="432"/>
      <c r="M88" s="432"/>
      <c r="N88" s="192">
        <v>189.6</v>
      </c>
      <c r="O88" s="432">
        <v>165</v>
      </c>
      <c r="P88" s="423">
        <f>IF(N88=0, "    ---- ", IF(ABS(ROUND(100/N88*O88-100,1))&lt;999,ROUND(100/N88*O88-100,1),IF(ROUND(100/N88*O88-100,1)&gt;999,999,-999)))</f>
        <v>-13</v>
      </c>
      <c r="Q88" s="670">
        <v>5.6665799999999997</v>
      </c>
      <c r="R88" s="429">
        <v>7.7836069999999999</v>
      </c>
      <c r="S88" s="328">
        <f>IF(Q88=0, "    ---- ", IF(ABS(ROUND(100/Q88*R88-100,1))&lt;999,ROUND(100/Q88*R88-100,1),IF(ROUND(100/Q88*R88-100,1)&gt;999,999,-999)))</f>
        <v>37.4</v>
      </c>
      <c r="T88" s="192">
        <v>7905.4241374200001</v>
      </c>
      <c r="U88" s="432">
        <v>19396.030203119997</v>
      </c>
      <c r="V88" s="328">
        <f t="shared" si="71"/>
        <v>145.4</v>
      </c>
      <c r="W88" s="192">
        <v>333.04</v>
      </c>
      <c r="X88" s="432">
        <v>286.91000000000003</v>
      </c>
      <c r="Y88" s="328">
        <f t="shared" si="48"/>
        <v>-13.9</v>
      </c>
      <c r="Z88" s="192">
        <f>777+115+1</f>
        <v>893</v>
      </c>
      <c r="AA88" s="432">
        <f>587+107+2</f>
        <v>696</v>
      </c>
      <c r="AB88" s="328">
        <f>IF(Z88=0, "    ---- ", IF(ABS(ROUND(100/Z88*AA88-100,1))&lt;999,ROUND(100/Z88*AA88-100,1),IF(ROUND(100/Z88*AA88-100,1)&gt;999,999,-999)))</f>
        <v>-22.1</v>
      </c>
      <c r="AC88" s="192">
        <v>15.92652404</v>
      </c>
      <c r="AD88" s="432">
        <v>7.7669480200000001</v>
      </c>
      <c r="AE88" s="328">
        <f>IF(AC88=0, "    ---- ", IF(ABS(ROUND(100/AC88*AD88-100,1))&lt;999,ROUND(100/AC88*AD88-100,1),IF(ROUND(100/AC88*AD88-100,1)&gt;999,999,-999)))</f>
        <v>-51.2</v>
      </c>
      <c r="AF88" s="192">
        <v>780.89700000000005</v>
      </c>
      <c r="AG88" s="432">
        <v>799.72699999999998</v>
      </c>
      <c r="AH88" s="328">
        <f t="shared" si="50"/>
        <v>2.4</v>
      </c>
      <c r="AI88" s="192">
        <v>7989</v>
      </c>
      <c r="AJ88" s="432">
        <v>8134</v>
      </c>
      <c r="AK88" s="328">
        <f t="shared" si="51"/>
        <v>1.8</v>
      </c>
      <c r="AL88" s="432"/>
      <c r="AM88" s="432">
        <v>4</v>
      </c>
      <c r="AN88" s="328" t="str">
        <f>IF(AL88=0, "    ---- ", IF(ABS(ROUND(100/AL88*AM88-100,1))&lt;999,ROUND(100/AL88*AM88-100,1),IF(ROUND(100/AL88*AM88-100,1)&gt;999,999,-999)))</f>
        <v xml:space="preserve">    ---- </v>
      </c>
      <c r="AO88" s="430">
        <f t="shared" si="72"/>
        <v>21537.410465549998</v>
      </c>
      <c r="AP88" s="430">
        <f t="shared" si="73"/>
        <v>33458.091356389996</v>
      </c>
      <c r="AQ88" s="433">
        <f t="shared" si="46"/>
        <v>55.3</v>
      </c>
    </row>
    <row r="89" spans="1:43" s="452" customFormat="1" ht="20.100000000000001" customHeight="1" x14ac:dyDescent="0.3">
      <c r="A89" s="446" t="s">
        <v>244</v>
      </c>
      <c r="B89" s="192">
        <v>35.665999999999997</v>
      </c>
      <c r="C89" s="432">
        <v>23.751999999999999</v>
      </c>
      <c r="D89" s="432">
        <f>IF(B89=0, "    ---- ", IF(ABS(ROUND(100/B89*C89-100,1))&lt;999,ROUND(100/B89*C89-100,1),IF(ROUND(100/B89*C89-100,1)&gt;999,999,-999)))</f>
        <v>-33.4</v>
      </c>
      <c r="E89" s="192">
        <v>130.85166254000001</v>
      </c>
      <c r="F89" s="432">
        <v>88.339955920000008</v>
      </c>
      <c r="G89" s="432">
        <f t="shared" si="43"/>
        <v>-32.5</v>
      </c>
      <c r="H89" s="192">
        <v>0.5854605799999999</v>
      </c>
      <c r="I89" s="432">
        <v>0</v>
      </c>
      <c r="J89" s="432">
        <f>IF(H89=0, "    ---- ", IF(ABS(ROUND(100/H89*I89-100,1))&lt;999,ROUND(100/H89*I89-100,1),IF(ROUND(100/H89*I89-100,1)&gt;999,999,-999)))</f>
        <v>-100</v>
      </c>
      <c r="K89" s="192">
        <v>21.26</v>
      </c>
      <c r="L89" s="432">
        <v>27.385999999999999</v>
      </c>
      <c r="M89" s="432">
        <f>IF(K89=0, "    ---- ", IF(ABS(ROUND(100/K89*L89-100,1))&lt;999,ROUND(100/K89*L89-100,1),IF(ROUND(100/K89*L89-100,1)&gt;999,999,-999)))</f>
        <v>28.8</v>
      </c>
      <c r="N89" s="192">
        <v>17.399999999999999</v>
      </c>
      <c r="O89" s="432">
        <v>32</v>
      </c>
      <c r="P89" s="328">
        <f>IF(N89=0, "    ---- ", IF(ABS(ROUND(100/N89*O89-100,1))&lt;999,ROUND(100/N89*O89-100,1),IF(ROUND(100/N89*O89-100,1)&gt;999,999,-999)))</f>
        <v>83.9</v>
      </c>
      <c r="Q89" s="670">
        <v>0.96231222999999999</v>
      </c>
      <c r="R89" s="429">
        <v>4.5703849999999999</v>
      </c>
      <c r="S89" s="328">
        <f>IF(Q89=0, "    ---- ", IF(ABS(ROUND(100/Q89*R89-100,1))&lt;999,ROUND(100/Q89*R89-100,1),IF(ROUND(100/Q89*R89-100,1)&gt;999,999,-999)))</f>
        <v>374.9</v>
      </c>
      <c r="T89" s="192">
        <v>279.52933224999998</v>
      </c>
      <c r="U89" s="432">
        <v>163.01726617</v>
      </c>
      <c r="V89" s="328">
        <f t="shared" si="71"/>
        <v>-41.7</v>
      </c>
      <c r="W89" s="192">
        <v>43.62</v>
      </c>
      <c r="X89" s="432">
        <v>57.32</v>
      </c>
      <c r="Y89" s="328">
        <f t="shared" si="48"/>
        <v>31.4</v>
      </c>
      <c r="Z89" s="192"/>
      <c r="AA89" s="432"/>
      <c r="AB89" s="328"/>
      <c r="AC89" s="192">
        <v>0.29482879000000001</v>
      </c>
      <c r="AD89" s="432">
        <v>0</v>
      </c>
      <c r="AE89" s="328">
        <f>IF(AC89=0, "    ---- ", IF(ABS(ROUND(100/AC89*AD89-100,1))&lt;999,ROUND(100/AC89*AD89-100,1),IF(ROUND(100/AC89*AD89-100,1)&gt;999,999,-999)))</f>
        <v>-100</v>
      </c>
      <c r="AF89" s="192">
        <v>32.006999999999998</v>
      </c>
      <c r="AG89" s="432">
        <v>32.055999999999997</v>
      </c>
      <c r="AH89" s="328">
        <f t="shared" si="50"/>
        <v>0.2</v>
      </c>
      <c r="AI89" s="192">
        <v>163</v>
      </c>
      <c r="AJ89" s="432">
        <v>693</v>
      </c>
      <c r="AK89" s="328">
        <f t="shared" si="51"/>
        <v>325.2</v>
      </c>
      <c r="AL89" s="432"/>
      <c r="AM89" s="432">
        <v>0</v>
      </c>
      <c r="AN89" s="328" t="str">
        <f>IF(AL89=0, "    ---- ", IF(ABS(ROUND(100/AL89*AM89-100,1))&lt;999,ROUND(100/AL89*AM89-100,1),IF(ROUND(100/AL89*AM89-100,1)&gt;999,999,-999)))</f>
        <v xml:space="preserve">    ---- </v>
      </c>
      <c r="AO89" s="430">
        <f t="shared" si="72"/>
        <v>725.17659638999987</v>
      </c>
      <c r="AP89" s="430">
        <f t="shared" si="73"/>
        <v>1121.4416070899999</v>
      </c>
      <c r="AQ89" s="433">
        <f t="shared" si="46"/>
        <v>54.6</v>
      </c>
    </row>
    <row r="90" spans="1:43" s="452" customFormat="1" ht="20.100000000000001" customHeight="1" x14ac:dyDescent="0.3">
      <c r="A90" s="446"/>
      <c r="B90" s="192"/>
      <c r="C90" s="432"/>
      <c r="D90" s="328"/>
      <c r="E90" s="192"/>
      <c r="F90" s="432"/>
      <c r="G90" s="328"/>
      <c r="H90" s="192"/>
      <c r="I90" s="432"/>
      <c r="J90" s="328"/>
      <c r="K90" s="192"/>
      <c r="L90" s="432"/>
      <c r="M90" s="328"/>
      <c r="N90" s="192"/>
      <c r="O90" s="432"/>
      <c r="P90" s="328"/>
      <c r="Q90" s="670"/>
      <c r="R90" s="429"/>
      <c r="S90" s="328"/>
      <c r="T90" s="192"/>
      <c r="U90" s="432"/>
      <c r="V90" s="328"/>
      <c r="W90" s="192"/>
      <c r="X90" s="432"/>
      <c r="Y90" s="328"/>
      <c r="Z90" s="192"/>
      <c r="AA90" s="432"/>
      <c r="AB90" s="328"/>
      <c r="AC90" s="192"/>
      <c r="AD90" s="432"/>
      <c r="AE90" s="328"/>
      <c r="AF90" s="192"/>
      <c r="AG90" s="432"/>
      <c r="AH90" s="328"/>
      <c r="AI90" s="192"/>
      <c r="AJ90" s="432"/>
      <c r="AK90" s="328"/>
      <c r="AL90" s="432"/>
      <c r="AM90" s="432"/>
      <c r="AN90" s="328"/>
      <c r="AO90" s="424"/>
      <c r="AP90" s="424"/>
      <c r="AQ90" s="433"/>
    </row>
    <row r="91" spans="1:43" s="476" customFormat="1" ht="20.100000000000001" customHeight="1" x14ac:dyDescent="0.3">
      <c r="A91" s="449" t="s">
        <v>245</v>
      </c>
      <c r="B91" s="195">
        <f>SUM(B68+B69+B71+B79+B85+B86+B87+B88+B89)</f>
        <v>27737.599999999999</v>
      </c>
      <c r="C91" s="438">
        <f>SUM(C68+C69+C71+C79+C85+C86+C87+C88+C89)</f>
        <v>30986.781000000003</v>
      </c>
      <c r="D91" s="439">
        <f>IF(B91=0, "    ---- ", IF(ABS(ROUND(100/B91*C91-100,1))&lt;999,ROUND(100/B91*C91-100,1),IF(ROUND(100/B91*C91-100,1)&gt;999,999,-999)))</f>
        <v>11.7</v>
      </c>
      <c r="E91" s="195">
        <f>SUM(E68+E69+E71+E79+E85+E86+E87+E88+E89)</f>
        <v>360120.46560007997</v>
      </c>
      <c r="F91" s="438">
        <f>SUM(F68+F69+F71+F79+F85+F86+F87+F88+F89)</f>
        <v>372178.80173900008</v>
      </c>
      <c r="G91" s="439">
        <f t="shared" si="43"/>
        <v>3.3</v>
      </c>
      <c r="H91" s="195">
        <f>SUM(H68+H69+H71+H79+H85+H86+H87+H88+H89)</f>
        <v>10986.341019309999</v>
      </c>
      <c r="I91" s="438">
        <f>SUM(I68+I69+I71+I79+I85+I86+I87+I88+I89)</f>
        <v>12103.556937920001</v>
      </c>
      <c r="J91" s="439">
        <f>IF(H91=0, "    ---- ", IF(ABS(ROUND(100/H91*I91-100,1))&lt;999,ROUND(100/H91*I91-100,1),IF(ROUND(100/H91*I91-100,1)&gt;999,999,-999)))</f>
        <v>10.199999999999999</v>
      </c>
      <c r="K91" s="195">
        <f>SUM(K68+K69+K71+K79+K85+K86+K87+K88+K89)</f>
        <v>2369.2060000000001</v>
      </c>
      <c r="L91" s="438">
        <f>SUM(L68+L69+L71+L79+L85+L86+L87+L88+L89)</f>
        <v>2372.88</v>
      </c>
      <c r="M91" s="439">
        <f>IF(K91=0, "    ---- ", IF(ABS(ROUND(100/K91*L91-100,1))&lt;999,ROUND(100/K91*L91-100,1),IF(ROUND(100/K91*L91-100,1)&gt;999,999,-999)))</f>
        <v>0.2</v>
      </c>
      <c r="N91" s="195">
        <f>SUM(N68+N69+N71+N79+N85+N86+N87+N88+N89)</f>
        <v>45804.3</v>
      </c>
      <c r="O91" s="438">
        <f>SUM(O68+O69+O71+O79+O85+O86+O87+O88+O89)</f>
        <v>52812</v>
      </c>
      <c r="P91" s="439">
        <f>IF(N91=0, "    ---- ", IF(ABS(ROUND(100/N91*O91-100,1))&lt;999,ROUND(100/N91*O91-100,1),IF(ROUND(100/N91*O91-100,1)&gt;999,999,-999)))</f>
        <v>15.3</v>
      </c>
      <c r="Q91" s="671">
        <f>SUM(Q68+Q69+Q71+Q79+Q85+Q86+Q87+Q88+Q89)</f>
        <v>157.74681720000001</v>
      </c>
      <c r="R91" s="672">
        <f>SUM(R68+R69+R71+R79+R85+R86+R87+R88+R89)</f>
        <v>167.64422099999999</v>
      </c>
      <c r="S91" s="439">
        <f>IF(Q91=0, "    ---- ", IF(ABS(ROUND(100/Q91*R91-100,1))&lt;999,ROUND(100/Q91*R91-100,1),IF(ROUND(100/Q91*R91-100,1)&gt;999,999,-999)))</f>
        <v>6.3</v>
      </c>
      <c r="T91" s="195">
        <f>SUM(T68+T69+T71+T79+T85+T86+T87+T88+T89)</f>
        <v>650623.37779500009</v>
      </c>
      <c r="U91" s="438">
        <v>710467.01434992999</v>
      </c>
      <c r="V91" s="439">
        <f t="shared" si="71"/>
        <v>9.1999999999999993</v>
      </c>
      <c r="W91" s="195">
        <f>SUM(W68+W69+W71+W79+W85+W86+W87+W88+W89)</f>
        <v>172215.92</v>
      </c>
      <c r="X91" s="438">
        <f>SUM(X68+X69+X71+X79+X85+X86+X87+X88+X89)</f>
        <v>191603.51</v>
      </c>
      <c r="Y91" s="439">
        <f t="shared" si="48"/>
        <v>11.3</v>
      </c>
      <c r="Z91" s="195">
        <f>SUM(Z68+Z69+Z71+Z79+Z85+Z86+Z87+Z88+Z89)</f>
        <v>116549</v>
      </c>
      <c r="AA91" s="438">
        <f>SUM(AA68+AA69+AA71+AA79+AA85+AA86+AA87+AA88+AA89)</f>
        <v>125404</v>
      </c>
      <c r="AB91" s="439">
        <f>IF(Z91=0, "    ---- ", IF(ABS(ROUND(100/Z91*AA91-100,1))&lt;999,ROUND(100/Z91*AA91-100,1),IF(ROUND(100/Z91*AA91-100,1)&gt;999,999,-999)))</f>
        <v>7.6</v>
      </c>
      <c r="AC91" s="195">
        <f>SUM(AC68+AC69+AC71+AC79+AC85+AC86+AC87+AC88+AC89)</f>
        <v>3147.5923068100001</v>
      </c>
      <c r="AD91" s="438">
        <f>SUM(AD68+AD69+AD71+AD79+AD85+AD86+AD87+AD88+AD89)</f>
        <v>3029.7542646300003</v>
      </c>
      <c r="AE91" s="439">
        <f>IF(AC91=0, "    ---- ", IF(ABS(ROUND(100/AC91*AD91-100,1))&lt;999,ROUND(100/AC91*AD91-100,1),IF(ROUND(100/AC91*AD91-100,1)&gt;999,999,-999)))</f>
        <v>-3.7</v>
      </c>
      <c r="AF91" s="195">
        <f>SUM(AF68+AF69+AF71+AF79+AF85+AF86+AF87+AF88+AF89)</f>
        <v>77098.079004779996</v>
      </c>
      <c r="AG91" s="438">
        <f>SUM(AG68+AG69+AG71+AG79+AG85+AG86+AG87+AG88+AG89)</f>
        <v>85983.82117268999</v>
      </c>
      <c r="AH91" s="439">
        <f t="shared" si="50"/>
        <v>11.5</v>
      </c>
      <c r="AI91" s="195">
        <f>SUM(AI68+AI69+AI71+AI79+AI85+AI86+AI87+AI88+AI89)</f>
        <v>390310</v>
      </c>
      <c r="AJ91" s="438">
        <f>SUM(AJ68+AJ69+AJ71+AJ79+AJ85+AJ86+AJ87+AJ88+AJ89)</f>
        <v>406065</v>
      </c>
      <c r="AK91" s="439">
        <f t="shared" si="51"/>
        <v>4</v>
      </c>
      <c r="AL91" s="438"/>
      <c r="AM91" s="438">
        <f>SUM(AM68+AM69+AM71+AM79+AM85+AM86+AM87+AM88+AM89)</f>
        <v>4</v>
      </c>
      <c r="AN91" s="439" t="str">
        <f>IF(AL91=0, "    ---- ", IF(ABS(ROUND(100/AL91*AM91-100,1))&lt;999,ROUND(100/AL91*AM91-100,1),IF(ROUND(100/AL91*AM91-100,1)&gt;999,999,-999)))</f>
        <v xml:space="preserve">    ---- </v>
      </c>
      <c r="AO91" s="574">
        <f>B91+E91+H91+K91+N91+Q91+T91+AL91+W91+Z91+AC91+AF91+AI91</f>
        <v>1857119.6285431799</v>
      </c>
      <c r="AP91" s="574">
        <f>C91+F91+I91+L91+O91+R91+U91+AM91+X91+AA91+AD91+AG91+AJ91</f>
        <v>1993178.7636851701</v>
      </c>
      <c r="AQ91" s="440">
        <f t="shared" si="46"/>
        <v>7.3</v>
      </c>
    </row>
    <row r="92" spans="1:43" ht="18.75" customHeight="1" x14ac:dyDescent="0.3">
      <c r="A92" s="450" t="s">
        <v>246</v>
      </c>
      <c r="B92" s="450"/>
      <c r="T92" s="450"/>
      <c r="U92" s="452"/>
      <c r="X92" s="453"/>
      <c r="Y92" s="453"/>
      <c r="Z92" s="453"/>
      <c r="AA92" s="453"/>
      <c r="AB92" s="453"/>
      <c r="AC92" s="453"/>
      <c r="AD92" s="453"/>
      <c r="AE92" s="453"/>
      <c r="AF92" s="450"/>
      <c r="AI92" s="450"/>
    </row>
    <row r="93" spans="1:43" ht="18.75" customHeight="1" x14ac:dyDescent="0.3">
      <c r="A93" s="450" t="s">
        <v>247</v>
      </c>
      <c r="T93" s="450"/>
      <c r="U93" s="452"/>
      <c r="X93" s="453"/>
      <c r="Y93" s="453"/>
      <c r="Z93" s="453"/>
      <c r="AA93" s="453"/>
      <c r="AB93" s="453"/>
      <c r="AC93" s="453"/>
      <c r="AD93" s="453"/>
      <c r="AE93" s="453"/>
      <c r="AF93" s="450"/>
      <c r="AI93" s="450"/>
    </row>
    <row r="94" spans="1:43" s="454" customFormat="1" ht="18.75" customHeight="1" x14ac:dyDescent="0.3">
      <c r="A94" s="450" t="s">
        <v>248</v>
      </c>
      <c r="T94" s="450"/>
      <c r="U94" s="450"/>
      <c r="Y94" s="455"/>
      <c r="Z94" s="455"/>
      <c r="AA94" s="455"/>
      <c r="AB94" s="455"/>
      <c r="AC94" s="455"/>
      <c r="AD94" s="455"/>
      <c r="AE94" s="455"/>
    </row>
    <row r="95" spans="1:43" s="454" customFormat="1" ht="18.75" x14ac:dyDescent="0.3">
      <c r="T95" s="450"/>
      <c r="U95" s="450"/>
    </row>
    <row r="96" spans="1:43" s="454" customFormat="1" ht="18.75" x14ac:dyDescent="0.3">
      <c r="T96" s="450"/>
      <c r="U96" s="450"/>
    </row>
    <row r="97" spans="20:21" s="454" customFormat="1" ht="18.75" x14ac:dyDescent="0.3">
      <c r="T97" s="450"/>
      <c r="U97" s="450"/>
    </row>
    <row r="98" spans="20:21" s="454" customFormat="1" ht="18.75" x14ac:dyDescent="0.3">
      <c r="T98" s="450"/>
      <c r="U98" s="450"/>
    </row>
    <row r="99" spans="20:21" s="454" customFormat="1" ht="18.75" x14ac:dyDescent="0.3">
      <c r="T99" s="450"/>
      <c r="U99" s="450"/>
    </row>
    <row r="100" spans="20:21" s="454" customFormat="1" ht="18.75" x14ac:dyDescent="0.3">
      <c r="T100" s="450"/>
      <c r="U100" s="450"/>
    </row>
    <row r="101" spans="20:21" s="454" customFormat="1" ht="18.75" x14ac:dyDescent="0.3">
      <c r="T101" s="450"/>
      <c r="U101" s="450"/>
    </row>
    <row r="102" spans="20:21" s="454" customFormat="1" ht="18.75" x14ac:dyDescent="0.3">
      <c r="T102" s="450"/>
      <c r="U102" s="450"/>
    </row>
    <row r="103" spans="20:21" s="454" customFormat="1" ht="18.75" x14ac:dyDescent="0.3">
      <c r="T103" s="450"/>
      <c r="U103" s="450"/>
    </row>
    <row r="104" spans="20:21" s="454" customFormat="1" ht="18.75" x14ac:dyDescent="0.3">
      <c r="T104" s="450"/>
      <c r="U104" s="450"/>
    </row>
    <row r="105" spans="20:21" s="454" customFormat="1" ht="18.75" x14ac:dyDescent="0.3">
      <c r="T105" s="450"/>
      <c r="U105" s="450"/>
    </row>
    <row r="106" spans="20:21" s="454" customFormat="1" ht="18.75" x14ac:dyDescent="0.3">
      <c r="T106" s="450"/>
      <c r="U106" s="450"/>
    </row>
    <row r="107" spans="20:21" s="454" customFormat="1" ht="18.75" x14ac:dyDescent="0.3">
      <c r="T107" s="450"/>
      <c r="U107" s="450"/>
    </row>
    <row r="108" spans="20:21" s="454" customFormat="1" ht="18.75" x14ac:dyDescent="0.3">
      <c r="T108" s="450"/>
      <c r="U108" s="450"/>
    </row>
    <row r="109" spans="20:21" s="454" customFormat="1" ht="18.75" x14ac:dyDescent="0.3">
      <c r="T109" s="450"/>
      <c r="U109" s="450"/>
    </row>
    <row r="110" spans="20:21" s="454" customFormat="1" ht="18.75" x14ac:dyDescent="0.3">
      <c r="T110" s="450"/>
      <c r="U110" s="450"/>
    </row>
    <row r="111" spans="20:21" s="478" customFormat="1" ht="15.75" x14ac:dyDescent="0.25">
      <c r="T111" s="477"/>
      <c r="U111" s="477"/>
    </row>
    <row r="112" spans="20:21" s="478" customFormat="1" ht="15.75" x14ac:dyDescent="0.25">
      <c r="T112" s="477"/>
      <c r="U112" s="477"/>
    </row>
    <row r="113" spans="20:21" x14ac:dyDescent="0.2">
      <c r="T113" s="452"/>
      <c r="U113" s="452"/>
    </row>
    <row r="114" spans="20:21" x14ac:dyDescent="0.2">
      <c r="T114" s="452"/>
      <c r="U114" s="452"/>
    </row>
    <row r="115" spans="20:21" x14ac:dyDescent="0.2">
      <c r="T115" s="452"/>
      <c r="U115" s="452"/>
    </row>
    <row r="116" spans="20:21" x14ac:dyDescent="0.2">
      <c r="T116" s="452"/>
      <c r="U116" s="452"/>
    </row>
    <row r="117" spans="20:21" x14ac:dyDescent="0.2">
      <c r="T117" s="452"/>
      <c r="U117" s="452"/>
    </row>
    <row r="118" spans="20:21" x14ac:dyDescent="0.2">
      <c r="T118" s="452"/>
      <c r="U118" s="452"/>
    </row>
    <row r="119" spans="20:21" x14ac:dyDescent="0.2">
      <c r="T119" s="452"/>
      <c r="U119" s="452"/>
    </row>
    <row r="120" spans="20:21" x14ac:dyDescent="0.2">
      <c r="T120" s="452"/>
      <c r="U120" s="452"/>
    </row>
    <row r="121" spans="20:21" x14ac:dyDescent="0.2">
      <c r="T121" s="452"/>
      <c r="U121" s="452"/>
    </row>
    <row r="122" spans="20:21" x14ac:dyDescent="0.2">
      <c r="T122" s="452"/>
      <c r="U122" s="452"/>
    </row>
    <row r="123" spans="20:21" x14ac:dyDescent="0.2">
      <c r="T123" s="452"/>
      <c r="U123" s="452"/>
    </row>
    <row r="124" spans="20:21" x14ac:dyDescent="0.2">
      <c r="T124" s="452"/>
      <c r="U124" s="452"/>
    </row>
    <row r="125" spans="20:21" x14ac:dyDescent="0.2">
      <c r="T125" s="452"/>
      <c r="U125" s="452"/>
    </row>
    <row r="126" spans="20:21" x14ac:dyDescent="0.2">
      <c r="T126" s="452"/>
      <c r="U126" s="452"/>
    </row>
    <row r="127" spans="20:21" x14ac:dyDescent="0.2">
      <c r="T127" s="452"/>
      <c r="U127" s="452"/>
    </row>
    <row r="128" spans="20:21" x14ac:dyDescent="0.2">
      <c r="T128" s="452"/>
      <c r="U128" s="452"/>
    </row>
    <row r="129" spans="20:21" x14ac:dyDescent="0.2">
      <c r="T129" s="452"/>
      <c r="U129" s="452"/>
    </row>
    <row r="130" spans="20:21" x14ac:dyDescent="0.2">
      <c r="T130" s="452"/>
      <c r="U130" s="452"/>
    </row>
  </sheetData>
  <mergeCells count="32">
    <mergeCell ref="B5:D5"/>
    <mergeCell ref="E5:G5"/>
    <mergeCell ref="AW5:AY5"/>
    <mergeCell ref="AZ5:BB5"/>
    <mergeCell ref="Q6:S6"/>
    <mergeCell ref="T6:V6"/>
    <mergeCell ref="W6:Y6"/>
    <mergeCell ref="Z6:AB6"/>
    <mergeCell ref="AC6:AE6"/>
    <mergeCell ref="AW6:AY6"/>
    <mergeCell ref="AZ6:BB6"/>
    <mergeCell ref="AT5:AV5"/>
    <mergeCell ref="B6:D6"/>
    <mergeCell ref="E6:G6"/>
    <mergeCell ref="AL5:AN5"/>
    <mergeCell ref="AL6:AN6"/>
    <mergeCell ref="BC5:BE5"/>
    <mergeCell ref="Z5:AB5"/>
    <mergeCell ref="AI5:AK5"/>
    <mergeCell ref="AO5:AQ5"/>
    <mergeCell ref="H6:J6"/>
    <mergeCell ref="K6:M6"/>
    <mergeCell ref="N6:P6"/>
    <mergeCell ref="H5:J5"/>
    <mergeCell ref="K5:M5"/>
    <mergeCell ref="N5:P5"/>
    <mergeCell ref="BC6:BE6"/>
    <mergeCell ref="AT6:AV6"/>
    <mergeCell ref="AF5:AH5"/>
    <mergeCell ref="AI6:AK6"/>
    <mergeCell ref="AO6:AQ6"/>
    <mergeCell ref="AF6:AH6"/>
  </mergeCells>
  <conditionalFormatting sqref="AL35">
    <cfRule type="expression" dxfId="167" priority="481">
      <formula>#REF! ="35≠36+38"</formula>
    </cfRule>
  </conditionalFormatting>
  <conditionalFormatting sqref="AL39">
    <cfRule type="expression" dxfId="166" priority="482">
      <formula>#REF! ="39≠40+41+42+43+44"</formula>
    </cfRule>
  </conditionalFormatting>
  <conditionalFormatting sqref="AL45">
    <cfRule type="expression" dxfId="165" priority="483">
      <formula>#REF! ="45≠33+34+35+39"</formula>
    </cfRule>
  </conditionalFormatting>
  <conditionalFormatting sqref="AL50">
    <cfRule type="expression" dxfId="164" priority="484">
      <formula>#REF! ="50≠51+53"</formula>
    </cfRule>
  </conditionalFormatting>
  <conditionalFormatting sqref="AL54">
    <cfRule type="expression" dxfId="163" priority="485">
      <formula>#REF! ="54≠55+56+57+58+59"</formula>
    </cfRule>
  </conditionalFormatting>
  <conditionalFormatting sqref="AL60">
    <cfRule type="expression" dxfId="162" priority="486">
      <formula>#REF! ="60≠48+49+50+54"</formula>
    </cfRule>
  </conditionalFormatting>
  <conditionalFormatting sqref="AL62">
    <cfRule type="expression" dxfId="161" priority="487">
      <formula>#REF! ="62≠45+46+60+61"</formula>
    </cfRule>
  </conditionalFormatting>
  <conditionalFormatting sqref="AL64">
    <cfRule type="expression" dxfId="160" priority="488">
      <formula>#REF! ="64≠29+62"</formula>
    </cfRule>
  </conditionalFormatting>
  <conditionalFormatting sqref="AL79">
    <cfRule type="expression" dxfId="159" priority="489">
      <formula>#REF! ="80≠73+74+75+76+77+78+79"</formula>
    </cfRule>
  </conditionalFormatting>
  <conditionalFormatting sqref="AL85">
    <cfRule type="expression" dxfId="158" priority="490">
      <formula>#REF! ="88≠82+83+84+85+86+87"</formula>
    </cfRule>
  </conditionalFormatting>
  <conditionalFormatting sqref="AL91">
    <cfRule type="expression" dxfId="157" priority="491">
      <formula>#REF! = "64≠94"</formula>
    </cfRule>
  </conditionalFormatting>
  <conditionalFormatting sqref="AL91">
    <cfRule type="expression" dxfId="156" priority="492">
      <formula>#REF! = "94≠68+69+71+80+88+89+90+91+92"</formula>
    </cfRule>
  </conditionalFormatting>
  <conditionalFormatting sqref="H35">
    <cfRule type="expression" dxfId="155" priority="325">
      <formula>#REF! ="35≠36+38"</formula>
    </cfRule>
  </conditionalFormatting>
  <conditionalFormatting sqref="H39">
    <cfRule type="expression" dxfId="154" priority="326">
      <formula>#REF! ="39≠40+41+42+43+44"</formula>
    </cfRule>
  </conditionalFormatting>
  <conditionalFormatting sqref="H45">
    <cfRule type="expression" dxfId="153" priority="327">
      <formula>#REF! ="45≠33+34+35+39"</formula>
    </cfRule>
  </conditionalFormatting>
  <conditionalFormatting sqref="H50">
    <cfRule type="expression" dxfId="152" priority="328">
      <formula>#REF! ="50≠51+53"</formula>
    </cfRule>
  </conditionalFormatting>
  <conditionalFormatting sqref="H54">
    <cfRule type="expression" dxfId="151" priority="329">
      <formula>#REF! ="54≠55+56+57+58+59"</formula>
    </cfRule>
  </conditionalFormatting>
  <conditionalFormatting sqref="H60">
    <cfRule type="expression" dxfId="150" priority="330">
      <formula>#REF! ="60≠48+49+50+54"</formula>
    </cfRule>
  </conditionalFormatting>
  <conditionalFormatting sqref="H62">
    <cfRule type="expression" dxfId="149" priority="331">
      <formula>#REF! ="62≠45+46+60+61"</formula>
    </cfRule>
  </conditionalFormatting>
  <conditionalFormatting sqref="H64">
    <cfRule type="expression" dxfId="148" priority="332">
      <formula>#REF! ="64≠29+62"</formula>
    </cfRule>
  </conditionalFormatting>
  <conditionalFormatting sqref="H79">
    <cfRule type="expression" dxfId="147" priority="333">
      <formula>#REF! ="80≠73+74+75+76+77+78+79"</formula>
    </cfRule>
  </conditionalFormatting>
  <conditionalFormatting sqref="H85">
    <cfRule type="expression" dxfId="146" priority="334">
      <formula>#REF! ="88≠82+83+84+85+86+87"</formula>
    </cfRule>
  </conditionalFormatting>
  <conditionalFormatting sqref="H91">
    <cfRule type="expression" dxfId="145" priority="335">
      <formula>#REF! = "64≠94"</formula>
    </cfRule>
  </conditionalFormatting>
  <conditionalFormatting sqref="H91">
    <cfRule type="expression" dxfId="144" priority="336">
      <formula>#REF! = "94≠68+69+71+80+88+89+90+91+92"</formula>
    </cfRule>
  </conditionalFormatting>
  <conditionalFormatting sqref="W35">
    <cfRule type="expression" dxfId="143" priority="301">
      <formula>#REF! ="35≠36+38"</formula>
    </cfRule>
  </conditionalFormatting>
  <conditionalFormatting sqref="W39">
    <cfRule type="expression" dxfId="142" priority="302">
      <formula>#REF! ="39≠40+41+42+43+44"</formula>
    </cfRule>
  </conditionalFormatting>
  <conditionalFormatting sqref="W45">
    <cfRule type="expression" dxfId="141" priority="303">
      <formula>#REF! ="45≠33+34+35+39"</formula>
    </cfRule>
  </conditionalFormatting>
  <conditionalFormatting sqref="W50">
    <cfRule type="expression" dxfId="140" priority="304">
      <formula>#REF! ="50≠51+53"</formula>
    </cfRule>
  </conditionalFormatting>
  <conditionalFormatting sqref="W54">
    <cfRule type="expression" dxfId="139" priority="305">
      <formula>#REF! ="54≠55+56+57+58+59"</formula>
    </cfRule>
  </conditionalFormatting>
  <conditionalFormatting sqref="W60">
    <cfRule type="expression" dxfId="138" priority="306">
      <formula>#REF! ="60≠48+49+50+54"</formula>
    </cfRule>
  </conditionalFormatting>
  <conditionalFormatting sqref="W62">
    <cfRule type="expression" dxfId="137" priority="307">
      <formula>#REF! ="62≠45+46+60+61"</formula>
    </cfRule>
  </conditionalFormatting>
  <conditionalFormatting sqref="W64">
    <cfRule type="expression" dxfId="136" priority="308">
      <formula>#REF! ="64≠29+62"</formula>
    </cfRule>
  </conditionalFormatting>
  <conditionalFormatting sqref="W79">
    <cfRule type="expression" dxfId="135" priority="309">
      <formula>#REF! ="80≠73+74+75+76+77+78+79"</formula>
    </cfRule>
  </conditionalFormatting>
  <conditionalFormatting sqref="W85">
    <cfRule type="expression" dxfId="134" priority="310">
      <formula>#REF! ="88≠82+83+84+85+86+87"</formula>
    </cfRule>
  </conditionalFormatting>
  <conditionalFormatting sqref="W91">
    <cfRule type="expression" dxfId="133" priority="311">
      <formula>#REF! = "64≠94"</formula>
    </cfRule>
  </conditionalFormatting>
  <conditionalFormatting sqref="W91">
    <cfRule type="expression" dxfId="132" priority="312">
      <formula>#REF! = "94≠68+69+71+80+88+89+90+91+92"</formula>
    </cfRule>
  </conditionalFormatting>
  <conditionalFormatting sqref="AF35">
    <cfRule type="expression" dxfId="131" priority="277">
      <formula>#REF! ="35≠36+38"</formula>
    </cfRule>
  </conditionalFormatting>
  <conditionalFormatting sqref="AF39">
    <cfRule type="expression" dxfId="130" priority="278">
      <formula>#REF! ="39≠40+41+42+43+44"</formula>
    </cfRule>
  </conditionalFormatting>
  <conditionalFormatting sqref="AF45">
    <cfRule type="expression" dxfId="129" priority="279">
      <formula>#REF! ="45≠33+34+35+39"</formula>
    </cfRule>
  </conditionalFormatting>
  <conditionalFormatting sqref="AF50">
    <cfRule type="expression" dxfId="128" priority="280">
      <formula>#REF! ="50≠51+53"</formula>
    </cfRule>
  </conditionalFormatting>
  <conditionalFormatting sqref="AF54">
    <cfRule type="expression" dxfId="127" priority="281">
      <formula>#REF! ="54≠55+56+57+58+59"</formula>
    </cfRule>
  </conditionalFormatting>
  <conditionalFormatting sqref="AF60">
    <cfRule type="expression" dxfId="126" priority="282">
      <formula>#REF! ="60≠48+49+50+54"</formula>
    </cfRule>
  </conditionalFormatting>
  <conditionalFormatting sqref="AF62">
    <cfRule type="expression" dxfId="125" priority="283">
      <formula>#REF! ="62≠45+46+60+61"</formula>
    </cfRule>
  </conditionalFormatting>
  <conditionalFormatting sqref="AF64">
    <cfRule type="expression" dxfId="124" priority="284">
      <formula>#REF! ="64≠29+62"</formula>
    </cfRule>
  </conditionalFormatting>
  <conditionalFormatting sqref="AF79">
    <cfRule type="expression" dxfId="123" priority="285">
      <formula>#REF! ="80≠73+74+75+76+77+78+79"</formula>
    </cfRule>
  </conditionalFormatting>
  <conditionalFormatting sqref="AF85">
    <cfRule type="expression" dxfId="122" priority="286">
      <formula>#REF! ="88≠82+83+84+85+86+87"</formula>
    </cfRule>
  </conditionalFormatting>
  <conditionalFormatting sqref="AF91">
    <cfRule type="expression" dxfId="121" priority="287">
      <formula>#REF! = "64≠94"</formula>
    </cfRule>
  </conditionalFormatting>
  <conditionalFormatting sqref="AF91">
    <cfRule type="expression" dxfId="120" priority="288">
      <formula>#REF! = "94≠68+69+71+80+88+89+90+91+92"</formula>
    </cfRule>
  </conditionalFormatting>
  <conditionalFormatting sqref="N35">
    <cfRule type="expression" dxfId="119" priority="253">
      <formula>#REF! ="35≠36+38"</formula>
    </cfRule>
  </conditionalFormatting>
  <conditionalFormatting sqref="N39">
    <cfRule type="expression" dxfId="118" priority="254">
      <formula>#REF! ="39≠40+41+42+43+44"</formula>
    </cfRule>
  </conditionalFormatting>
  <conditionalFormatting sqref="N45">
    <cfRule type="expression" dxfId="117" priority="255">
      <formula>#REF! ="45≠33+34+35+39"</formula>
    </cfRule>
  </conditionalFormatting>
  <conditionalFormatting sqref="N50">
    <cfRule type="expression" dxfId="116" priority="256">
      <formula>#REF! ="50≠51+53"</formula>
    </cfRule>
  </conditionalFormatting>
  <conditionalFormatting sqref="N54">
    <cfRule type="expression" dxfId="115" priority="257">
      <formula>#REF! ="54≠55+56+57+58+59"</formula>
    </cfRule>
  </conditionalFormatting>
  <conditionalFormatting sqref="N60">
    <cfRule type="expression" dxfId="114" priority="258">
      <formula>#REF! ="60≠48+49+50+54"</formula>
    </cfRule>
  </conditionalFormatting>
  <conditionalFormatting sqref="N62">
    <cfRule type="expression" dxfId="113" priority="259">
      <formula>#REF! ="62≠45+46+60+61"</formula>
    </cfRule>
  </conditionalFormatting>
  <conditionalFormatting sqref="N64">
    <cfRule type="expression" dxfId="112" priority="260">
      <formula>#REF! ="64≠29+62"</formula>
    </cfRule>
  </conditionalFormatting>
  <conditionalFormatting sqref="N79">
    <cfRule type="expression" dxfId="111" priority="261">
      <formula>#REF! ="80≠73+74+75+76+77+78+79"</formula>
    </cfRule>
  </conditionalFormatting>
  <conditionalFormatting sqref="N85">
    <cfRule type="expression" dxfId="110" priority="262">
      <formula>#REF! ="88≠82+83+84+85+86+87"</formula>
    </cfRule>
  </conditionalFormatting>
  <conditionalFormatting sqref="N91">
    <cfRule type="expression" dxfId="109" priority="263">
      <formula>#REF! = "64≠94"</formula>
    </cfRule>
  </conditionalFormatting>
  <conditionalFormatting sqref="N91">
    <cfRule type="expression" dxfId="108" priority="264">
      <formula>#REF! = "94≠68+69+71+80+88+89+90+91+92"</formula>
    </cfRule>
  </conditionalFormatting>
  <conditionalFormatting sqref="AI35">
    <cfRule type="expression" dxfId="107" priority="217">
      <formula>#REF! ="35≠36+38"</formula>
    </cfRule>
  </conditionalFormatting>
  <conditionalFormatting sqref="AI39">
    <cfRule type="expression" dxfId="106" priority="218">
      <formula>#REF! ="39≠40+41+42+43+44"</formula>
    </cfRule>
  </conditionalFormatting>
  <conditionalFormatting sqref="AI45">
    <cfRule type="expression" dxfId="105" priority="219">
      <formula>#REF! ="45≠33+34+35+39"</formula>
    </cfRule>
  </conditionalFormatting>
  <conditionalFormatting sqref="AI50">
    <cfRule type="expression" dxfId="104" priority="220">
      <formula>#REF! ="50≠51+53"</formula>
    </cfRule>
  </conditionalFormatting>
  <conditionalFormatting sqref="AI54">
    <cfRule type="expression" dxfId="103" priority="221">
      <formula>#REF! ="54≠55+56+57+58+59"</formula>
    </cfRule>
  </conditionalFormatting>
  <conditionalFormatting sqref="AI60">
    <cfRule type="expression" dxfId="102" priority="222">
      <formula>#REF! ="60≠48+49+50+54"</formula>
    </cfRule>
  </conditionalFormatting>
  <conditionalFormatting sqref="AI62">
    <cfRule type="expression" dxfId="101" priority="223">
      <formula>#REF! ="62≠45+46+60+61"</formula>
    </cfRule>
  </conditionalFormatting>
  <conditionalFormatting sqref="AI64">
    <cfRule type="expression" dxfId="100" priority="224">
      <formula>#REF! ="64≠29+62"</formula>
    </cfRule>
  </conditionalFormatting>
  <conditionalFormatting sqref="AI79">
    <cfRule type="expression" dxfId="99" priority="225">
      <formula>#REF! ="80≠73+74+75+76+77+78+79"</formula>
    </cfRule>
  </conditionalFormatting>
  <conditionalFormatting sqref="AI85">
    <cfRule type="expression" dxfId="98" priority="226">
      <formula>#REF! ="88≠82+83+84+85+86+87"</formula>
    </cfRule>
  </conditionalFormatting>
  <conditionalFormatting sqref="AI91">
    <cfRule type="expression" dxfId="97" priority="227">
      <formula>#REF! = "64≠94"</formula>
    </cfRule>
  </conditionalFormatting>
  <conditionalFormatting sqref="AI91">
    <cfRule type="expression" dxfId="96" priority="228">
      <formula>#REF! = "94≠68+69+71+80+88+89+90+91+92"</formula>
    </cfRule>
  </conditionalFormatting>
  <conditionalFormatting sqref="K35">
    <cfRule type="expression" dxfId="95" priority="193">
      <formula>#REF! ="35≠36+38"</formula>
    </cfRule>
  </conditionalFormatting>
  <conditionalFormatting sqref="K39">
    <cfRule type="expression" dxfId="94" priority="194">
      <formula>#REF! ="39≠40+41+42+43+44"</formula>
    </cfRule>
  </conditionalFormatting>
  <conditionalFormatting sqref="K45">
    <cfRule type="expression" dxfId="93" priority="195">
      <formula>#REF! ="45≠33+34+35+39"</formula>
    </cfRule>
  </conditionalFormatting>
  <conditionalFormatting sqref="K50">
    <cfRule type="expression" dxfId="92" priority="196">
      <formula>#REF! ="50≠51+53"</formula>
    </cfRule>
  </conditionalFormatting>
  <conditionalFormatting sqref="K54">
    <cfRule type="expression" dxfId="91" priority="197">
      <formula>#REF! ="54≠55+56+57+58+59"</formula>
    </cfRule>
  </conditionalFormatting>
  <conditionalFormatting sqref="K60">
    <cfRule type="expression" dxfId="90" priority="198">
      <formula>#REF! ="60≠48+49+50+54"</formula>
    </cfRule>
  </conditionalFormatting>
  <conditionalFormatting sqref="K62">
    <cfRule type="expression" dxfId="89" priority="199">
      <formula>#REF! ="62≠45+46+60+61"</formula>
    </cfRule>
  </conditionalFormatting>
  <conditionalFormatting sqref="K64">
    <cfRule type="expression" dxfId="88" priority="200">
      <formula>#REF! ="64≠29+62"</formula>
    </cfRule>
  </conditionalFormatting>
  <conditionalFormatting sqref="K79">
    <cfRule type="expression" dxfId="87" priority="201">
      <formula>#REF! ="80≠73+74+75+76+77+78+79"</formula>
    </cfRule>
  </conditionalFormatting>
  <conditionalFormatting sqref="K85">
    <cfRule type="expression" dxfId="86" priority="202">
      <formula>#REF! ="88≠82+83+84+85+86+87"</formula>
    </cfRule>
  </conditionalFormatting>
  <conditionalFormatting sqref="K91">
    <cfRule type="expression" dxfId="85" priority="203">
      <formula>#REF! = "64≠94"</formula>
    </cfRule>
  </conditionalFormatting>
  <conditionalFormatting sqref="K91">
    <cfRule type="expression" dxfId="84" priority="204">
      <formula>#REF! = "94≠68+69+71+80+88+89+90+91+92"</formula>
    </cfRule>
  </conditionalFormatting>
  <conditionalFormatting sqref="B35">
    <cfRule type="expression" dxfId="83" priority="169">
      <formula>#REF! ="35≠36+38"</formula>
    </cfRule>
  </conditionalFormatting>
  <conditionalFormatting sqref="B39">
    <cfRule type="expression" dxfId="82" priority="170">
      <formula>#REF! ="39≠40+41+42+43+44"</formula>
    </cfRule>
  </conditionalFormatting>
  <conditionalFormatting sqref="B45">
    <cfRule type="expression" dxfId="81" priority="171">
      <formula>#REF! ="45≠33+34+35+39"</formula>
    </cfRule>
  </conditionalFormatting>
  <conditionalFormatting sqref="B50">
    <cfRule type="expression" dxfId="80" priority="172">
      <formula>#REF! ="50≠51+53"</formula>
    </cfRule>
  </conditionalFormatting>
  <conditionalFormatting sqref="B54">
    <cfRule type="expression" dxfId="79" priority="173">
      <formula>#REF! ="54≠55+56+57+58+59"</formula>
    </cfRule>
  </conditionalFormatting>
  <conditionalFormatting sqref="B60">
    <cfRule type="expression" dxfId="78" priority="174">
      <formula>#REF! ="60≠48+49+50+54"</formula>
    </cfRule>
  </conditionalFormatting>
  <conditionalFormatting sqref="B62">
    <cfRule type="expression" dxfId="77" priority="175">
      <formula>#REF! ="62≠45+46+60+61"</formula>
    </cfRule>
  </conditionalFormatting>
  <conditionalFormatting sqref="B64">
    <cfRule type="expression" dxfId="76" priority="176">
      <formula>#REF! ="64≠29+62"</formula>
    </cfRule>
  </conditionalFormatting>
  <conditionalFormatting sqref="B79">
    <cfRule type="expression" dxfId="75" priority="177">
      <formula>#REF! ="80≠73+74+75+76+77+78+79"</formula>
    </cfRule>
  </conditionalFormatting>
  <conditionalFormatting sqref="B85">
    <cfRule type="expression" dxfId="74" priority="178">
      <formula>#REF! ="88≠82+83+84+85+86+87"</formula>
    </cfRule>
  </conditionalFormatting>
  <conditionalFormatting sqref="B91">
    <cfRule type="expression" dxfId="73" priority="179">
      <formula>#REF! = "64≠94"</formula>
    </cfRule>
  </conditionalFormatting>
  <conditionalFormatting sqref="B91">
    <cfRule type="expression" dxfId="72" priority="180">
      <formula>#REF! = "94≠68+69+71+80+88+89+90+91+92"</formula>
    </cfRule>
  </conditionalFormatting>
  <conditionalFormatting sqref="E35">
    <cfRule type="expression" dxfId="71" priority="145">
      <formula>#REF! ="35≠36+38"</formula>
    </cfRule>
  </conditionalFormatting>
  <conditionalFormatting sqref="E39">
    <cfRule type="expression" dxfId="70" priority="146">
      <formula>#REF! ="39≠40+41+42+43+44"</formula>
    </cfRule>
  </conditionalFormatting>
  <conditionalFormatting sqref="E45">
    <cfRule type="expression" dxfId="69" priority="147">
      <formula>#REF! ="45≠33+34+35+39"</formula>
    </cfRule>
  </conditionalFormatting>
  <conditionalFormatting sqref="E50">
    <cfRule type="expression" dxfId="68" priority="148">
      <formula>#REF! ="50≠51+53"</formula>
    </cfRule>
  </conditionalFormatting>
  <conditionalFormatting sqref="E54">
    <cfRule type="expression" dxfId="67" priority="149">
      <formula>#REF! ="54≠55+56+57+58+59"</formula>
    </cfRule>
  </conditionalFormatting>
  <conditionalFormatting sqref="E60">
    <cfRule type="expression" dxfId="66" priority="150">
      <formula>#REF! ="60≠48+49+50+54"</formula>
    </cfRule>
  </conditionalFormatting>
  <conditionalFormatting sqref="E62">
    <cfRule type="expression" dxfId="65" priority="151">
      <formula>#REF! ="62≠45+46+60+61"</formula>
    </cfRule>
  </conditionalFormatting>
  <conditionalFormatting sqref="E64">
    <cfRule type="expression" dxfId="64" priority="152">
      <formula>#REF! ="64≠29+62"</formula>
    </cfRule>
  </conditionalFormatting>
  <conditionalFormatting sqref="E79">
    <cfRule type="expression" dxfId="63" priority="153">
      <formula>#REF! ="80≠73+74+75+76+77+78+79"</formula>
    </cfRule>
  </conditionalFormatting>
  <conditionalFormatting sqref="E85">
    <cfRule type="expression" dxfId="62" priority="154">
      <formula>#REF! ="88≠82+83+84+85+86+87"</formula>
    </cfRule>
  </conditionalFormatting>
  <conditionalFormatting sqref="E91">
    <cfRule type="expression" dxfId="61" priority="155">
      <formula>#REF! = "64≠94"</formula>
    </cfRule>
  </conditionalFormatting>
  <conditionalFormatting sqref="E91">
    <cfRule type="expression" dxfId="60" priority="156">
      <formula>#REF! = "94≠68+69+71+80+88+89+90+91+92"</formula>
    </cfRule>
  </conditionalFormatting>
  <conditionalFormatting sqref="T35">
    <cfRule type="expression" dxfId="59" priority="97">
      <formula>#REF! ="35≠36+38"</formula>
    </cfRule>
  </conditionalFormatting>
  <conditionalFormatting sqref="T39">
    <cfRule type="expression" dxfId="58" priority="98">
      <formula>#REF! ="39≠40+41+42+43+44"</formula>
    </cfRule>
  </conditionalFormatting>
  <conditionalFormatting sqref="T45">
    <cfRule type="expression" dxfId="57" priority="99">
      <formula>#REF! ="45≠33+34+35+39"</formula>
    </cfRule>
  </conditionalFormatting>
  <conditionalFormatting sqref="T50">
    <cfRule type="expression" dxfId="56" priority="100">
      <formula>#REF! ="50≠51+53"</formula>
    </cfRule>
  </conditionalFormatting>
  <conditionalFormatting sqref="T54">
    <cfRule type="expression" dxfId="55" priority="101">
      <formula>#REF! ="54≠55+56+57+58+59"</formula>
    </cfRule>
  </conditionalFormatting>
  <conditionalFormatting sqref="T60">
    <cfRule type="expression" dxfId="54" priority="102">
      <formula>#REF! ="60≠48+49+50+54"</formula>
    </cfRule>
  </conditionalFormatting>
  <conditionalFormatting sqref="T62">
    <cfRule type="expression" dxfId="53" priority="103">
      <formula>#REF! ="62≠45+46+60+61"</formula>
    </cfRule>
  </conditionalFormatting>
  <conditionalFormatting sqref="T64">
    <cfRule type="expression" dxfId="52" priority="104">
      <formula>#REF! ="64≠29+62"</formula>
    </cfRule>
  </conditionalFormatting>
  <conditionalFormatting sqref="T79">
    <cfRule type="expression" dxfId="51" priority="105">
      <formula>#REF! ="80≠73+74+75+76+77+78+79"</formula>
    </cfRule>
  </conditionalFormatting>
  <conditionalFormatting sqref="T85">
    <cfRule type="expression" dxfId="50" priority="106">
      <formula>#REF! ="88≠82+83+84+85+86+87"</formula>
    </cfRule>
  </conditionalFormatting>
  <conditionalFormatting sqref="T91">
    <cfRule type="expression" dxfId="49" priority="107">
      <formula>#REF! = "64≠94"</formula>
    </cfRule>
  </conditionalFormatting>
  <conditionalFormatting sqref="T91">
    <cfRule type="expression" dxfId="48" priority="108">
      <formula>#REF! = "94≠68+69+71+80+88+89+90+91+92"</formula>
    </cfRule>
  </conditionalFormatting>
  <conditionalFormatting sqref="Q35">
    <cfRule type="expression" dxfId="47" priority="85">
      <formula>#REF! ="35≠36+38"</formula>
    </cfRule>
  </conditionalFormatting>
  <conditionalFormatting sqref="Q39">
    <cfRule type="expression" dxfId="46" priority="86">
      <formula>#REF! ="39≠40+41+42+43+44"</formula>
    </cfRule>
  </conditionalFormatting>
  <conditionalFormatting sqref="Q45">
    <cfRule type="expression" dxfId="45" priority="87">
      <formula>#REF! ="45≠33+34+35+39"</formula>
    </cfRule>
  </conditionalFormatting>
  <conditionalFormatting sqref="Q50">
    <cfRule type="expression" dxfId="44" priority="88">
      <formula>#REF! ="50≠51+53"</formula>
    </cfRule>
  </conditionalFormatting>
  <conditionalFormatting sqref="Q54">
    <cfRule type="expression" dxfId="43" priority="89">
      <formula>#REF! ="54≠55+56+57+58+59"</formula>
    </cfRule>
  </conditionalFormatting>
  <conditionalFormatting sqref="Q60">
    <cfRule type="expression" dxfId="42" priority="90">
      <formula>#REF! ="60≠48+49+50+54"</formula>
    </cfRule>
  </conditionalFormatting>
  <conditionalFormatting sqref="Q62">
    <cfRule type="expression" dxfId="41" priority="91">
      <formula>#REF! ="62≠45+46+60+61"</formula>
    </cfRule>
  </conditionalFormatting>
  <conditionalFormatting sqref="Q64">
    <cfRule type="expression" dxfId="40" priority="92">
      <formula>#REF! ="64≠29+62"</formula>
    </cfRule>
  </conditionalFormatting>
  <conditionalFormatting sqref="Q79">
    <cfRule type="expression" dxfId="39" priority="93">
      <formula>#REF! ="80≠73+74+75+76+77+78+79"</formula>
    </cfRule>
  </conditionalFormatting>
  <conditionalFormatting sqref="Q85">
    <cfRule type="expression" dxfId="38" priority="94">
      <formula>#REF! ="88≠82+83+84+85+86+87"</formula>
    </cfRule>
  </conditionalFormatting>
  <conditionalFormatting sqref="Q91">
    <cfRule type="expression" dxfId="37" priority="95">
      <formula>#REF! = "64≠94"</formula>
    </cfRule>
  </conditionalFormatting>
  <conditionalFormatting sqref="Q91">
    <cfRule type="expression" dxfId="36" priority="96">
      <formula>#REF! = "94≠68+69+71+80+88+89+90+91+92"</formula>
    </cfRule>
  </conditionalFormatting>
  <conditionalFormatting sqref="Z35">
    <cfRule type="expression" dxfId="35" priority="49">
      <formula>#REF! ="35≠36+38"</formula>
    </cfRule>
  </conditionalFormatting>
  <conditionalFormatting sqref="Z39">
    <cfRule type="expression" dxfId="34" priority="50">
      <formula>#REF! ="39≠40+41+42+43+44"</formula>
    </cfRule>
  </conditionalFormatting>
  <conditionalFormatting sqref="Z45">
    <cfRule type="expression" dxfId="33" priority="51">
      <formula>#REF! ="45≠33+34+35+39"</formula>
    </cfRule>
  </conditionalFormatting>
  <conditionalFormatting sqref="Z50">
    <cfRule type="expression" dxfId="32" priority="52">
      <formula>#REF! ="50≠51+53"</formula>
    </cfRule>
  </conditionalFormatting>
  <conditionalFormatting sqref="Z54">
    <cfRule type="expression" dxfId="31" priority="53">
      <formula>#REF! ="54≠55+56+57+58+59"</formula>
    </cfRule>
  </conditionalFormatting>
  <conditionalFormatting sqref="Z60">
    <cfRule type="expression" dxfId="30" priority="54">
      <formula>#REF! ="60≠48+49+50+54"</formula>
    </cfRule>
  </conditionalFormatting>
  <conditionalFormatting sqref="Z62">
    <cfRule type="expression" dxfId="29" priority="55">
      <formula>#REF! ="62≠45+46+60+61"</formula>
    </cfRule>
  </conditionalFormatting>
  <conditionalFormatting sqref="Z64">
    <cfRule type="expression" dxfId="28" priority="56">
      <formula>#REF! ="64≠29+62"</formula>
    </cfRule>
  </conditionalFormatting>
  <conditionalFormatting sqref="Z79">
    <cfRule type="expression" dxfId="27" priority="57">
      <formula>#REF! ="80≠73+74+75+76+77+78+79"</formula>
    </cfRule>
  </conditionalFormatting>
  <conditionalFormatting sqref="Z85">
    <cfRule type="expression" dxfId="26" priority="58">
      <formula>#REF! ="88≠82+83+84+85+86+87"</formula>
    </cfRule>
  </conditionalFormatting>
  <conditionalFormatting sqref="Z91">
    <cfRule type="expression" dxfId="25" priority="59">
      <formula>#REF! = "64≠94"</formula>
    </cfRule>
  </conditionalFormatting>
  <conditionalFormatting sqref="Z91">
    <cfRule type="expression" dxfId="24" priority="60">
      <formula>#REF! = "94≠68+69+71+80+88+89+90+91+92"</formula>
    </cfRule>
  </conditionalFormatting>
  <conditionalFormatting sqref="AC35">
    <cfRule type="expression" dxfId="23" priority="13">
      <formula>#REF! ="35≠36+38"</formula>
    </cfRule>
  </conditionalFormatting>
  <conditionalFormatting sqref="AC39">
    <cfRule type="expression" dxfId="22" priority="14">
      <formula>#REF! ="39≠40+41+42+43+44"</formula>
    </cfRule>
  </conditionalFormatting>
  <conditionalFormatting sqref="AC45">
    <cfRule type="expression" dxfId="21" priority="15">
      <formula>#REF! ="45≠33+34+35+39"</formula>
    </cfRule>
  </conditionalFormatting>
  <conditionalFormatting sqref="AC50">
    <cfRule type="expression" dxfId="20" priority="16">
      <formula>#REF! ="50≠51+53"</formula>
    </cfRule>
  </conditionalFormatting>
  <conditionalFormatting sqref="AC54">
    <cfRule type="expression" dxfId="19" priority="17">
      <formula>#REF! ="54≠55+56+57+58+59"</formula>
    </cfRule>
  </conditionalFormatting>
  <conditionalFormatting sqref="AC60">
    <cfRule type="expression" dxfId="18" priority="18">
      <formula>#REF! ="60≠48+49+50+54"</formula>
    </cfRule>
  </conditionalFormatting>
  <conditionalFormatting sqref="AC62">
    <cfRule type="expression" dxfId="17" priority="19">
      <formula>#REF! ="62≠45+46+60+61"</formula>
    </cfRule>
  </conditionalFormatting>
  <conditionalFormatting sqref="AC64">
    <cfRule type="expression" dxfId="16" priority="20">
      <formula>#REF! ="64≠29+62"</formula>
    </cfRule>
  </conditionalFormatting>
  <conditionalFormatting sqref="AC79">
    <cfRule type="expression" dxfId="15" priority="21">
      <formula>#REF! ="80≠73+74+75+76+77+78+79"</formula>
    </cfRule>
  </conditionalFormatting>
  <conditionalFormatting sqref="AC85">
    <cfRule type="expression" dxfId="14" priority="22">
      <formula>#REF! ="88≠82+83+84+85+86+87"</formula>
    </cfRule>
  </conditionalFormatting>
  <conditionalFormatting sqref="AC91">
    <cfRule type="expression" dxfId="13" priority="23">
      <formula>#REF! = "64≠94"</formula>
    </cfRule>
  </conditionalFormatting>
  <conditionalFormatting sqref="AC91">
    <cfRule type="expression" dxfId="12" priority="24">
      <formula>#REF! = "94≠68+69+71+80+88+89+90+91+92"</formula>
    </cfRule>
  </conditionalFormatting>
  <conditionalFormatting sqref="I35 X35 AG35 O35 AM35 AJ35 L35 C35 F35 U35 R35 AA35 AD35">
    <cfRule type="expression" dxfId="11" priority="1344">
      <formula>#REF! ="35≠36+38"</formula>
    </cfRule>
  </conditionalFormatting>
  <conditionalFormatting sqref="I39 X39 AG39 O39 AM39 AJ39 L39 C39 F39 U39 R39 AA39 AD39">
    <cfRule type="expression" dxfId="10" priority="1345">
      <formula>#REF! ="39≠40+41+42+43+44"</formula>
    </cfRule>
  </conditionalFormatting>
  <conditionalFormatting sqref="I45 X45 AG45 O45 AM45 AJ45 L45 C45 F45 U45 R45 AA45 AD45">
    <cfRule type="expression" dxfId="9" priority="1346">
      <formula>#REF! ="45≠33+34+35+39"</formula>
    </cfRule>
  </conditionalFormatting>
  <conditionalFormatting sqref="I50 X50 AG50 O50 AM50 AJ50 L50 C50 F50 U50 R50 AA50 AD50">
    <cfRule type="expression" dxfId="8" priority="1347">
      <formula>#REF! ="50≠51+53"</formula>
    </cfRule>
  </conditionalFormatting>
  <conditionalFormatting sqref="I54 X54 AG54 O54 AM54 AJ54 L54 C54 F54 U54 R54 AA54 AD54">
    <cfRule type="expression" dxfId="7" priority="1348">
      <formula>#REF! ="54≠55+56+57+58+59"</formula>
    </cfRule>
  </conditionalFormatting>
  <conditionalFormatting sqref="I60 X60 AG60 O60 AM60 AJ60 L60 C60 F60 U60 R60 AA60 AD60">
    <cfRule type="expression" dxfId="6" priority="1349">
      <formula>#REF! ="60≠48+49+50+54"</formula>
    </cfRule>
  </conditionalFormatting>
  <conditionalFormatting sqref="I62 X62 AG62 O62 AM62 AJ62 L62 C62 F62 U62 R62 AA62 AD62">
    <cfRule type="expression" dxfId="5" priority="1350">
      <formula>#REF! ="62≠45+46+60+61"</formula>
    </cfRule>
  </conditionalFormatting>
  <conditionalFormatting sqref="I64 X64 AG64 O64 AM64 AJ64 L64 C64 F64 U64 R64 AA64 AD64">
    <cfRule type="expression" dxfId="4" priority="1351">
      <formula>#REF! ="64≠29+62"</formula>
    </cfRule>
  </conditionalFormatting>
  <conditionalFormatting sqref="I79 X79 AG79 O79 AM79 AJ79 L79 C79 F79 U79 R79 AA79 AD79">
    <cfRule type="expression" dxfId="3" priority="1352">
      <formula>#REF! ="80≠73+74+75+76+77+78+79"</formula>
    </cfRule>
  </conditionalFormatting>
  <conditionalFormatting sqref="I85 X85 AG85 O85 AM85 AJ85 L85 C85 F85 U85 R85 AA85 AD85">
    <cfRule type="expression" dxfId="2" priority="1353">
      <formula>#REF! ="88≠82+83+84+85+86+87"</formula>
    </cfRule>
  </conditionalFormatting>
  <conditionalFormatting sqref="I91 X91 AG91 O91 AM91 AJ91 L91 C91 F91 U91 R91 AA91 AD91">
    <cfRule type="expression" dxfId="1" priority="1354">
      <formula>#REF! = "64≠94"</formula>
    </cfRule>
  </conditionalFormatting>
  <conditionalFormatting sqref="I91 X91 AG91 O91 AM91 AJ91 L91 C91 F91 U91 R91 AA91 AD91">
    <cfRule type="expression" dxfId="0" priority="1355">
      <formula>#REF! = "94≠68+69+71+80+88+89+90+91+92"</formula>
    </cfRule>
  </conditionalFormatting>
  <hyperlinks>
    <hyperlink ref="B1" location="Innhold!A1" display="Tilbake"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49ECC-34D8-449C-A45F-BABDDACF2022}">
  <dimension ref="A1:AV22"/>
  <sheetViews>
    <sheetView showGridLines="0" zoomScale="70" zoomScaleNormal="70" workbookViewId="0">
      <pane xSplit="1" ySplit="8" topLeftCell="B9" activePane="bottomRight" state="frozen"/>
      <selection pane="topRight" activeCell="B1" sqref="B1"/>
      <selection pane="bottomLeft" activeCell="A9" sqref="A9"/>
      <selection pane="bottomRight" activeCell="A4" sqref="A4"/>
    </sheetView>
  </sheetViews>
  <sheetFormatPr baseColWidth="10" defaultColWidth="11.42578125" defaultRowHeight="12.75" x14ac:dyDescent="0.2"/>
  <cols>
    <col min="1" max="1" width="62" style="587" customWidth="1"/>
    <col min="2" max="34" width="11.7109375" style="587" customWidth="1"/>
    <col min="35" max="250" width="11.42578125" style="587"/>
    <col min="251" max="251" width="62" style="587" customWidth="1"/>
    <col min="252" max="287" width="11.7109375" style="587" customWidth="1"/>
    <col min="288" max="506" width="11.42578125" style="587"/>
    <col min="507" max="507" width="62" style="587" customWidth="1"/>
    <col min="508" max="543" width="11.7109375" style="587" customWidth="1"/>
    <col min="544" max="762" width="11.42578125" style="587"/>
    <col min="763" max="763" width="62" style="587" customWidth="1"/>
    <col min="764" max="799" width="11.7109375" style="587" customWidth="1"/>
    <col min="800" max="1018" width="11.42578125" style="587"/>
    <col min="1019" max="1019" width="62" style="587" customWidth="1"/>
    <col min="1020" max="1055" width="11.7109375" style="587" customWidth="1"/>
    <col min="1056" max="1274" width="11.42578125" style="587"/>
    <col min="1275" max="1275" width="62" style="587" customWidth="1"/>
    <col min="1276" max="1311" width="11.7109375" style="587" customWidth="1"/>
    <col min="1312" max="1530" width="11.42578125" style="587"/>
    <col min="1531" max="1531" width="62" style="587" customWidth="1"/>
    <col min="1532" max="1567" width="11.7109375" style="587" customWidth="1"/>
    <col min="1568" max="1786" width="11.42578125" style="587"/>
    <col min="1787" max="1787" width="62" style="587" customWidth="1"/>
    <col min="1788" max="1823" width="11.7109375" style="587" customWidth="1"/>
    <col min="1824" max="2042" width="11.42578125" style="587"/>
    <col min="2043" max="2043" width="62" style="587" customWidth="1"/>
    <col min="2044" max="2079" width="11.7109375" style="587" customWidth="1"/>
    <col min="2080" max="2298" width="11.42578125" style="587"/>
    <col min="2299" max="2299" width="62" style="587" customWidth="1"/>
    <col min="2300" max="2335" width="11.7109375" style="587" customWidth="1"/>
    <col min="2336" max="2554" width="11.42578125" style="587"/>
    <col min="2555" max="2555" width="62" style="587" customWidth="1"/>
    <col min="2556" max="2591" width="11.7109375" style="587" customWidth="1"/>
    <col min="2592" max="2810" width="11.42578125" style="587"/>
    <col min="2811" max="2811" width="62" style="587" customWidth="1"/>
    <col min="2812" max="2847" width="11.7109375" style="587" customWidth="1"/>
    <col min="2848" max="3066" width="11.42578125" style="587"/>
    <col min="3067" max="3067" width="62" style="587" customWidth="1"/>
    <col min="3068" max="3103" width="11.7109375" style="587" customWidth="1"/>
    <col min="3104" max="3322" width="11.42578125" style="587"/>
    <col min="3323" max="3323" width="62" style="587" customWidth="1"/>
    <col min="3324" max="3359" width="11.7109375" style="587" customWidth="1"/>
    <col min="3360" max="3578" width="11.42578125" style="587"/>
    <col min="3579" max="3579" width="62" style="587" customWidth="1"/>
    <col min="3580" max="3615" width="11.7109375" style="587" customWidth="1"/>
    <col min="3616" max="3834" width="11.42578125" style="587"/>
    <col min="3835" max="3835" width="62" style="587" customWidth="1"/>
    <col min="3836" max="3871" width="11.7109375" style="587" customWidth="1"/>
    <col min="3872" max="4090" width="11.42578125" style="587"/>
    <col min="4091" max="4091" width="62" style="587" customWidth="1"/>
    <col min="4092" max="4127" width="11.7109375" style="587" customWidth="1"/>
    <col min="4128" max="4346" width="11.42578125" style="587"/>
    <col min="4347" max="4347" width="62" style="587" customWidth="1"/>
    <col min="4348" max="4383" width="11.7109375" style="587" customWidth="1"/>
    <col min="4384" max="4602" width="11.42578125" style="587"/>
    <col min="4603" max="4603" width="62" style="587" customWidth="1"/>
    <col min="4604" max="4639" width="11.7109375" style="587" customWidth="1"/>
    <col min="4640" max="4858" width="11.42578125" style="587"/>
    <col min="4859" max="4859" width="62" style="587" customWidth="1"/>
    <col min="4860" max="4895" width="11.7109375" style="587" customWidth="1"/>
    <col min="4896" max="5114" width="11.42578125" style="587"/>
    <col min="5115" max="5115" width="62" style="587" customWidth="1"/>
    <col min="5116" max="5151" width="11.7109375" style="587" customWidth="1"/>
    <col min="5152" max="5370" width="11.42578125" style="587"/>
    <col min="5371" max="5371" width="62" style="587" customWidth="1"/>
    <col min="5372" max="5407" width="11.7109375" style="587" customWidth="1"/>
    <col min="5408" max="5626" width="11.42578125" style="587"/>
    <col min="5627" max="5627" width="62" style="587" customWidth="1"/>
    <col min="5628" max="5663" width="11.7109375" style="587" customWidth="1"/>
    <col min="5664" max="5882" width="11.42578125" style="587"/>
    <col min="5883" max="5883" width="62" style="587" customWidth="1"/>
    <col min="5884" max="5919" width="11.7109375" style="587" customWidth="1"/>
    <col min="5920" max="6138" width="11.42578125" style="587"/>
    <col min="6139" max="6139" width="62" style="587" customWidth="1"/>
    <col min="6140" max="6175" width="11.7109375" style="587" customWidth="1"/>
    <col min="6176" max="6394" width="11.42578125" style="587"/>
    <col min="6395" max="6395" width="62" style="587" customWidth="1"/>
    <col min="6396" max="6431" width="11.7109375" style="587" customWidth="1"/>
    <col min="6432" max="6650" width="11.42578125" style="587"/>
    <col min="6651" max="6651" width="62" style="587" customWidth="1"/>
    <col min="6652" max="6687" width="11.7109375" style="587" customWidth="1"/>
    <col min="6688" max="6906" width="11.42578125" style="587"/>
    <col min="6907" max="6907" width="62" style="587" customWidth="1"/>
    <col min="6908" max="6943" width="11.7109375" style="587" customWidth="1"/>
    <col min="6944" max="7162" width="11.42578125" style="587"/>
    <col min="7163" max="7163" width="62" style="587" customWidth="1"/>
    <col min="7164" max="7199" width="11.7109375" style="587" customWidth="1"/>
    <col min="7200" max="7418" width="11.42578125" style="587"/>
    <col min="7419" max="7419" width="62" style="587" customWidth="1"/>
    <col min="7420" max="7455" width="11.7109375" style="587" customWidth="1"/>
    <col min="7456" max="7674" width="11.42578125" style="587"/>
    <col min="7675" max="7675" width="62" style="587" customWidth="1"/>
    <col min="7676" max="7711" width="11.7109375" style="587" customWidth="1"/>
    <col min="7712" max="7930" width="11.42578125" style="587"/>
    <col min="7931" max="7931" width="62" style="587" customWidth="1"/>
    <col min="7932" max="7967" width="11.7109375" style="587" customWidth="1"/>
    <col min="7968" max="8186" width="11.42578125" style="587"/>
    <col min="8187" max="8187" width="62" style="587" customWidth="1"/>
    <col min="8188" max="8223" width="11.7109375" style="587" customWidth="1"/>
    <col min="8224" max="8442" width="11.42578125" style="587"/>
    <col min="8443" max="8443" width="62" style="587" customWidth="1"/>
    <col min="8444" max="8479" width="11.7109375" style="587" customWidth="1"/>
    <col min="8480" max="8698" width="11.42578125" style="587"/>
    <col min="8699" max="8699" width="62" style="587" customWidth="1"/>
    <col min="8700" max="8735" width="11.7109375" style="587" customWidth="1"/>
    <col min="8736" max="8954" width="11.42578125" style="587"/>
    <col min="8955" max="8955" width="62" style="587" customWidth="1"/>
    <col min="8956" max="8991" width="11.7109375" style="587" customWidth="1"/>
    <col min="8992" max="9210" width="11.42578125" style="587"/>
    <col min="9211" max="9211" width="62" style="587" customWidth="1"/>
    <col min="9212" max="9247" width="11.7109375" style="587" customWidth="1"/>
    <col min="9248" max="9466" width="11.42578125" style="587"/>
    <col min="9467" max="9467" width="62" style="587" customWidth="1"/>
    <col min="9468" max="9503" width="11.7109375" style="587" customWidth="1"/>
    <col min="9504" max="9722" width="11.42578125" style="587"/>
    <col min="9723" max="9723" width="62" style="587" customWidth="1"/>
    <col min="9724" max="9759" width="11.7109375" style="587" customWidth="1"/>
    <col min="9760" max="9978" width="11.42578125" style="587"/>
    <col min="9979" max="9979" width="62" style="587" customWidth="1"/>
    <col min="9980" max="10015" width="11.7109375" style="587" customWidth="1"/>
    <col min="10016" max="10234" width="11.42578125" style="587"/>
    <col min="10235" max="10235" width="62" style="587" customWidth="1"/>
    <col min="10236" max="10271" width="11.7109375" style="587" customWidth="1"/>
    <col min="10272" max="10490" width="11.42578125" style="587"/>
    <col min="10491" max="10491" width="62" style="587" customWidth="1"/>
    <col min="10492" max="10527" width="11.7109375" style="587" customWidth="1"/>
    <col min="10528" max="10746" width="11.42578125" style="587"/>
    <col min="10747" max="10747" width="62" style="587" customWidth="1"/>
    <col min="10748" max="10783" width="11.7109375" style="587" customWidth="1"/>
    <col min="10784" max="11002" width="11.42578125" style="587"/>
    <col min="11003" max="11003" width="62" style="587" customWidth="1"/>
    <col min="11004" max="11039" width="11.7109375" style="587" customWidth="1"/>
    <col min="11040" max="11258" width="11.42578125" style="587"/>
    <col min="11259" max="11259" width="62" style="587" customWidth="1"/>
    <col min="11260" max="11295" width="11.7109375" style="587" customWidth="1"/>
    <col min="11296" max="11514" width="11.42578125" style="587"/>
    <col min="11515" max="11515" width="62" style="587" customWidth="1"/>
    <col min="11516" max="11551" width="11.7109375" style="587" customWidth="1"/>
    <col min="11552" max="11770" width="11.42578125" style="587"/>
    <col min="11771" max="11771" width="62" style="587" customWidth="1"/>
    <col min="11772" max="11807" width="11.7109375" style="587" customWidth="1"/>
    <col min="11808" max="12026" width="11.42578125" style="587"/>
    <col min="12027" max="12027" width="62" style="587" customWidth="1"/>
    <col min="12028" max="12063" width="11.7109375" style="587" customWidth="1"/>
    <col min="12064" max="12282" width="11.42578125" style="587"/>
    <col min="12283" max="12283" width="62" style="587" customWidth="1"/>
    <col min="12284" max="12319" width="11.7109375" style="587" customWidth="1"/>
    <col min="12320" max="12538" width="11.42578125" style="587"/>
    <col min="12539" max="12539" width="62" style="587" customWidth="1"/>
    <col min="12540" max="12575" width="11.7109375" style="587" customWidth="1"/>
    <col min="12576" max="12794" width="11.42578125" style="587"/>
    <col min="12795" max="12795" width="62" style="587" customWidth="1"/>
    <col min="12796" max="12831" width="11.7109375" style="587" customWidth="1"/>
    <col min="12832" max="13050" width="11.42578125" style="587"/>
    <col min="13051" max="13051" width="62" style="587" customWidth="1"/>
    <col min="13052" max="13087" width="11.7109375" style="587" customWidth="1"/>
    <col min="13088" max="13306" width="11.42578125" style="587"/>
    <col min="13307" max="13307" width="62" style="587" customWidth="1"/>
    <col min="13308" max="13343" width="11.7109375" style="587" customWidth="1"/>
    <col min="13344" max="13562" width="11.42578125" style="587"/>
    <col min="13563" max="13563" width="62" style="587" customWidth="1"/>
    <col min="13564" max="13599" width="11.7109375" style="587" customWidth="1"/>
    <col min="13600" max="13818" width="11.42578125" style="587"/>
    <col min="13819" max="13819" width="62" style="587" customWidth="1"/>
    <col min="13820" max="13855" width="11.7109375" style="587" customWidth="1"/>
    <col min="13856" max="14074" width="11.42578125" style="587"/>
    <col min="14075" max="14075" width="62" style="587" customWidth="1"/>
    <col min="14076" max="14111" width="11.7109375" style="587" customWidth="1"/>
    <col min="14112" max="14330" width="11.42578125" style="587"/>
    <col min="14331" max="14331" width="62" style="587" customWidth="1"/>
    <col min="14332" max="14367" width="11.7109375" style="587" customWidth="1"/>
    <col min="14368" max="14586" width="11.42578125" style="587"/>
    <col min="14587" max="14587" width="62" style="587" customWidth="1"/>
    <col min="14588" max="14623" width="11.7109375" style="587" customWidth="1"/>
    <col min="14624" max="14842" width="11.42578125" style="587"/>
    <col min="14843" max="14843" width="62" style="587" customWidth="1"/>
    <col min="14844" max="14879" width="11.7109375" style="587" customWidth="1"/>
    <col min="14880" max="15098" width="11.42578125" style="587"/>
    <col min="15099" max="15099" width="62" style="587" customWidth="1"/>
    <col min="15100" max="15135" width="11.7109375" style="587" customWidth="1"/>
    <col min="15136" max="15354" width="11.42578125" style="587"/>
    <col min="15355" max="15355" width="62" style="587" customWidth="1"/>
    <col min="15356" max="15391" width="11.7109375" style="587" customWidth="1"/>
    <col min="15392" max="15610" width="11.42578125" style="587"/>
    <col min="15611" max="15611" width="62" style="587" customWidth="1"/>
    <col min="15612" max="15647" width="11.7109375" style="587" customWidth="1"/>
    <col min="15648" max="15866" width="11.42578125" style="587"/>
    <col min="15867" max="15867" width="62" style="587" customWidth="1"/>
    <col min="15868" max="15903" width="11.7109375" style="587" customWidth="1"/>
    <col min="15904" max="16122" width="11.42578125" style="587"/>
    <col min="16123" max="16123" width="62" style="587" customWidth="1"/>
    <col min="16124" max="16159" width="11.7109375" style="587" customWidth="1"/>
    <col min="16160" max="16384" width="11.42578125" style="587"/>
  </cols>
  <sheetData>
    <row r="1" spans="1:48" ht="20.25" x14ac:dyDescent="0.3">
      <c r="A1" s="585" t="s">
        <v>167</v>
      </c>
      <c r="B1" s="586" t="s">
        <v>52</v>
      </c>
    </row>
    <row r="2" spans="1:48" ht="20.25" x14ac:dyDescent="0.3">
      <c r="A2" s="585" t="s">
        <v>263</v>
      </c>
    </row>
    <row r="3" spans="1:48" ht="18.75" x14ac:dyDescent="0.3">
      <c r="A3" s="588" t="s">
        <v>331</v>
      </c>
    </row>
    <row r="4" spans="1:48" ht="18.75" x14ac:dyDescent="0.3">
      <c r="A4" s="589" t="s">
        <v>425</v>
      </c>
      <c r="B4" s="590"/>
      <c r="C4" s="591"/>
      <c r="D4" s="592"/>
      <c r="E4" s="590"/>
      <c r="F4" s="591"/>
      <c r="G4" s="592"/>
      <c r="H4" s="591"/>
      <c r="I4" s="591"/>
      <c r="J4" s="592"/>
      <c r="K4" s="591"/>
      <c r="L4" s="591"/>
      <c r="M4" s="592"/>
      <c r="N4" s="590"/>
      <c r="O4" s="591"/>
      <c r="P4" s="592"/>
      <c r="Q4" s="590"/>
      <c r="R4" s="591"/>
      <c r="S4" s="592"/>
      <c r="T4" s="590"/>
      <c r="U4" s="591"/>
      <c r="V4" s="592"/>
      <c r="W4" s="590"/>
      <c r="X4" s="591"/>
      <c r="Y4" s="592"/>
      <c r="Z4" s="590"/>
      <c r="AA4" s="591"/>
      <c r="AB4" s="592"/>
      <c r="AC4" s="590"/>
      <c r="AD4" s="591"/>
      <c r="AE4" s="592"/>
      <c r="AF4" s="590"/>
      <c r="AG4" s="593"/>
      <c r="AH4" s="592"/>
      <c r="AI4" s="594"/>
      <c r="AJ4" s="594"/>
      <c r="AK4" s="594"/>
      <c r="AL4" s="594"/>
      <c r="AM4" s="594"/>
      <c r="AN4" s="594"/>
      <c r="AO4" s="594"/>
      <c r="AP4" s="594"/>
      <c r="AQ4" s="594"/>
      <c r="AR4" s="594"/>
      <c r="AS4" s="594"/>
      <c r="AT4" s="594"/>
      <c r="AU4" s="594"/>
      <c r="AV4" s="594"/>
    </row>
    <row r="5" spans="1:48" ht="18.75" x14ac:dyDescent="0.3">
      <c r="A5" s="595"/>
      <c r="B5" s="750" t="s">
        <v>170</v>
      </c>
      <c r="C5" s="751"/>
      <c r="D5" s="752"/>
      <c r="E5" s="750" t="s">
        <v>171</v>
      </c>
      <c r="F5" s="751"/>
      <c r="G5" s="752"/>
      <c r="H5" s="642"/>
      <c r="I5" s="642"/>
      <c r="J5" s="643"/>
      <c r="K5" s="750" t="s">
        <v>172</v>
      </c>
      <c r="L5" s="751"/>
      <c r="M5" s="752"/>
      <c r="N5" s="750" t="s">
        <v>173</v>
      </c>
      <c r="O5" s="751"/>
      <c r="P5" s="752"/>
      <c r="Q5" s="679" t="s">
        <v>174</v>
      </c>
      <c r="R5" s="680"/>
      <c r="S5" s="681"/>
      <c r="T5" s="665"/>
      <c r="U5" s="642"/>
      <c r="V5" s="643"/>
      <c r="W5" s="750" t="s">
        <v>175</v>
      </c>
      <c r="X5" s="751"/>
      <c r="Y5" s="752"/>
      <c r="Z5" s="740" t="s">
        <v>67</v>
      </c>
      <c r="AA5" s="741"/>
      <c r="AB5" s="742"/>
      <c r="AC5" s="750" t="s">
        <v>72</v>
      </c>
      <c r="AD5" s="751"/>
      <c r="AE5" s="752"/>
      <c r="AF5" s="760" t="s">
        <v>281</v>
      </c>
      <c r="AG5" s="761"/>
      <c r="AH5" s="762"/>
      <c r="AI5" s="631"/>
      <c r="AJ5" s="631"/>
      <c r="AK5" s="756"/>
      <c r="AL5" s="756"/>
      <c r="AM5" s="756"/>
      <c r="AN5" s="756"/>
      <c r="AO5" s="756"/>
      <c r="AP5" s="756"/>
      <c r="AQ5" s="756"/>
      <c r="AR5" s="756"/>
      <c r="AS5" s="756"/>
      <c r="AT5" s="756"/>
      <c r="AU5" s="756"/>
      <c r="AV5" s="756"/>
    </row>
    <row r="6" spans="1:48" ht="18.75" x14ac:dyDescent="0.3">
      <c r="A6" s="597"/>
      <c r="B6" s="753" t="s">
        <v>176</v>
      </c>
      <c r="C6" s="754"/>
      <c r="D6" s="755"/>
      <c r="E6" s="753" t="s">
        <v>177</v>
      </c>
      <c r="F6" s="754"/>
      <c r="G6" s="755"/>
      <c r="H6" s="753" t="s">
        <v>400</v>
      </c>
      <c r="I6" s="754"/>
      <c r="J6" s="755"/>
      <c r="K6" s="753" t="s">
        <v>177</v>
      </c>
      <c r="L6" s="754"/>
      <c r="M6" s="755"/>
      <c r="N6" s="753" t="s">
        <v>178</v>
      </c>
      <c r="O6" s="754"/>
      <c r="P6" s="755"/>
      <c r="Q6" s="753" t="s">
        <v>63</v>
      </c>
      <c r="R6" s="754"/>
      <c r="S6" s="755"/>
      <c r="T6" s="753" t="s">
        <v>65</v>
      </c>
      <c r="U6" s="754"/>
      <c r="V6" s="755"/>
      <c r="W6" s="753" t="s">
        <v>176</v>
      </c>
      <c r="X6" s="754"/>
      <c r="Y6" s="755"/>
      <c r="Z6" s="737" t="s">
        <v>420</v>
      </c>
      <c r="AA6" s="738"/>
      <c r="AB6" s="739"/>
      <c r="AC6" s="753" t="s">
        <v>177</v>
      </c>
      <c r="AD6" s="754"/>
      <c r="AE6" s="755"/>
      <c r="AF6" s="757" t="s">
        <v>282</v>
      </c>
      <c r="AG6" s="758"/>
      <c r="AH6" s="759"/>
      <c r="AI6" s="631"/>
      <c r="AJ6" s="631"/>
      <c r="AK6" s="756"/>
      <c r="AL6" s="756"/>
      <c r="AM6" s="756"/>
      <c r="AN6" s="756"/>
      <c r="AO6" s="756"/>
      <c r="AP6" s="756"/>
      <c r="AQ6" s="756"/>
      <c r="AR6" s="756"/>
      <c r="AS6" s="756"/>
      <c r="AT6" s="756"/>
      <c r="AU6" s="756"/>
      <c r="AV6" s="756"/>
    </row>
    <row r="7" spans="1:48" ht="18.75" x14ac:dyDescent="0.3">
      <c r="A7" s="597"/>
      <c r="B7" s="598"/>
      <c r="C7" s="598"/>
      <c r="D7" s="599" t="s">
        <v>80</v>
      </c>
      <c r="E7" s="598"/>
      <c r="F7" s="598"/>
      <c r="G7" s="599" t="s">
        <v>80</v>
      </c>
      <c r="H7" s="598"/>
      <c r="I7" s="598"/>
      <c r="J7" s="599" t="s">
        <v>80</v>
      </c>
      <c r="K7" s="598"/>
      <c r="L7" s="598"/>
      <c r="M7" s="599" t="s">
        <v>80</v>
      </c>
      <c r="N7" s="598"/>
      <c r="O7" s="598"/>
      <c r="P7" s="599" t="s">
        <v>80</v>
      </c>
      <c r="Q7" s="598"/>
      <c r="R7" s="598"/>
      <c r="S7" s="599" t="s">
        <v>80</v>
      </c>
      <c r="T7" s="598"/>
      <c r="U7" s="598"/>
      <c r="V7" s="599" t="s">
        <v>80</v>
      </c>
      <c r="W7" s="692"/>
      <c r="X7" s="692"/>
      <c r="Y7" s="693" t="s">
        <v>80</v>
      </c>
      <c r="Z7" s="598"/>
      <c r="AA7" s="598"/>
      <c r="AB7" s="599" t="s">
        <v>80</v>
      </c>
      <c r="AC7" s="598"/>
      <c r="AD7" s="598"/>
      <c r="AE7" s="599" t="s">
        <v>80</v>
      </c>
      <c r="AF7" s="598"/>
      <c r="AG7" s="598"/>
      <c r="AH7" s="599" t="s">
        <v>80</v>
      </c>
      <c r="AI7" s="631"/>
      <c r="AJ7" s="631"/>
      <c r="AK7" s="596"/>
      <c r="AL7" s="596"/>
      <c r="AM7" s="596"/>
      <c r="AN7" s="596"/>
      <c r="AO7" s="596"/>
      <c r="AP7" s="596"/>
      <c r="AQ7" s="596"/>
      <c r="AR7" s="596"/>
      <c r="AS7" s="596"/>
      <c r="AT7" s="596"/>
      <c r="AU7" s="596"/>
      <c r="AV7" s="596"/>
    </row>
    <row r="8" spans="1:48" ht="15.75" x14ac:dyDescent="0.25">
      <c r="A8" s="600" t="s">
        <v>284</v>
      </c>
      <c r="B8" s="601">
        <v>2021</v>
      </c>
      <c r="C8" s="601">
        <v>2022</v>
      </c>
      <c r="D8" s="602" t="s">
        <v>82</v>
      </c>
      <c r="E8" s="601">
        <f t="shared" ref="E8" si="0">$B$8</f>
        <v>2021</v>
      </c>
      <c r="F8" s="601">
        <f t="shared" ref="F8" si="1">$C$8</f>
        <v>2022</v>
      </c>
      <c r="G8" s="602" t="s">
        <v>82</v>
      </c>
      <c r="H8" s="601">
        <f t="shared" ref="H8" si="2">$B$8</f>
        <v>2021</v>
      </c>
      <c r="I8" s="601">
        <f t="shared" ref="I8" si="3">$C$8</f>
        <v>2022</v>
      </c>
      <c r="J8" s="602" t="s">
        <v>82</v>
      </c>
      <c r="K8" s="601">
        <f t="shared" ref="K8" si="4">$B$8</f>
        <v>2021</v>
      </c>
      <c r="L8" s="601">
        <f t="shared" ref="L8" si="5">$C$8</f>
        <v>2022</v>
      </c>
      <c r="M8" s="602" t="s">
        <v>82</v>
      </c>
      <c r="N8" s="601">
        <f t="shared" ref="N8" si="6">$B$8</f>
        <v>2021</v>
      </c>
      <c r="O8" s="601">
        <f t="shared" ref="O8" si="7">$C$8</f>
        <v>2022</v>
      </c>
      <c r="P8" s="602" t="s">
        <v>82</v>
      </c>
      <c r="Q8" s="601">
        <f t="shared" ref="Q8" si="8">$B$8</f>
        <v>2021</v>
      </c>
      <c r="R8" s="601">
        <f t="shared" ref="R8" si="9">$C$8</f>
        <v>2022</v>
      </c>
      <c r="S8" s="602" t="s">
        <v>82</v>
      </c>
      <c r="T8" s="601">
        <f t="shared" ref="T8" si="10">$B$8</f>
        <v>2021</v>
      </c>
      <c r="U8" s="601">
        <f t="shared" ref="U8" si="11">$C$8</f>
        <v>2022</v>
      </c>
      <c r="V8" s="602" t="s">
        <v>82</v>
      </c>
      <c r="W8" s="601">
        <f t="shared" ref="W8" si="12">$B$8</f>
        <v>2021</v>
      </c>
      <c r="X8" s="601">
        <f t="shared" ref="X8" si="13">$C$8</f>
        <v>2022</v>
      </c>
      <c r="Y8" s="602" t="s">
        <v>82</v>
      </c>
      <c r="Z8" s="601">
        <f t="shared" ref="Z8" si="14">$B$8</f>
        <v>2021</v>
      </c>
      <c r="AA8" s="601">
        <f t="shared" ref="AA8" si="15">$C$8</f>
        <v>2022</v>
      </c>
      <c r="AB8" s="602" t="s">
        <v>82</v>
      </c>
      <c r="AC8" s="601">
        <f t="shared" ref="AC8" si="16">$B$8</f>
        <v>2021</v>
      </c>
      <c r="AD8" s="601">
        <f t="shared" ref="AD8" si="17">$C$8</f>
        <v>2022</v>
      </c>
      <c r="AE8" s="602" t="s">
        <v>82</v>
      </c>
      <c r="AF8" s="601">
        <f t="shared" ref="AF8" si="18">$B$8</f>
        <v>2021</v>
      </c>
      <c r="AG8" s="601">
        <f t="shared" ref="AG8" si="19">$C$8</f>
        <v>2022</v>
      </c>
      <c r="AH8" s="602" t="s">
        <v>82</v>
      </c>
      <c r="AI8" s="604"/>
      <c r="AJ8" s="603"/>
      <c r="AK8" s="604"/>
      <c r="AL8" s="604"/>
      <c r="AM8" s="603"/>
      <c r="AN8" s="604"/>
      <c r="AO8" s="604"/>
      <c r="AP8" s="603"/>
      <c r="AQ8" s="604"/>
      <c r="AR8" s="604"/>
      <c r="AS8" s="603"/>
      <c r="AT8" s="604"/>
      <c r="AU8" s="604"/>
      <c r="AV8" s="603"/>
    </row>
    <row r="9" spans="1:48" s="566" customFormat="1" ht="18.75" x14ac:dyDescent="0.3">
      <c r="A9" s="605"/>
      <c r="B9" s="606"/>
      <c r="C9" s="607"/>
      <c r="D9" s="607"/>
      <c r="E9" s="608"/>
      <c r="F9" s="619"/>
      <c r="G9" s="570"/>
      <c r="H9" s="608"/>
      <c r="I9" s="619"/>
      <c r="J9" s="619"/>
      <c r="K9" s="608"/>
      <c r="L9" s="619"/>
      <c r="M9" s="619"/>
      <c r="N9" s="608"/>
      <c r="O9" s="619"/>
      <c r="P9" s="619"/>
      <c r="Q9" s="608"/>
      <c r="R9" s="619"/>
      <c r="S9" s="619"/>
      <c r="T9" s="609"/>
      <c r="U9" s="567"/>
      <c r="V9" s="619"/>
      <c r="W9" s="608"/>
      <c r="X9" s="619"/>
      <c r="Y9" s="619"/>
      <c r="Z9" s="608"/>
      <c r="AA9" s="619"/>
      <c r="AB9" s="619"/>
      <c r="AC9" s="608"/>
      <c r="AD9" s="619"/>
      <c r="AE9" s="619"/>
      <c r="AF9" s="607"/>
      <c r="AG9" s="607"/>
      <c r="AH9" s="607"/>
    </row>
    <row r="10" spans="1:48" s="566" customFormat="1" ht="18.75" x14ac:dyDescent="0.3">
      <c r="A10" s="610" t="s">
        <v>401</v>
      </c>
      <c r="B10" s="608"/>
      <c r="C10" s="619"/>
      <c r="D10" s="570"/>
      <c r="E10" s="608"/>
      <c r="F10" s="619"/>
      <c r="G10" s="570"/>
      <c r="H10" s="608"/>
      <c r="I10" s="619"/>
      <c r="J10" s="619"/>
      <c r="K10" s="608"/>
      <c r="L10" s="619"/>
      <c r="M10" s="619"/>
      <c r="N10" s="608"/>
      <c r="O10" s="619"/>
      <c r="P10" s="619"/>
      <c r="Q10" s="608"/>
      <c r="R10" s="619"/>
      <c r="S10" s="619"/>
      <c r="T10" s="609"/>
      <c r="U10" s="567"/>
      <c r="V10" s="619"/>
      <c r="W10" s="609"/>
      <c r="X10" s="567"/>
      <c r="Y10" s="619"/>
      <c r="Z10" s="609"/>
      <c r="AA10" s="567"/>
      <c r="AB10" s="619"/>
      <c r="AC10" s="609"/>
      <c r="AD10" s="567"/>
      <c r="AE10" s="619"/>
      <c r="AF10" s="619"/>
      <c r="AG10" s="619"/>
      <c r="AH10" s="620"/>
    </row>
    <row r="11" spans="1:48" ht="22.5" x14ac:dyDescent="0.3">
      <c r="A11" s="610" t="s">
        <v>402</v>
      </c>
      <c r="B11" s="608">
        <v>0.33</v>
      </c>
      <c r="C11" s="619">
        <v>0.35</v>
      </c>
      <c r="D11" s="571">
        <f>IF(B11=0, "    ---- ", IF(ABS(ROUND(100/B11*C11-100,1))&lt;999,ROUND(100/B11*C11-100,1),IF(ROUND(100/B11*C11-100,1)&gt;999,999,-999)))</f>
        <v>6.1</v>
      </c>
      <c r="E11" s="608">
        <v>1.6</v>
      </c>
      <c r="F11" s="619">
        <v>0.88</v>
      </c>
      <c r="G11" s="571">
        <f>IF(E11=0, "    ---- ", IF(ABS(ROUND(100/E11*F11-100,1))&lt;999,ROUND(100/E11*F11-100,1),IF(ROUND(100/E11*F11-100,1)&gt;999,999,-999)))</f>
        <v>-45</v>
      </c>
      <c r="H11" s="608">
        <v>1.31</v>
      </c>
      <c r="I11" s="619">
        <v>-0.8</v>
      </c>
      <c r="J11" s="620">
        <f t="shared" ref="J11:J12" si="20">IF(H11=0, "    ---- ", IF(ABS(ROUND(100/H11*I11-100,1))&lt;999,ROUND(100/H11*I11-100,1),IF(ROUND(100/H11*I11-100,1)&gt;999,999,-999)))</f>
        <v>-161.1</v>
      </c>
      <c r="K11" s="608"/>
      <c r="L11" s="619"/>
      <c r="M11" s="619"/>
      <c r="N11" s="608">
        <v>0.72</v>
      </c>
      <c r="O11" s="619">
        <v>0.98799999999999999</v>
      </c>
      <c r="P11" s="620">
        <f t="shared" ref="P11:P12" si="21">IF(N11=0, "    ---- ", IF(ABS(ROUND(100/N11*O11-100,1))&lt;999,ROUND(100/N11*O11-100,1),IF(ROUND(100/N11*O11-100,1)&gt;999,999,-999)))</f>
        <v>37.200000000000003</v>
      </c>
      <c r="Q11" s="608">
        <v>12.336832367698225</v>
      </c>
      <c r="R11" s="619">
        <v>-0.75</v>
      </c>
      <c r="S11" s="620">
        <f t="shared" ref="S11:S12" si="22">IF(Q11=0, "    ---- ", IF(ABS(ROUND(100/Q11*R11-100,1))&lt;999,ROUND(100/Q11*R11-100,1),IF(ROUND(100/Q11*R11-100,1)&gt;999,999,-999)))</f>
        <v>-106.1</v>
      </c>
      <c r="T11" s="609">
        <v>2.5</v>
      </c>
      <c r="U11" s="567">
        <v>1.5</v>
      </c>
      <c r="V11" s="620">
        <f t="shared" ref="V11:V12" si="23">IF(T11=0, "    ---- ", IF(ABS(ROUND(100/T11*U11-100,1))&lt;999,ROUND(100/T11*U11-100,1),IF(ROUND(100/T11*U11-100,1)&gt;999,999,-999)))</f>
        <v>-40</v>
      </c>
      <c r="W11" s="609">
        <v>3.25</v>
      </c>
      <c r="X11" s="567">
        <v>5.9</v>
      </c>
      <c r="Y11" s="620">
        <f t="shared" ref="Y11:Y12" si="24">IF(W11=0, "    ---- ", IF(ABS(ROUND(100/W11*X11-100,1))&lt;999,ROUND(100/W11*X11-100,1),IF(ROUND(100/W11*X11-100,1)&gt;999,999,-999)))</f>
        <v>81.5</v>
      </c>
      <c r="Z11" s="609">
        <v>1.8722930352151901</v>
      </c>
      <c r="AA11" s="567">
        <v>1.44212516383178</v>
      </c>
      <c r="AB11" s="620">
        <f t="shared" ref="AB11:AB12" si="25">IF(Z11=0, "    ---- ", IF(ABS(ROUND(100/Z11*AA11-100,1))&lt;999,ROUND(100/Z11*AA11-100,1),IF(ROUND(100/Z11*AA11-100,1)&gt;999,999,-999)))</f>
        <v>-23</v>
      </c>
      <c r="AC11" s="609">
        <v>0.84</v>
      </c>
      <c r="AD11" s="567">
        <v>0.31</v>
      </c>
      <c r="AE11" s="620">
        <f t="shared" ref="AE11:AE12" si="26">IF(AC11=0, "    ---- ", IF(ABS(ROUND(100/AC11*AD11-100,1))&lt;999,ROUND(100/AC11*AD11-100,1),IF(ROUND(100/AC11*AD11-100,1)&gt;999,999,-999)))</f>
        <v>-63.1</v>
      </c>
      <c r="AF11" s="620"/>
      <c r="AG11" s="620"/>
      <c r="AH11" s="620"/>
    </row>
    <row r="12" spans="1:48" ht="18.75" x14ac:dyDescent="0.3">
      <c r="A12" s="610" t="s">
        <v>403</v>
      </c>
      <c r="B12" s="608">
        <v>0</v>
      </c>
      <c r="C12" s="619">
        <v>-2.83</v>
      </c>
      <c r="D12" s="571" t="str">
        <f>IF(B12=0, "    ---- ", IF(ABS(ROUND(100/B12*C12-100,1))&lt;999,ROUND(100/B12*C12-100,1),IF(ROUND(100/B12*C12-100,1)&gt;999,999,-999)))</f>
        <v xml:space="preserve">    ---- </v>
      </c>
      <c r="E12" s="608">
        <v>0.79</v>
      </c>
      <c r="F12" s="619">
        <v>-0.21</v>
      </c>
      <c r="G12" s="571">
        <f>IF(E12=0, "    ---- ", IF(ABS(ROUND(100/E12*F12-100,1))&lt;999,ROUND(100/E12*F12-100,1),IF(ROUND(100/E12*F12-100,1)&gt;999,999,-999)))</f>
        <v>-126.6</v>
      </c>
      <c r="H12" s="608">
        <v>0.41</v>
      </c>
      <c r="I12" s="619">
        <v>-0.9</v>
      </c>
      <c r="J12" s="620">
        <f t="shared" si="20"/>
        <v>-319.5</v>
      </c>
      <c r="K12" s="608"/>
      <c r="L12" s="619"/>
      <c r="M12" s="619"/>
      <c r="N12" s="608">
        <v>0.73</v>
      </c>
      <c r="O12" s="619">
        <v>0.85</v>
      </c>
      <c r="P12" s="620">
        <f t="shared" si="21"/>
        <v>16.399999999999999</v>
      </c>
      <c r="Q12" s="608">
        <v>1.8051917621037195</v>
      </c>
      <c r="R12" s="619">
        <v>-2.2999999999999998</v>
      </c>
      <c r="S12" s="620">
        <f t="shared" si="22"/>
        <v>-227.4</v>
      </c>
      <c r="T12" s="609">
        <v>2.4</v>
      </c>
      <c r="U12" s="567">
        <v>0.7</v>
      </c>
      <c r="V12" s="620">
        <f t="shared" si="23"/>
        <v>-70.8</v>
      </c>
      <c r="W12" s="609">
        <v>3.17</v>
      </c>
      <c r="X12" s="567">
        <v>-0.4</v>
      </c>
      <c r="Y12" s="620">
        <f t="shared" si="24"/>
        <v>-112.6</v>
      </c>
      <c r="Z12" s="609">
        <v>1.27380564202493</v>
      </c>
      <c r="AA12" s="567">
        <v>-0.20920009606689699</v>
      </c>
      <c r="AB12" s="620">
        <f t="shared" si="25"/>
        <v>-116.4</v>
      </c>
      <c r="AC12" s="609">
        <v>0</v>
      </c>
      <c r="AD12" s="567">
        <v>-1.57</v>
      </c>
      <c r="AE12" s="620" t="str">
        <f t="shared" si="26"/>
        <v xml:space="preserve">    ---- </v>
      </c>
      <c r="AF12" s="620"/>
      <c r="AG12" s="620"/>
      <c r="AH12" s="620"/>
    </row>
    <row r="13" spans="1:48" ht="18.75" x14ac:dyDescent="0.3">
      <c r="A13" s="610"/>
      <c r="B13" s="608"/>
      <c r="C13" s="619"/>
      <c r="D13" s="570"/>
      <c r="E13" s="608"/>
      <c r="F13" s="619"/>
      <c r="G13" s="570"/>
      <c r="H13" s="608"/>
      <c r="I13" s="619"/>
      <c r="J13" s="619"/>
      <c r="K13" s="608"/>
      <c r="L13" s="619"/>
      <c r="M13" s="619"/>
      <c r="N13" s="608"/>
      <c r="O13" s="619"/>
      <c r="P13" s="619"/>
      <c r="Q13" s="608"/>
      <c r="R13" s="619"/>
      <c r="S13" s="619"/>
      <c r="T13" s="609"/>
      <c r="U13" s="567"/>
      <c r="V13" s="619"/>
      <c r="W13" s="609"/>
      <c r="X13" s="567"/>
      <c r="Y13" s="619"/>
      <c r="Z13" s="609"/>
      <c r="AA13" s="567"/>
      <c r="AB13" s="619"/>
      <c r="AC13" s="609"/>
      <c r="AD13" s="567"/>
      <c r="AE13" s="619"/>
      <c r="AF13" s="619"/>
      <c r="AG13" s="619"/>
      <c r="AH13" s="619"/>
    </row>
    <row r="14" spans="1:48" ht="18.75" x14ac:dyDescent="0.3">
      <c r="A14" s="610" t="s">
        <v>404</v>
      </c>
      <c r="B14" s="608"/>
      <c r="C14" s="619"/>
      <c r="D14" s="571"/>
      <c r="E14" s="608">
        <v>24.03</v>
      </c>
      <c r="F14" s="619">
        <v>24.56</v>
      </c>
      <c r="G14" s="571">
        <f>IF(E14=0, "    ---- ", IF(ABS(ROUND(100/E14*F14-100,1))&lt;999,ROUND(100/E14*F14-100,1),IF(ROUND(100/E14*F14-100,1)&gt;999,999,-999)))</f>
        <v>2.2000000000000002</v>
      </c>
      <c r="H14" s="608">
        <v>44.39</v>
      </c>
      <c r="I14" s="619">
        <v>40.07</v>
      </c>
      <c r="J14" s="620">
        <f>IF(H14=0, "    ---- ", IF(ABS(ROUND(100/H14*I14-100,1))&lt;999,ROUND(100/H14*I14-100,1),IF(ROUND(100/H14*I14-100,1)&gt;999,999,-999)))</f>
        <v>-9.6999999999999993</v>
      </c>
      <c r="K14" s="608">
        <v>33.299999999999997</v>
      </c>
      <c r="L14" s="619">
        <v>32.299999999999997</v>
      </c>
      <c r="M14" s="620">
        <f>IF(K14=0, "    ---- ", IF(ABS(ROUND(100/K14*L14-100,1))&lt;999,ROUND(100/K14*L14-100,1),IF(ROUND(100/K14*L14-100,1)&gt;999,999,-999)))</f>
        <v>-3</v>
      </c>
      <c r="N14" s="608">
        <v>19.91</v>
      </c>
      <c r="O14" s="619">
        <v>13.64</v>
      </c>
      <c r="P14" s="620">
        <f>IF(N14=0, "    ---- ", IF(ABS(ROUND(100/N14*O14-100,1))&lt;999,ROUND(100/N14*O14-100,1),IF(ROUND(100/N14*O14-100,1)&gt;999,999,-999)))</f>
        <v>-31.5</v>
      </c>
      <c r="Q14" s="608">
        <v>24.223836234350916</v>
      </c>
      <c r="R14" s="619">
        <v>0.23470165972928345</v>
      </c>
      <c r="S14" s="620">
        <f>IF(Q14=0, "    ---- ", IF(ABS(ROUND(100/Q14*R14-100,1))&lt;999,ROUND(100/Q14*R14-100,1),IF(ROUND(100/Q14*R14-100,1)&gt;999,999,-999)))</f>
        <v>-99</v>
      </c>
      <c r="T14" s="609">
        <v>37</v>
      </c>
      <c r="U14" s="567">
        <v>36.299999999999997</v>
      </c>
      <c r="V14" s="620">
        <f>IF(T14=0, "    ---- ", IF(ABS(ROUND(100/T14*U14-100,1))&lt;999,ROUND(100/T14*U14-100,1),IF(ROUND(100/T14*U14-100,1)&gt;999,999,-999)))</f>
        <v>-1.9</v>
      </c>
      <c r="W14" s="608">
        <f>(1430+9168+1240+7896+18139+906)/(67128+7301)*100</f>
        <v>52.102003251420811</v>
      </c>
      <c r="X14" s="619">
        <f>(1430+1240+10049+28948+771)/(72659+9393)*100</f>
        <v>51.720859942475506</v>
      </c>
      <c r="Y14" s="620">
        <f>IF(W14=0, "    ---- ", IF(ABS(ROUND(100/W14*X14-100,1))&lt;999,ROUND(100/W14*X14-100,1),IF(ROUND(100/W14*X14-100,1)&gt;999,999,-999)))</f>
        <v>-0.7</v>
      </c>
      <c r="Z14" s="609">
        <v>43.770809093202971</v>
      </c>
      <c r="AA14" s="567">
        <f>('[2]Tabell 6'!AG68+'[2]Tabell 6'!AG71+'[2]Tabell 6'!AG74+'[2]Tabell 6'!AG75+'[2]Tabell 6'!AG78-130.801)/('[2]Tabell 6'!AG79)*100</f>
        <v>34.81127577671969</v>
      </c>
      <c r="AB14" s="620">
        <f>IF(Z14=0, "    ---- ", IF(ABS(ROUND(100/Z14*AA14-100,1))&lt;999,ROUND(100/Z14*AA14-100,1),IF(ROUND(100/Z14*AA14-100,1)&gt;999,999,-999)))</f>
        <v>-20.5</v>
      </c>
      <c r="AC14" s="609">
        <v>26.9</v>
      </c>
      <c r="AD14" s="567">
        <v>23</v>
      </c>
      <c r="AE14" s="620">
        <f>IF(AC14=0, "    ---- ", IF(ABS(ROUND(100/AC14*AD14-100,1))&lt;999,ROUND(100/AC14*AD14-100,1),IF(ROUND(100/AC14*AD14-100,1)&gt;999,999,-999)))</f>
        <v>-14.5</v>
      </c>
      <c r="AF14" s="620"/>
      <c r="AG14" s="620"/>
      <c r="AH14" s="620"/>
    </row>
    <row r="15" spans="1:48" ht="18.75" x14ac:dyDescent="0.3">
      <c r="A15" s="610"/>
      <c r="B15" s="608"/>
      <c r="C15" s="619"/>
      <c r="D15" s="570"/>
      <c r="E15" s="608"/>
      <c r="F15" s="619"/>
      <c r="G15" s="570"/>
      <c r="H15" s="608"/>
      <c r="I15" s="619"/>
      <c r="J15" s="619"/>
      <c r="K15" s="608"/>
      <c r="L15" s="619"/>
      <c r="M15" s="619"/>
      <c r="N15" s="608"/>
      <c r="O15" s="619"/>
      <c r="P15" s="619"/>
      <c r="Q15" s="608"/>
      <c r="R15" s="619"/>
      <c r="S15" s="619"/>
      <c r="T15" s="609"/>
      <c r="U15" s="567"/>
      <c r="V15" s="619"/>
      <c r="W15" s="609"/>
      <c r="X15" s="567"/>
      <c r="Y15" s="619"/>
      <c r="Z15" s="609"/>
      <c r="AA15" s="567"/>
      <c r="AB15" s="619"/>
      <c r="AC15" s="609"/>
      <c r="AD15" s="567"/>
      <c r="AE15" s="619"/>
      <c r="AF15" s="619"/>
      <c r="AG15" s="619"/>
      <c r="AH15" s="619"/>
    </row>
    <row r="16" spans="1:48" ht="18.75" x14ac:dyDescent="0.3">
      <c r="A16" s="610" t="s">
        <v>340</v>
      </c>
      <c r="B16" s="611">
        <v>63.954000000000001</v>
      </c>
      <c r="C16" s="620">
        <v>13.904999999999999</v>
      </c>
      <c r="D16" s="571">
        <f>IF(B16=0, "    ---- ", IF(ABS(ROUND(100/B16*C16-100,1))&lt;999,ROUND(100/B16*C16-100,1),IF(ROUND(100/B16*C16-100,1)&gt;999,999,-999)))</f>
        <v>-78.3</v>
      </c>
      <c r="E16" s="611">
        <v>1017.072</v>
      </c>
      <c r="F16" s="620">
        <v>1011.905</v>
      </c>
      <c r="G16" s="571">
        <f>IF(E16=0, "    ---- ", IF(ABS(ROUND(100/E16*F16-100,1))&lt;999,ROUND(100/E16*F16-100,1),IF(ROUND(100/E16*F16-100,1)&gt;999,999,-999)))</f>
        <v>-0.5</v>
      </c>
      <c r="H16" s="611"/>
      <c r="I16" s="620"/>
      <c r="J16" s="620"/>
      <c r="K16" s="611"/>
      <c r="L16" s="620"/>
      <c r="M16" s="620"/>
      <c r="N16" s="611">
        <v>2.2999999999999998</v>
      </c>
      <c r="O16" s="620">
        <v>1.1519999999999999</v>
      </c>
      <c r="P16" s="620">
        <f>IF(N16=0, "    ---- ", IF(ABS(ROUND(100/N16*O16-100,1))&lt;999,ROUND(100/N16*O16-100,1),IF(ROUND(100/N16*O16-100,1)&gt;999,999,-999)))</f>
        <v>-49.9</v>
      </c>
      <c r="Q16" s="611">
        <v>56575.338283750003</v>
      </c>
      <c r="R16" s="620">
        <v>117604.62277492</v>
      </c>
      <c r="S16" s="620">
        <f>IF(Q16=0, "    ---- ", IF(ABS(ROUND(100/Q16*R16-100,1))&lt;999,ROUND(100/Q16*R16-100,1),IF(ROUND(100/Q16*R16-100,1)&gt;999,999,-999)))</f>
        <v>107.9</v>
      </c>
      <c r="T16" s="612">
        <v>2374</v>
      </c>
      <c r="U16" s="568">
        <v>2963</v>
      </c>
      <c r="V16" s="620">
        <f>IF(T16=0, "    ---- ", IF(ABS(ROUND(100/T16*U16-100,1))&lt;999,ROUND(100/T16*U16-100,1),IF(ROUND(100/T16*U16-100,1)&gt;999,999,-999)))</f>
        <v>24.8</v>
      </c>
      <c r="W16" s="612">
        <v>18139</v>
      </c>
      <c r="X16" s="547">
        <v>0</v>
      </c>
      <c r="Y16" s="620">
        <f>IF(W16=0, "    ---- ", IF(ABS(ROUND(100/W16*X16-100,1))&lt;999,ROUND(100/W16*X16-100,1),IF(ROUND(100/W16*X16-100,1)&gt;999,999,-999)))</f>
        <v>-100</v>
      </c>
      <c r="Z16" s="192">
        <v>2673.8429999999998</v>
      </c>
      <c r="AA16" s="432">
        <v>2352.1770000000001</v>
      </c>
      <c r="AB16" s="620">
        <f>IF(Z16=0, "    ---- ", IF(ABS(ROUND(100/Z16*AA16-100,1))&lt;999,ROUND(100/Z16*AA16-100,1),IF(ROUND(100/Z16*AA16-100,1)&gt;999,999,-999)))</f>
        <v>-12</v>
      </c>
      <c r="AC16" s="612">
        <v>5549</v>
      </c>
      <c r="AD16" s="568">
        <v>1977</v>
      </c>
      <c r="AE16" s="620">
        <f>IF(AC16=0, "    ---- ", IF(ABS(ROUND(100/AC16*AD16-100,1))&lt;999,ROUND(100/AC16*AD16-100,1),IF(ROUND(100/AC16*AD16-100,1)&gt;999,999,-999)))</f>
        <v>-64.400000000000006</v>
      </c>
      <c r="AF16" s="620">
        <f>B16+E16+H16+K16+N16+Q16+T16+W16+Z16+AC16</f>
        <v>86394.50728374999</v>
      </c>
      <c r="AG16" s="620">
        <f>C16+F16+I16+L16+O16+R16+U16+X16+AA16+AD16</f>
        <v>125923.76177492</v>
      </c>
      <c r="AH16" s="620">
        <f>IF(AF16=0, "    ---- ", IF(ABS(ROUND(100/AF16*AG16-100,1))&lt;999,ROUND(100/AF16*AG16-100,1),IF(ROUND(100/AF16*AG16-100,1)&gt;999,999,-999)))</f>
        <v>45.8</v>
      </c>
    </row>
    <row r="17" spans="1:34" ht="18.75" x14ac:dyDescent="0.3">
      <c r="A17" s="610"/>
      <c r="B17" s="611"/>
      <c r="C17" s="620"/>
      <c r="D17" s="571"/>
      <c r="E17" s="611"/>
      <c r="F17" s="620"/>
      <c r="G17" s="571"/>
      <c r="H17" s="611"/>
      <c r="I17" s="620"/>
      <c r="J17" s="620"/>
      <c r="K17" s="611"/>
      <c r="L17" s="620"/>
      <c r="M17" s="620"/>
      <c r="N17" s="611"/>
      <c r="O17" s="620"/>
      <c r="P17" s="620"/>
      <c r="Q17" s="611"/>
      <c r="R17" s="620"/>
      <c r="S17" s="620"/>
      <c r="T17" s="612"/>
      <c r="U17" s="568"/>
      <c r="V17" s="620"/>
      <c r="W17" s="612"/>
      <c r="X17" s="547"/>
      <c r="Y17" s="620"/>
      <c r="Z17" s="612"/>
      <c r="AA17" s="568"/>
      <c r="AB17" s="620"/>
      <c r="AC17" s="612"/>
      <c r="AD17" s="568"/>
      <c r="AE17" s="620"/>
      <c r="AF17" s="620"/>
      <c r="AG17" s="620"/>
      <c r="AH17" s="620"/>
    </row>
    <row r="18" spans="1:34" ht="18.75" x14ac:dyDescent="0.3">
      <c r="A18" s="613" t="s">
        <v>405</v>
      </c>
      <c r="B18" s="614"/>
      <c r="C18" s="621"/>
      <c r="D18" s="572"/>
      <c r="E18" s="614">
        <v>5636</v>
      </c>
      <c r="F18" s="621">
        <v>-1413.866</v>
      </c>
      <c r="G18" s="572">
        <f>IF(E18=0, "    ---- ", IF(ABS(ROUND(100/E18*F18-100,1))&lt;999,ROUND(100/E18*F18-100,1),IF(ROUND(100/E18*F18-100,1)&gt;999,999,-999)))</f>
        <v>-125.1</v>
      </c>
      <c r="H18" s="641">
        <v>5.6</v>
      </c>
      <c r="I18" s="623">
        <v>5.6</v>
      </c>
      <c r="J18" s="621">
        <f>IF(H18=0, "    ---- ", IF(ABS(ROUND(100/H18*I18-100,1))&lt;999,ROUND(100/H18*I18-100,1),IF(ROUND(100/H18*I18-100,1)&gt;999,999,-999)))</f>
        <v>0</v>
      </c>
      <c r="K18" s="614"/>
      <c r="L18" s="621"/>
      <c r="M18" s="621"/>
      <c r="N18" s="614">
        <v>3.3</v>
      </c>
      <c r="O18" s="621">
        <v>-13</v>
      </c>
      <c r="P18" s="621">
        <f>IF(N18=0, "    ---- ", IF(ABS(ROUND(100/N18*O18-100,1))&lt;999,ROUND(100/N18*O18-100,1),IF(ROUND(100/N18*O18-100,1)&gt;999,999,-999)))</f>
        <v>-493.9</v>
      </c>
      <c r="Q18" s="614">
        <v>924</v>
      </c>
      <c r="R18" s="621">
        <v>-291.17599999999999</v>
      </c>
      <c r="S18" s="621">
        <f>IF(Q18=0, "    ---- ", IF(ABS(ROUND(100/Q18*R18-100,1))&lt;999,ROUND(100/Q18*R18-100,1),IF(ROUND(100/Q18*R18-100,1)&gt;999,999,-999)))</f>
        <v>-131.5</v>
      </c>
      <c r="T18" s="615">
        <v>1671</v>
      </c>
      <c r="U18" s="569">
        <v>-1009</v>
      </c>
      <c r="V18" s="621">
        <f>IF(T18=0, "    ---- ", IF(ABS(ROUND(100/T18*U18-100,1))&lt;999,ROUND(100/T18*U18-100,1),IF(ROUND(100/T18*U18-100,1)&gt;999,999,-999)))</f>
        <v>-160.4</v>
      </c>
      <c r="W18" s="615">
        <v>906</v>
      </c>
      <c r="X18" s="569">
        <v>771</v>
      </c>
      <c r="Y18" s="621">
        <f>IF(W18=0, "    ---- ", IF(ABS(ROUND(100/W18*X18-100,1))&lt;999,ROUND(100/W18*X18-100,1),IF(ROUND(100/W18*X18-100,1)&gt;999,999,-999)))</f>
        <v>-14.9</v>
      </c>
      <c r="Z18" s="615">
        <v>57.131</v>
      </c>
      <c r="AA18" s="569">
        <v>-28.190999999999999</v>
      </c>
      <c r="AB18" s="621">
        <f>IF(Z18=0, "    ---- ", IF(ABS(ROUND(100/Z18*AA18-100,1))&lt;999,ROUND(100/Z18*AA18-100,1),IF(ROUND(100/Z18*AA18-100,1)&gt;999,999,-999)))</f>
        <v>-149.30000000000001</v>
      </c>
      <c r="AC18" s="615">
        <v>5851</v>
      </c>
      <c r="AD18" s="569">
        <v>-4781</v>
      </c>
      <c r="AE18" s="621">
        <f>IF(AC18=0, "    ---- ", IF(ABS(ROUND(100/AC18*AD18-100,1))&lt;999,ROUND(100/AC18*AD18-100,1),IF(ROUND(100/AC18*AD18-100,1)&gt;999,999,-999)))</f>
        <v>-181.7</v>
      </c>
      <c r="AF18" s="621">
        <f>B18+E18+H18+K18+N18+Q18+T18+W18+Z18+AC18</f>
        <v>15054.031000000001</v>
      </c>
      <c r="AG18" s="621">
        <f>C18+F18+I18+L18+O18+R18+U18+X18+AA18+AD18</f>
        <v>-6759.6329999999998</v>
      </c>
      <c r="AH18" s="621">
        <f>IF(AF18=0, "    ---- ", IF(ABS(ROUND(100/AF18*AG18-100,1))&lt;999,ROUND(100/AF18*AG18-100,1),IF(ROUND(100/AF18*AG18-100,1)&gt;999,999,-999)))</f>
        <v>-144.9</v>
      </c>
    </row>
    <row r="20" spans="1:34" ht="18.75" x14ac:dyDescent="0.3">
      <c r="A20" s="531" t="s">
        <v>428</v>
      </c>
    </row>
    <row r="22" spans="1:34" x14ac:dyDescent="0.2">
      <c r="W22" s="690"/>
      <c r="X22" s="691"/>
    </row>
  </sheetData>
  <protectedRanges>
    <protectedRange sqref="I9:I10" name="Område1_13_5_2"/>
    <protectedRange sqref="I11:I18" name="Område1_2_1_2_2"/>
    <protectedRange sqref="H9:H10" name="Område1_13_5_2_1"/>
    <protectedRange sqref="H11:H18" name="Område1_2_1_2_2_1"/>
    <protectedRange sqref="U9:U10" name="Område1_13_3_1_1"/>
    <protectedRange sqref="U11:U18" name="Område1_5_1_2_1"/>
    <protectedRange sqref="T9:T10" name="Område1_13_3_1_1_1"/>
    <protectedRange sqref="T11:T18" name="Område1_5_1_2_1_1"/>
    <protectedRange sqref="AA9:AA18" name="Område1_11_1_1_1"/>
    <protectedRange sqref="Z9:Z18" name="Område1_11_1_1_1_1"/>
    <protectedRange sqref="O9:O13 O15:O18" name="Område1_9_6_1_1"/>
    <protectedRange sqref="O14" name="Område1_4_2_6_1_1"/>
    <protectedRange sqref="N9:N13 N15:N18" name="Område1_9_6_1_2"/>
    <protectedRange sqref="N14" name="Område1_4_2_6_1_2"/>
    <protectedRange sqref="AD9:AD10" name="Område1_10_1_1_1_1"/>
    <protectedRange sqref="AD11:AD18" name="Område1_8_1_1_1_1_1"/>
    <protectedRange sqref="AC9:AC10" name="Område1_10_1_1_1_1_1"/>
    <protectedRange sqref="AC11:AC18" name="Område1_8_1_1_1_1_1_1"/>
    <protectedRange sqref="L9:L13 L15:L18" name="Område1_13_1_1_1"/>
    <protectedRange sqref="L14" name="Område1_4_1_2_1"/>
    <protectedRange sqref="K9:K13 K15:K18" name="Område1_13_1_1_1_1"/>
    <protectedRange sqref="K14" name="Område1_4_1_2_1_1"/>
    <protectedRange sqref="C9:C10 C17:C18" name="Område1_12_1_1_1"/>
    <protectedRange sqref="C11:C16" name="Område1_1_1_1_1_1"/>
    <protectedRange sqref="B9:B10 B17:B18" name="Område1_12_1_1_1_1"/>
    <protectedRange sqref="B11:B16" name="Område1_1_1_1_1_1_1"/>
    <protectedRange sqref="F9:F10" name="Område1_13_5_1_1"/>
    <protectedRange sqref="F11:F18" name="Område1_2_1_2_1_1"/>
    <protectedRange sqref="E9:E10" name="Område1_13_5_1_1_1"/>
    <protectedRange sqref="E11:E18" name="Område1_2_1_2_1_1_1"/>
    <protectedRange sqref="X9:X10" name="Område1_13_4_1_1"/>
    <protectedRange sqref="X11:X13 X15:X18" name="Område1_6_1_2_1"/>
    <protectedRange sqref="X14" name="Område1_4_2_5"/>
    <protectedRange sqref="W9:W10" name="Område1_13_4_1_1_1"/>
    <protectedRange sqref="W11:W13 W15:W18" name="Område1_6_1_2_1_1"/>
    <protectedRange sqref="W14" name="Område1_4_2_5_1"/>
    <protectedRange sqref="R9:R10" name="Område1_13_2_1_1"/>
    <protectedRange sqref="R11:R18" name="Område1_3_1_2_1"/>
    <protectedRange sqref="Q9:Q10" name="Område1_13_2_1_1_1"/>
    <protectedRange sqref="Q11:Q18" name="Område1_3_1_2_1_1"/>
  </protectedRanges>
  <mergeCells count="27">
    <mergeCell ref="N5:P5"/>
    <mergeCell ref="T6:V6"/>
    <mergeCell ref="W6:Y6"/>
    <mergeCell ref="Z6:AB6"/>
    <mergeCell ref="Q6:S6"/>
    <mergeCell ref="W5:Y5"/>
    <mergeCell ref="Z5:AB5"/>
    <mergeCell ref="N6:P6"/>
    <mergeCell ref="AN5:AP5"/>
    <mergeCell ref="AQ5:AS5"/>
    <mergeCell ref="AT5:AV5"/>
    <mergeCell ref="AK5:AM5"/>
    <mergeCell ref="AC6:AE6"/>
    <mergeCell ref="AF6:AH6"/>
    <mergeCell ref="AC5:AE5"/>
    <mergeCell ref="AF5:AH5"/>
    <mergeCell ref="AK6:AM6"/>
    <mergeCell ref="AN6:AP6"/>
    <mergeCell ref="AQ6:AS6"/>
    <mergeCell ref="AT6:AV6"/>
    <mergeCell ref="B5:D5"/>
    <mergeCell ref="E5:G5"/>
    <mergeCell ref="K5:M5"/>
    <mergeCell ref="B6:D6"/>
    <mergeCell ref="E6:G6"/>
    <mergeCell ref="H6:J6"/>
    <mergeCell ref="K6:M6"/>
  </mergeCells>
  <hyperlinks>
    <hyperlink ref="B1" location="Innhold!A1" display="Tilbake" xr:uid="{10497701-2AA6-4565-8F01-4AFD14AEF8BE}"/>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9"/>
  <dimension ref="A2:Q65"/>
  <sheetViews>
    <sheetView showGridLines="0" zoomScale="90" zoomScaleNormal="90" workbookViewId="0">
      <selection activeCell="A4" sqref="A4"/>
    </sheetView>
  </sheetViews>
  <sheetFormatPr baseColWidth="10" defaultColWidth="11.42578125" defaultRowHeight="12.75" x14ac:dyDescent="0.2"/>
  <cols>
    <col min="1" max="1" width="66.28515625" style="1" customWidth="1"/>
    <col min="2" max="2" width="4.28515625" style="50" customWidth="1"/>
    <col min="3" max="3" width="105.28515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20"/>
      <c r="D2" s="320"/>
      <c r="E2" s="320"/>
    </row>
    <row r="3" spans="1:17" x14ac:dyDescent="0.2">
      <c r="A3" s="43" t="s">
        <v>51</v>
      </c>
    </row>
    <row r="4" spans="1:17" x14ac:dyDescent="0.2">
      <c r="C4" s="320"/>
      <c r="D4" s="320"/>
      <c r="E4" s="320"/>
      <c r="F4" s="320"/>
      <c r="G4" s="320"/>
      <c r="H4" s="320"/>
      <c r="I4" s="320"/>
      <c r="J4" s="320"/>
      <c r="K4" s="320"/>
    </row>
    <row r="6" spans="1:17" ht="15.75" x14ac:dyDescent="0.25">
      <c r="C6" s="327" t="s">
        <v>16</v>
      </c>
      <c r="D6" s="3"/>
      <c r="E6" s="327"/>
    </row>
    <row r="7" spans="1:17" ht="18.75" customHeight="1" x14ac:dyDescent="0.2">
      <c r="C7" s="3"/>
      <c r="D7" s="3"/>
      <c r="E7" s="50"/>
    </row>
    <row r="8" spans="1:17" ht="15.75" x14ac:dyDescent="0.25">
      <c r="B8" s="321">
        <v>1</v>
      </c>
      <c r="C8" s="322" t="s">
        <v>345</v>
      </c>
      <c r="E8" s="331"/>
    </row>
    <row r="9" spans="1:17" ht="31.5" x14ac:dyDescent="0.2">
      <c r="B9" s="321">
        <v>2</v>
      </c>
      <c r="C9" s="324" t="s">
        <v>271</v>
      </c>
      <c r="E9" s="8"/>
      <c r="Q9" s="3"/>
    </row>
    <row r="10" spans="1:17" ht="47.25" x14ac:dyDescent="0.2">
      <c r="B10" s="321">
        <v>3</v>
      </c>
      <c r="C10" s="322" t="s">
        <v>272</v>
      </c>
      <c r="E10" s="8"/>
    </row>
    <row r="11" spans="1:17" ht="47.25" x14ac:dyDescent="0.2">
      <c r="B11" s="321">
        <v>4</v>
      </c>
      <c r="C11" s="324" t="s">
        <v>273</v>
      </c>
      <c r="E11" s="8"/>
    </row>
    <row r="12" spans="1:17" ht="31.5" x14ac:dyDescent="0.2">
      <c r="B12" s="321">
        <v>5</v>
      </c>
      <c r="C12" s="322" t="s">
        <v>21</v>
      </c>
      <c r="E12" s="3"/>
    </row>
    <row r="13" spans="1:17" ht="15.75" x14ac:dyDescent="0.2">
      <c r="B13" s="321">
        <v>6</v>
      </c>
      <c r="C13" s="322" t="s">
        <v>346</v>
      </c>
      <c r="E13" s="3"/>
    </row>
    <row r="14" spans="1:17" ht="15.75" x14ac:dyDescent="0.2">
      <c r="B14" s="321">
        <v>7</v>
      </c>
      <c r="C14" s="322" t="s">
        <v>17</v>
      </c>
    </row>
    <row r="15" spans="1:17" ht="18.75" customHeight="1" x14ac:dyDescent="0.2">
      <c r="B15" s="321">
        <v>8</v>
      </c>
      <c r="C15" s="322" t="s">
        <v>18</v>
      </c>
    </row>
    <row r="16" spans="1:17" ht="18.75" customHeight="1" x14ac:dyDescent="0.2">
      <c r="B16" s="321">
        <v>9</v>
      </c>
      <c r="C16" s="322" t="s">
        <v>22</v>
      </c>
    </row>
    <row r="17" spans="2:9" ht="63" x14ac:dyDescent="0.25">
      <c r="B17" s="321">
        <v>10</v>
      </c>
      <c r="C17" s="322" t="s">
        <v>355</v>
      </c>
      <c r="E17" s="327"/>
    </row>
    <row r="18" spans="2:9" ht="15.75" x14ac:dyDescent="0.2">
      <c r="B18" s="321">
        <v>11</v>
      </c>
      <c r="C18" s="322" t="s">
        <v>19</v>
      </c>
      <c r="E18" s="8"/>
    </row>
    <row r="19" spans="2:9" ht="15.75" x14ac:dyDescent="0.2">
      <c r="B19" s="321">
        <v>12</v>
      </c>
      <c r="C19" s="322" t="s">
        <v>275</v>
      </c>
      <c r="E19" s="8"/>
    </row>
    <row r="20" spans="2:9" ht="15.75" x14ac:dyDescent="0.2">
      <c r="B20" s="321">
        <v>13</v>
      </c>
      <c r="C20" s="322" t="s">
        <v>20</v>
      </c>
      <c r="E20" s="3"/>
    </row>
    <row r="21" spans="2:9" ht="47.25" x14ac:dyDescent="0.2">
      <c r="B21" s="321">
        <v>14</v>
      </c>
      <c r="C21" s="322" t="s">
        <v>276</v>
      </c>
      <c r="E21" s="332"/>
    </row>
    <row r="22" spans="2:9" ht="31.5" x14ac:dyDescent="0.2">
      <c r="B22" s="321">
        <v>15</v>
      </c>
      <c r="C22" s="324" t="s">
        <v>334</v>
      </c>
      <c r="E22" s="3"/>
    </row>
    <row r="23" spans="2:9" ht="15.75" x14ac:dyDescent="0.25">
      <c r="B23" s="321">
        <v>16</v>
      </c>
      <c r="C23" s="326" t="s">
        <v>274</v>
      </c>
      <c r="D23" s="325"/>
      <c r="E23" s="320"/>
      <c r="F23" s="325"/>
      <c r="G23" s="2"/>
      <c r="H23" s="2"/>
      <c r="I23" s="2"/>
    </row>
    <row r="24" spans="2:9" ht="18.75" customHeight="1" x14ac:dyDescent="0.25">
      <c r="B24" s="323">
        <v>17</v>
      </c>
      <c r="C24" s="326" t="s">
        <v>277</v>
      </c>
    </row>
    <row r="25" spans="2:9" ht="18.75" customHeight="1" x14ac:dyDescent="0.2">
      <c r="B25" s="698">
        <v>18</v>
      </c>
      <c r="C25" s="763" t="s">
        <v>429</v>
      </c>
    </row>
    <row r="26" spans="2:9" ht="18.75" customHeight="1" x14ac:dyDescent="0.25">
      <c r="B26" s="323"/>
      <c r="C26" s="763"/>
    </row>
    <row r="27" spans="2:9" ht="18.75" customHeight="1" x14ac:dyDescent="0.2">
      <c r="C27" s="329"/>
    </row>
    <row r="28" spans="2:9" ht="18.75" customHeight="1" x14ac:dyDescent="0.2">
      <c r="C28" s="329"/>
    </row>
    <row r="29" spans="2:9" ht="18.75" customHeight="1" x14ac:dyDescent="0.2">
      <c r="C29" s="329"/>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30"/>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20"/>
      <c r="E50" s="320"/>
      <c r="F50" s="320"/>
      <c r="G50" s="320"/>
      <c r="H50" s="320"/>
      <c r="I50" s="320"/>
      <c r="J50" s="320"/>
      <c r="K50" s="320"/>
      <c r="L50" s="320"/>
      <c r="M50" s="320"/>
      <c r="N50" s="320"/>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xmlns:xlrd2="http://schemas.microsoft.com/office/spreadsheetml/2017/richdata2" ref="B5:E41">
    <sortCondition ref="B5:B41"/>
  </sortState>
  <mergeCells count="1">
    <mergeCell ref="C25:C26"/>
  </mergeCells>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F115"/>
  <sheetViews>
    <sheetView showGridLines="0" showZeros="0" zoomScale="70" zoomScaleNormal="7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2.75" x14ac:dyDescent="0.2"/>
  <cols>
    <col min="1" max="1" width="49" style="87" customWidth="1"/>
    <col min="2" max="3" width="15.7109375" style="87" customWidth="1"/>
    <col min="4" max="4" width="8.7109375" style="87" customWidth="1"/>
    <col min="5" max="5" width="12.140625" style="87" bestFit="1" customWidth="1"/>
    <col min="6" max="6" width="4.7109375" style="87" customWidth="1"/>
    <col min="7" max="7" width="18.42578125" style="87" customWidth="1"/>
    <col min="8" max="8" width="17.7109375" style="87" customWidth="1"/>
    <col min="9" max="9" width="8.7109375" style="87" customWidth="1"/>
    <col min="10" max="10" width="12.140625" style="87" bestFit="1" customWidth="1"/>
    <col min="11" max="11" width="13.42578125" style="87" hidden="1" customWidth="1"/>
    <col min="12" max="12" width="14.7109375" style="185" hidden="1" customWidth="1"/>
    <col min="13" max="13" width="13.7109375" style="185" hidden="1" customWidth="1"/>
    <col min="14" max="15" width="15.7109375" style="185" hidden="1" customWidth="1"/>
    <col min="16" max="16" width="11.42578125" style="87" hidden="1" customWidth="1"/>
    <col min="17" max="19" width="11.42578125" style="87" customWidth="1"/>
    <col min="20" max="16384" width="11.42578125" style="87"/>
  </cols>
  <sheetData>
    <row r="1" spans="1:16" ht="20.25" x14ac:dyDescent="0.3">
      <c r="A1" s="80" t="s">
        <v>76</v>
      </c>
      <c r="B1" s="73" t="s">
        <v>52</v>
      </c>
      <c r="C1" s="74"/>
      <c r="D1" s="74"/>
      <c r="E1" s="74"/>
      <c r="F1" s="74"/>
      <c r="G1" s="74"/>
      <c r="H1" s="74"/>
      <c r="I1" s="74"/>
      <c r="J1" s="74"/>
      <c r="K1" s="74"/>
    </row>
    <row r="2" spans="1:16" ht="20.25" x14ac:dyDescent="0.3">
      <c r="A2" s="80" t="s">
        <v>77</v>
      </c>
      <c r="B2" s="74"/>
      <c r="C2" s="74"/>
      <c r="D2" s="74"/>
      <c r="E2" s="74"/>
      <c r="F2" s="74"/>
      <c r="G2" s="74"/>
      <c r="H2" s="74"/>
      <c r="I2" s="74"/>
      <c r="J2" s="74"/>
      <c r="K2" s="74"/>
    </row>
    <row r="3" spans="1:16" ht="18.75" x14ac:dyDescent="0.3">
      <c r="A3" s="705" t="s">
        <v>78</v>
      </c>
      <c r="B3" s="705"/>
      <c r="C3" s="74"/>
      <c r="D3" s="74"/>
      <c r="E3" s="74"/>
      <c r="F3" s="74"/>
      <c r="G3" s="74"/>
      <c r="H3" s="74"/>
      <c r="I3" s="74"/>
      <c r="J3" s="74"/>
      <c r="K3" s="74"/>
    </row>
    <row r="4" spans="1:16" ht="18.75" x14ac:dyDescent="0.3">
      <c r="A4" s="82" t="s">
        <v>425</v>
      </c>
      <c r="B4" s="83"/>
      <c r="C4" s="84"/>
      <c r="D4" s="84"/>
      <c r="E4" s="85"/>
      <c r="F4" s="86"/>
      <c r="G4" s="83"/>
      <c r="H4" s="84"/>
      <c r="I4" s="84"/>
      <c r="J4" s="85"/>
      <c r="K4" s="112"/>
      <c r="L4" s="207"/>
      <c r="M4" s="208"/>
      <c r="N4" s="209"/>
      <c r="O4" s="208"/>
    </row>
    <row r="5" spans="1:16" ht="22.5" x14ac:dyDescent="0.3">
      <c r="A5" s="88"/>
      <c r="B5" s="706" t="s">
        <v>79</v>
      </c>
      <c r="C5" s="707"/>
      <c r="D5" s="707"/>
      <c r="E5" s="708"/>
      <c r="F5" s="90"/>
      <c r="G5" s="706" t="s">
        <v>387</v>
      </c>
      <c r="H5" s="707"/>
      <c r="I5" s="707"/>
      <c r="J5" s="708"/>
      <c r="K5" s="89"/>
      <c r="L5" s="709" t="s">
        <v>132</v>
      </c>
      <c r="M5" s="704"/>
      <c r="N5" s="703" t="s">
        <v>133</v>
      </c>
      <c r="O5" s="704"/>
    </row>
    <row r="6" spans="1:16" ht="18.75" x14ac:dyDescent="0.3">
      <c r="A6" s="91"/>
      <c r="B6" s="92"/>
      <c r="C6" s="93"/>
      <c r="D6" s="93" t="s">
        <v>80</v>
      </c>
      <c r="E6" s="94" t="s">
        <v>29</v>
      </c>
      <c r="F6" s="95"/>
      <c r="G6" s="92"/>
      <c r="H6" s="93"/>
      <c r="I6" s="93" t="s">
        <v>80</v>
      </c>
      <c r="J6" s="94" t="s">
        <v>29</v>
      </c>
      <c r="K6" s="100"/>
      <c r="L6" s="210"/>
      <c r="M6" s="211"/>
      <c r="N6" s="212"/>
      <c r="O6" s="211"/>
    </row>
    <row r="7" spans="1:16" ht="15.75" x14ac:dyDescent="0.25">
      <c r="A7" s="96" t="s">
        <v>81</v>
      </c>
      <c r="B7" s="97">
        <v>2021</v>
      </c>
      <c r="C7" s="97">
        <v>2022</v>
      </c>
      <c r="D7" s="98" t="s">
        <v>82</v>
      </c>
      <c r="E7" s="99" t="s">
        <v>30</v>
      </c>
      <c r="F7" s="95"/>
      <c r="G7" s="97">
        <v>2021</v>
      </c>
      <c r="H7" s="97">
        <v>2022</v>
      </c>
      <c r="I7" s="98" t="s">
        <v>82</v>
      </c>
      <c r="J7" s="99" t="s">
        <v>30</v>
      </c>
      <c r="K7" s="100"/>
      <c r="L7" s="213">
        <v>2015</v>
      </c>
      <c r="M7" s="214">
        <v>2016</v>
      </c>
      <c r="N7" s="215">
        <v>2015</v>
      </c>
      <c r="O7" s="214">
        <v>2016</v>
      </c>
      <c r="P7" s="87" t="s">
        <v>136</v>
      </c>
    </row>
    <row r="8" spans="1:16" ht="18.75" x14ac:dyDescent="0.3">
      <c r="A8" s="101" t="s">
        <v>0</v>
      </c>
      <c r="B8" s="129"/>
      <c r="C8" s="103"/>
      <c r="D8" s="104"/>
      <c r="E8" s="395"/>
      <c r="F8" s="175"/>
      <c r="G8" s="129"/>
      <c r="H8" s="129"/>
      <c r="I8" s="103"/>
      <c r="J8" s="395"/>
      <c r="K8" s="139"/>
      <c r="L8" s="216" t="s">
        <v>0</v>
      </c>
      <c r="M8" s="217"/>
      <c r="N8" s="218"/>
      <c r="O8" s="217"/>
      <c r="P8" s="87" t="s">
        <v>144</v>
      </c>
    </row>
    <row r="9" spans="1:16" ht="18.75" x14ac:dyDescent="0.3">
      <c r="A9" s="189" t="s">
        <v>411</v>
      </c>
      <c r="B9" s="175">
        <f>'Codan Forsikring'!B7+'Codan Forsikring'!B22+'Codan Forsikring'!B36+'Codan Forsikring'!B47+'Codan Forsikring'!B66+'Codan Forsikring'!B134</f>
        <v>47791</v>
      </c>
      <c r="C9" s="175">
        <f>'Codan Forsikring'!C7+'Codan Forsikring'!C22+'Codan Forsikring'!C36+'Codan Forsikring'!C47+'Codan Forsikring'!C66+'Codan Forsikring'!C134</f>
        <v>49378</v>
      </c>
      <c r="D9" s="104">
        <f t="shared" ref="D9" si="0">IF(B9=0, "    ---- ", IF(ABS(ROUND(100/B9*C9-100,1))&lt;999,ROUND(100/B9*C9-100,1),IF(ROUND(100/B9*C9-100,1)&gt;999,999,-999)))</f>
        <v>3.3</v>
      </c>
      <c r="E9" s="395">
        <f t="shared" ref="E9:E33" si="1">100/C$34*C9</f>
        <v>0.28873504993933652</v>
      </c>
      <c r="F9" s="103"/>
      <c r="G9" s="175">
        <f>'Codan Forsikring'!B10+'Codan Forsikring'!B29+'Codan Forsikring'!B37+'Codan Forsikring'!B87+'Codan Forsikring'!B135</f>
        <v>0</v>
      </c>
      <c r="H9" s="175">
        <f>'Codan Forsikring'!C10+'Codan Forsikring'!C29+'Codan Forsikring'!C37+'Codan Forsikring'!C87+'Codan Forsikring'!C135</f>
        <v>0</v>
      </c>
      <c r="I9" s="104"/>
      <c r="J9" s="395"/>
      <c r="K9" s="139"/>
      <c r="L9" s="216"/>
      <c r="M9" s="217"/>
      <c r="N9" s="219"/>
      <c r="O9" s="217"/>
    </row>
    <row r="10" spans="1:16" ht="18.75" x14ac:dyDescent="0.3">
      <c r="A10" s="189" t="s">
        <v>83</v>
      </c>
      <c r="B10" s="175">
        <f>'Danica Pensjonsforsikring'!B7+'Danica Pensjonsforsikring'!B22+'Danica Pensjonsforsikring'!B36+'Danica Pensjonsforsikring'!B47+'Danica Pensjonsforsikring'!B66+'Danica Pensjonsforsikring'!B134</f>
        <v>105984.141</v>
      </c>
      <c r="C10" s="175">
        <f>'Danica Pensjonsforsikring'!C7+'Danica Pensjonsforsikring'!C22+'Danica Pensjonsforsikring'!C36+'Danica Pensjonsforsikring'!C47+'Danica Pensjonsforsikring'!C66+'Danica Pensjonsforsikring'!C134</f>
        <v>112892.864</v>
      </c>
      <c r="D10" s="104">
        <f t="shared" ref="D10:D32" si="2">IF(B10=0, "    ---- ", IF(ABS(ROUND(100/B10*C10-100,1))&lt;999,ROUND(100/B10*C10-100,1),IF(ROUND(100/B10*C10-100,1)&gt;999,999,-999)))</f>
        <v>6.5</v>
      </c>
      <c r="E10" s="395">
        <f t="shared" si="1"/>
        <v>0.66013460903306598</v>
      </c>
      <c r="F10" s="103"/>
      <c r="G10" s="175">
        <f>'Danica Pensjonsforsikring'!B10+'Danica Pensjonsforsikring'!B29+'Danica Pensjonsforsikring'!B37+'Danica Pensjonsforsikring'!B87+'Danica Pensjonsforsikring'!B135</f>
        <v>1351956.0279999999</v>
      </c>
      <c r="H10" s="175">
        <f>'Danica Pensjonsforsikring'!C10+'Danica Pensjonsforsikring'!C29+'Danica Pensjonsforsikring'!C37+'Danica Pensjonsforsikring'!C87+'Danica Pensjonsforsikring'!C135</f>
        <v>1381543.8390000002</v>
      </c>
      <c r="I10" s="104">
        <f t="shared" ref="I10:I30" si="3">IF(G10=0, "    ---- ", IF(ABS(ROUND(100/G10*H10-100,1))&lt;999,ROUND(100/G10*H10-100,1),IF(ROUND(100/G10*H10-100,1)&gt;999,999,-999)))</f>
        <v>2.2000000000000002</v>
      </c>
      <c r="J10" s="395">
        <f>100/H$34*H10</f>
        <v>0.11426563362062986</v>
      </c>
      <c r="K10" s="203" t="s">
        <v>140</v>
      </c>
      <c r="L10" s="219" t="e">
        <f ca="1">INDIRECT("'" &amp;#REF! &amp; "'!" &amp; $P$7)</f>
        <v>#REF!</v>
      </c>
      <c r="M10" s="217" t="e">
        <f ca="1">INDIRECT("'" &amp;#REF! &amp; "'!" &amp; $P$8)</f>
        <v>#REF!</v>
      </c>
      <c r="N10" s="219" t="e">
        <f ca="1">INDIRECT("'" &amp;#REF! &amp; "'!" &amp; $P$10)</f>
        <v>#REF!</v>
      </c>
      <c r="O10" s="217" t="e">
        <f ca="1">INDIRECT("'" &amp;#REF! &amp; "'!" &amp; $P$11)</f>
        <v>#REF!</v>
      </c>
      <c r="P10" s="87" t="s">
        <v>147</v>
      </c>
    </row>
    <row r="11" spans="1:16" ht="18.75" x14ac:dyDescent="0.3">
      <c r="A11" s="189" t="s">
        <v>84</v>
      </c>
      <c r="B11" s="175">
        <f>'DNB Livsforsikring'!B7+'DNB Livsforsikring'!B22+'DNB Livsforsikring'!B36+'DNB Livsforsikring'!B47+'DNB Livsforsikring'!B66+'DNB Livsforsikring'!B134</f>
        <v>1343575.8687400001</v>
      </c>
      <c r="C11" s="175">
        <f>'DNB Livsforsikring'!C7+'DNB Livsforsikring'!C22+'DNB Livsforsikring'!C36+'DNB Livsforsikring'!C47+'DNB Livsforsikring'!C66+'DNB Livsforsikring'!C134</f>
        <v>1241691.2704</v>
      </c>
      <c r="D11" s="104">
        <f t="shared" si="2"/>
        <v>-7.6</v>
      </c>
      <c r="E11" s="395">
        <f t="shared" si="1"/>
        <v>7.2607191657860231</v>
      </c>
      <c r="F11" s="103"/>
      <c r="G11" s="175">
        <f>'DNB Livsforsikring'!B10+'DNB Livsforsikring'!B29+'DNB Livsforsikring'!B37+'DNB Livsforsikring'!B87+'DNB Livsforsikring'!B135</f>
        <v>196590138.16999999</v>
      </c>
      <c r="H11" s="175">
        <f>'DNB Livsforsikring'!C10+'DNB Livsforsikring'!C29+'DNB Livsforsikring'!C37+'DNB Livsforsikring'!C87+'DNB Livsforsikring'!C135</f>
        <v>192614629.3415657</v>
      </c>
      <c r="I11" s="104">
        <f t="shared" si="3"/>
        <v>-2</v>
      </c>
      <c r="J11" s="395">
        <f>100/H$34*H11</f>
        <v>15.930897047934188</v>
      </c>
      <c r="K11" s="204" t="s">
        <v>141</v>
      </c>
      <c r="L11" s="219">
        <f ca="1">INDIRECT("'" &amp; $A10 &amp; "'!" &amp; $P$7)</f>
        <v>0</v>
      </c>
      <c r="M11" s="217">
        <f ca="1">INDIRECT("'" &amp; $A10 &amp; "'!" &amp; $P$8)</f>
        <v>0</v>
      </c>
      <c r="N11" s="219">
        <f ca="1">INDIRECT("'" &amp; $A10 &amp; "'!" &amp; $P$10)</f>
        <v>0</v>
      </c>
      <c r="O11" s="217">
        <f ca="1">INDIRECT("'" &amp; $A10 &amp; "'!" &amp; $P$11)</f>
        <v>0</v>
      </c>
      <c r="P11" s="87" t="s">
        <v>152</v>
      </c>
    </row>
    <row r="12" spans="1:16" ht="18.75" x14ac:dyDescent="0.3">
      <c r="A12" s="189" t="s">
        <v>85</v>
      </c>
      <c r="B12" s="175">
        <f>'Eika Forsikring AS'!B7+'Eika Forsikring AS'!B22+'Eika Forsikring AS'!B36+'Eika Forsikring AS'!B47+'Eika Forsikring AS'!B66+'Eika Forsikring AS'!B134</f>
        <v>86830</v>
      </c>
      <c r="C12" s="175">
        <f>'Eika Forsikring AS'!C7+'Eika Forsikring AS'!C22+'Eika Forsikring AS'!C36+'Eika Forsikring AS'!C47+'Eika Forsikring AS'!C66+'Eika Forsikring AS'!C134</f>
        <v>116603</v>
      </c>
      <c r="D12" s="104">
        <f t="shared" si="2"/>
        <v>34.299999999999997</v>
      </c>
      <c r="E12" s="395">
        <f t="shared" si="1"/>
        <v>0.68182941852801771</v>
      </c>
      <c r="F12" s="103"/>
      <c r="G12" s="175">
        <f>'Eika Forsikring AS'!B10+'Eika Forsikring AS'!B29+'Eika Forsikring AS'!B37+'Eika Forsikring AS'!B87+'Eika Forsikring AS'!B135</f>
        <v>0</v>
      </c>
      <c r="H12" s="175">
        <f>'Eika Forsikring AS'!C10+'Eika Forsikring AS'!C29+'Eika Forsikring AS'!C37+'Eika Forsikring AS'!C87+'Eika Forsikring AS'!C135</f>
        <v>0</v>
      </c>
      <c r="I12" s="104"/>
      <c r="J12" s="395"/>
      <c r="K12" s="87" t="s">
        <v>134</v>
      </c>
      <c r="L12" s="219">
        <f ca="1">INDIRECT("'" &amp; $A11 &amp; "'!" &amp; $P$7)</f>
        <v>0</v>
      </c>
      <c r="M12" s="217">
        <f ca="1">INDIRECT("'" &amp; $A11 &amp; "'!" &amp; $P$8)</f>
        <v>0</v>
      </c>
      <c r="N12" s="219">
        <f ca="1">INDIRECT("'" &amp; $A11 &amp; "'!" &amp; $P$10)</f>
        <v>0</v>
      </c>
      <c r="O12" s="217">
        <f ca="1">INDIRECT("'" &amp; $A11 &amp; "'!" &amp; $P$11)</f>
        <v>0</v>
      </c>
    </row>
    <row r="13" spans="1:16" ht="18.75" x14ac:dyDescent="0.3">
      <c r="A13" s="189" t="s">
        <v>412</v>
      </c>
      <c r="B13" s="175">
        <f>'Euro Accident'!B7+'Euro Accident'!B22+'Euro Accident'!B36+'Euro Accident'!B47+'Euro Accident'!B66+'Euro Accident'!B134</f>
        <v>8328</v>
      </c>
      <c r="C13" s="175">
        <f>'Euro Accident'!C7+'Euro Accident'!C22+'Euro Accident'!C36+'Euro Accident'!C47+'Euro Accident'!C66+'Euro Accident'!C134</f>
        <v>22472</v>
      </c>
      <c r="D13" s="104">
        <f t="shared" ref="D13" si="4">IF(B13=0, "    ---- ", IF(ABS(ROUND(100/B13*C13-100,1))&lt;999,ROUND(100/B13*C13-100,1),IF(ROUND(100/B13*C13-100,1)&gt;999,999,-999)))</f>
        <v>169.8</v>
      </c>
      <c r="E13" s="395">
        <f t="shared" si="1"/>
        <v>0.13140374341279054</v>
      </c>
      <c r="F13" s="103"/>
      <c r="G13" s="175">
        <f>'Euro Accident'!B10+'Euro Accident'!B29+'Euro Accident'!B37+'Euro Accident'!B87+'Euro Accident'!B135</f>
        <v>0</v>
      </c>
      <c r="H13" s="175">
        <f>'Euro Accident'!C10+'Euro Accident'!C29+'Euro Accident'!C37+'Euro Accident'!C87+'Euro Accident'!C135</f>
        <v>0</v>
      </c>
      <c r="I13" s="104"/>
      <c r="J13" s="395"/>
      <c r="L13" s="219"/>
      <c r="M13" s="217"/>
      <c r="N13" s="219"/>
      <c r="O13" s="217"/>
    </row>
    <row r="14" spans="1:16" ht="18.75" x14ac:dyDescent="0.3">
      <c r="A14" s="108" t="s">
        <v>394</v>
      </c>
      <c r="B14" s="175">
        <f>'Fremtind Livsforsikring'!B7+'Fremtind Livsforsikring'!B22+'Fremtind Livsforsikring'!B36+'Fremtind Livsforsikring'!B47+'Fremtind Livsforsikring'!B66+'Fremtind Livsforsikring'!B134</f>
        <v>846741.58648000006</v>
      </c>
      <c r="C14" s="175">
        <f>'Fremtind Livsforsikring'!C7+'Fremtind Livsforsikring'!C22+'Fremtind Livsforsikring'!C36+'Fremtind Livsforsikring'!C47+'Fremtind Livsforsikring'!C66+'Fremtind Livsforsikring'!C134</f>
        <v>867620.14841999998</v>
      </c>
      <c r="D14" s="104">
        <f t="shared" si="2"/>
        <v>2.5</v>
      </c>
      <c r="E14" s="395">
        <f t="shared" si="1"/>
        <v>5.0733595302042058</v>
      </c>
      <c r="F14" s="103"/>
      <c r="G14" s="175">
        <f>'Fremtind Livsforsikring'!B10+'Fremtind Livsforsikring'!B29+'Fremtind Livsforsikring'!B37+'Fremtind Livsforsikring'!B87+'Fremtind Livsforsikring'!B135</f>
        <v>3914911.94576</v>
      </c>
      <c r="H14" s="175">
        <f>'Fremtind Livsforsikring'!C10+'Fremtind Livsforsikring'!C29+'Fremtind Livsforsikring'!C37+'Fremtind Livsforsikring'!C87+'Fremtind Livsforsikring'!C135</f>
        <v>4438692.9528400004</v>
      </c>
      <c r="I14" s="104">
        <f t="shared" si="3"/>
        <v>13.4</v>
      </c>
      <c r="J14" s="395">
        <f t="shared" ref="J14:J33" si="5">100/H$34*H14</f>
        <v>0.36711832689348856</v>
      </c>
      <c r="K14" s="87" t="s">
        <v>142</v>
      </c>
      <c r="L14" s="219">
        <f ca="1">INDIRECT("'" &amp; $A12 &amp; "'!" &amp; $P$7)</f>
        <v>0</v>
      </c>
      <c r="M14" s="217">
        <f ca="1">INDIRECT("'" &amp; $A12 &amp; "'!" &amp; $P$8)</f>
        <v>0</v>
      </c>
      <c r="N14" s="219">
        <f ca="1">INDIRECT("'" &amp; $A12 &amp; "'!" &amp; $P$10)</f>
        <v>0</v>
      </c>
      <c r="O14" s="217">
        <f ca="1">INDIRECT("'" &amp; $A12 &amp; "'!" &amp; $P$11)</f>
        <v>0</v>
      </c>
    </row>
    <row r="15" spans="1:16" ht="18.75" x14ac:dyDescent="0.3">
      <c r="A15" s="189" t="s">
        <v>86</v>
      </c>
      <c r="B15" s="176">
        <f>'Frende Livsforsikring'!B7+'Frende Livsforsikring'!B22+'Frende Livsforsikring'!B36+'Frende Livsforsikring'!B47+'Frende Livsforsikring'!B66+'Frende Livsforsikring'!B134</f>
        <v>462024</v>
      </c>
      <c r="C15" s="176">
        <f>'Frende Livsforsikring'!C7+'Frende Livsforsikring'!C22+'Frende Livsforsikring'!C36+'Frende Livsforsikring'!C47+'Frende Livsforsikring'!C66+'Frende Livsforsikring'!C134</f>
        <v>509672</v>
      </c>
      <c r="D15" s="104">
        <f t="shared" si="2"/>
        <v>10.3</v>
      </c>
      <c r="E15" s="395">
        <f t="shared" si="1"/>
        <v>2.9802780666021618</v>
      </c>
      <c r="F15" s="103"/>
      <c r="G15" s="175">
        <f>'Frende Livsforsikring'!B10+'Frende Livsforsikring'!B29+'Frende Livsforsikring'!B37+'Frende Livsforsikring'!B87+'Frende Livsforsikring'!B135</f>
        <v>1220716</v>
      </c>
      <c r="H15" s="175">
        <f>'Frende Livsforsikring'!C10+'Frende Livsforsikring'!C29+'Frende Livsforsikring'!C37+'Frende Livsforsikring'!C87+'Frende Livsforsikring'!C135</f>
        <v>1439347</v>
      </c>
      <c r="I15" s="104">
        <f t="shared" si="3"/>
        <v>17.899999999999999</v>
      </c>
      <c r="J15" s="395">
        <f t="shared" si="5"/>
        <v>0.11904645535823109</v>
      </c>
      <c r="L15" s="219"/>
      <c r="M15" s="217"/>
      <c r="N15" s="219"/>
      <c r="O15" s="217"/>
    </row>
    <row r="16" spans="1:16" ht="18.75" x14ac:dyDescent="0.3">
      <c r="A16" s="189" t="s">
        <v>87</v>
      </c>
      <c r="B16" s="175">
        <f>'Frende Skadeforsikring'!B7+'Frende Skadeforsikring'!B22+'Frende Skadeforsikring'!B36+'Frende Skadeforsikring'!B47+'Frende Skadeforsikring'!B66+'Frende Skadeforsikring'!B134</f>
        <v>5032.16</v>
      </c>
      <c r="C16" s="175">
        <f>'Frende Skadeforsikring'!C7+'Frende Skadeforsikring'!C22+'Frende Skadeforsikring'!C36+'Frende Skadeforsikring'!C47+'Frende Skadeforsikring'!C66+'Frende Skadeforsikring'!C134</f>
        <v>6055.442</v>
      </c>
      <c r="D16" s="104">
        <f t="shared" si="2"/>
        <v>20.3</v>
      </c>
      <c r="E16" s="395">
        <f t="shared" si="1"/>
        <v>3.5408853098034668E-2</v>
      </c>
      <c r="F16" s="103"/>
      <c r="G16" s="175">
        <f>'Frende Skadeforsikring'!B10+'Frende Skadeforsikring'!B29+'Frende Skadeforsikring'!B37+'Frende Skadeforsikring'!B87+'Frende Skadeforsikring'!B135</f>
        <v>0</v>
      </c>
      <c r="H16" s="175">
        <f>'Frende Skadeforsikring'!C10+'Frende Skadeforsikring'!C29+'Frende Skadeforsikring'!C37+'Frende Skadeforsikring'!C87+'Frende Skadeforsikring'!C135</f>
        <v>0</v>
      </c>
      <c r="I16" s="104"/>
      <c r="J16" s="395"/>
      <c r="K16" s="87" t="s">
        <v>135</v>
      </c>
      <c r="L16" s="219">
        <f t="shared" ref="L16:L32" ca="1" si="6">INDIRECT("'" &amp; $A15 &amp; "'!" &amp; $P$7)</f>
        <v>0</v>
      </c>
      <c r="M16" s="217">
        <f t="shared" ref="M16:M32" ca="1" si="7">INDIRECT("'" &amp; $A15 &amp; "'!" &amp; $P$8)</f>
        <v>0</v>
      </c>
      <c r="N16" s="219">
        <f t="shared" ref="N16:N32" ca="1" si="8">INDIRECT("'" &amp; $A15 &amp; "'!" &amp; $P$10)</f>
        <v>0</v>
      </c>
      <c r="O16" s="217">
        <f t="shared" ref="O16:O32" ca="1" si="9">INDIRECT("'" &amp; $A15 &amp; "'!" &amp; $P$11)</f>
        <v>0</v>
      </c>
    </row>
    <row r="17" spans="1:18" ht="18.75" x14ac:dyDescent="0.3">
      <c r="A17" s="189" t="s">
        <v>88</v>
      </c>
      <c r="B17" s="175">
        <f>'Gjensidige Forsikring'!B7+'Gjensidige Forsikring'!B22+'Gjensidige Forsikring'!B36+'Gjensidige Forsikring'!B47+'Gjensidige Forsikring'!B66+'Gjensidige Forsikring'!B134</f>
        <v>1275735.1170000001</v>
      </c>
      <c r="C17" s="175">
        <f>'Gjensidige Forsikring'!C7+'Gjensidige Forsikring'!C22+'Gjensidige Forsikring'!C36+'Gjensidige Forsikring'!C47+'Gjensidige Forsikring'!C66+'Gjensidige Forsikring'!C134</f>
        <v>1381871.2850000001</v>
      </c>
      <c r="D17" s="104">
        <f t="shared" si="2"/>
        <v>8.3000000000000007</v>
      </c>
      <c r="E17" s="395">
        <f t="shared" si="1"/>
        <v>8.0804138378267698</v>
      </c>
      <c r="F17" s="103"/>
      <c r="G17" s="175">
        <f>'Gjensidige Forsikring'!B10+'Gjensidige Forsikring'!B29+'Gjensidige Forsikring'!B37+'Gjensidige Forsikring'!B87+'Gjensidige Forsikring'!B135</f>
        <v>0</v>
      </c>
      <c r="H17" s="175">
        <f>'Gjensidige Forsikring'!C10+'Gjensidige Forsikring'!C29+'Gjensidige Forsikring'!C37+'Gjensidige Forsikring'!C87+'Gjensidige Forsikring'!C135</f>
        <v>0</v>
      </c>
      <c r="I17" s="104"/>
      <c r="J17" s="395"/>
      <c r="K17" s="87" t="s">
        <v>143</v>
      </c>
      <c r="L17" s="219">
        <f t="shared" ca="1" si="6"/>
        <v>0</v>
      </c>
      <c r="M17" s="217">
        <f t="shared" ca="1" si="7"/>
        <v>0</v>
      </c>
      <c r="N17" s="219">
        <f t="shared" ca="1" si="8"/>
        <v>0</v>
      </c>
      <c r="O17" s="217">
        <f t="shared" ca="1" si="9"/>
        <v>0</v>
      </c>
    </row>
    <row r="18" spans="1:18" ht="18.75" x14ac:dyDescent="0.3">
      <c r="A18" s="189" t="s">
        <v>89</v>
      </c>
      <c r="B18" s="175">
        <f>'Gjensidige Pensjon'!B7+'Gjensidige Pensjon'!B22+'Gjensidige Pensjon'!B36+'Gjensidige Pensjon'!B47+'Gjensidige Pensjon'!B66+'Gjensidige Pensjon'!B134</f>
        <v>228732</v>
      </c>
      <c r="C18" s="175">
        <f>'Gjensidige Pensjon'!C7+'Gjensidige Pensjon'!C22+'Gjensidige Pensjon'!C36+'Gjensidige Pensjon'!C47+'Gjensidige Pensjon'!C66+'Gjensidige Pensjon'!C134</f>
        <v>254783</v>
      </c>
      <c r="D18" s="104">
        <f t="shared" si="2"/>
        <v>11.4</v>
      </c>
      <c r="E18" s="395">
        <f t="shared" si="1"/>
        <v>1.4898291188118997</v>
      </c>
      <c r="F18" s="103"/>
      <c r="G18" s="175">
        <f>'Gjensidige Pensjon'!B10+'Gjensidige Pensjon'!B29+'Gjensidige Pensjon'!B37+'Gjensidige Pensjon'!B87+'Gjensidige Pensjon'!B135</f>
        <v>7864328</v>
      </c>
      <c r="H18" s="175">
        <f>'Gjensidige Pensjon'!C10+'Gjensidige Pensjon'!C29+'Gjensidige Pensjon'!C37+'Gjensidige Pensjon'!C87+'Gjensidige Pensjon'!C135</f>
        <v>8469814</v>
      </c>
      <c r="I18" s="104">
        <f t="shared" si="3"/>
        <v>7.7</v>
      </c>
      <c r="J18" s="395">
        <f t="shared" si="5"/>
        <v>0.70052692939473293</v>
      </c>
      <c r="K18" s="87" t="s">
        <v>136</v>
      </c>
      <c r="L18" s="219">
        <f t="shared" ca="1" si="6"/>
        <v>0</v>
      </c>
      <c r="M18" s="217">
        <f t="shared" ca="1" si="7"/>
        <v>0</v>
      </c>
      <c r="N18" s="219">
        <f t="shared" ca="1" si="8"/>
        <v>0</v>
      </c>
      <c r="O18" s="217">
        <f t="shared" ca="1" si="9"/>
        <v>0</v>
      </c>
    </row>
    <row r="19" spans="1:18" ht="18.75" x14ac:dyDescent="0.3">
      <c r="A19" s="189" t="s">
        <v>90</v>
      </c>
      <c r="B19" s="175">
        <f>'Handelsbanken Liv'!B7+'Handelsbanken Liv'!B22+'Handelsbanken Liv'!B36+'Handelsbanken Liv'!B47+'Handelsbanken Liv'!B66+'Handelsbanken Liv'!B134</f>
        <v>8840.2157599999991</v>
      </c>
      <c r="C19" s="175">
        <f>'Handelsbanken Liv'!C7+'Handelsbanken Liv'!C22+'Handelsbanken Liv'!C36+'Handelsbanken Liv'!C47+'Handelsbanken Liv'!C66+'Handelsbanken Liv'!C134</f>
        <v>8764.5190000000002</v>
      </c>
      <c r="D19" s="104">
        <f t="shared" si="2"/>
        <v>-0.9</v>
      </c>
      <c r="E19" s="395">
        <f t="shared" si="1"/>
        <v>5.125002695854964E-2</v>
      </c>
      <c r="F19" s="103"/>
      <c r="G19" s="175">
        <f>'Handelsbanken Liv'!B10+'Handelsbanken Liv'!B29+'Handelsbanken Liv'!B37+'Handelsbanken Liv'!B87+'Handelsbanken Liv'!B135</f>
        <v>18807.375</v>
      </c>
      <c r="H19" s="175">
        <f>'Handelsbanken Liv'!C10+'Handelsbanken Liv'!C29+'Handelsbanken Liv'!C37+'Handelsbanken Liv'!C87+'Handelsbanken Liv'!C135</f>
        <v>22760.624</v>
      </c>
      <c r="I19" s="104">
        <f t="shared" si="3"/>
        <v>21</v>
      </c>
      <c r="J19" s="395">
        <f t="shared" si="5"/>
        <v>1.8825006123898429E-3</v>
      </c>
      <c r="K19" s="87" t="s">
        <v>144</v>
      </c>
      <c r="L19" s="219">
        <f t="shared" ca="1" si="6"/>
        <v>0</v>
      </c>
      <c r="M19" s="217">
        <f t="shared" ca="1" si="7"/>
        <v>0</v>
      </c>
      <c r="N19" s="219">
        <f t="shared" ca="1" si="8"/>
        <v>0</v>
      </c>
      <c r="O19" s="217">
        <f t="shared" ca="1" si="9"/>
        <v>0</v>
      </c>
    </row>
    <row r="20" spans="1:18" ht="18.75" x14ac:dyDescent="0.3">
      <c r="A20" s="189" t="s">
        <v>91</v>
      </c>
      <c r="B20" s="175">
        <f>'If Skadeforsikring NUF'!B7+'If Skadeforsikring NUF'!B22+'If Skadeforsikring NUF'!B36+'If Skadeforsikring NUF'!B47+'If Skadeforsikring NUF'!B66+'If Skadeforsikring NUF'!B134</f>
        <v>170115.003490506</v>
      </c>
      <c r="C20" s="175">
        <f>'If Skadeforsikring NUF'!C7+'If Skadeforsikring NUF'!C22+'If Skadeforsikring NUF'!C36+'If Skadeforsikring NUF'!C47+'If Skadeforsikring NUF'!C66+'If Skadeforsikring NUF'!C134</f>
        <v>195617.65438259998</v>
      </c>
      <c r="D20" s="104">
        <f t="shared" si="2"/>
        <v>15</v>
      </c>
      <c r="E20" s="395">
        <f t="shared" si="1"/>
        <v>1.1438631213734027</v>
      </c>
      <c r="F20" s="103"/>
      <c r="G20" s="175">
        <f>'If Skadeforsikring NUF'!B10+'If Skadeforsikring NUF'!B29+'If Skadeforsikring NUF'!B37+'If Skadeforsikring NUF'!B87+'If Skadeforsikring NUF'!B135</f>
        <v>0</v>
      </c>
      <c r="H20" s="175">
        <f>'If Skadeforsikring NUF'!C10+'If Skadeforsikring NUF'!C29+'If Skadeforsikring NUF'!C37+'If Skadeforsikring NUF'!C87+'If Skadeforsikring NUF'!C135</f>
        <v>0</v>
      </c>
      <c r="I20" s="104"/>
      <c r="J20" s="395"/>
      <c r="K20" s="139"/>
      <c r="L20" s="219">
        <f t="shared" ca="1" si="6"/>
        <v>0</v>
      </c>
      <c r="M20" s="217">
        <f t="shared" ca="1" si="7"/>
        <v>0</v>
      </c>
      <c r="N20" s="219">
        <f t="shared" ca="1" si="8"/>
        <v>0</v>
      </c>
      <c r="O20" s="217">
        <f t="shared" ca="1" si="9"/>
        <v>0</v>
      </c>
    </row>
    <row r="21" spans="1:18" ht="18.75" x14ac:dyDescent="0.3">
      <c r="A21" s="189" t="s">
        <v>399</v>
      </c>
      <c r="B21" s="175">
        <f>Insr!B7+Insr!B22+Insr!B36+Insr!B47+Insr!B66+Insr!B134</f>
        <v>9365</v>
      </c>
      <c r="C21" s="175">
        <f>Insr!C7+Insr!C22+Insr!C36+Insr!C47+Insr!C66+Insr!C134</f>
        <v>0</v>
      </c>
      <c r="D21" s="104">
        <f t="shared" si="2"/>
        <v>-100</v>
      </c>
      <c r="E21" s="395">
        <f t="shared" si="1"/>
        <v>0</v>
      </c>
      <c r="F21" s="103"/>
      <c r="G21" s="175">
        <f>Insr!B10+Insr!B29+Insr!B37+Insr!B87+Insr!B135</f>
        <v>0</v>
      </c>
      <c r="H21" s="175">
        <f>Insr!C10+Insr!C29+Insr!C37+Insr!C87+Insr!C135</f>
        <v>0</v>
      </c>
      <c r="I21" s="104"/>
      <c r="J21" s="395"/>
      <c r="K21" s="139"/>
      <c r="L21" s="219">
        <f t="shared" ca="1" si="6"/>
        <v>0</v>
      </c>
      <c r="M21" s="217">
        <f t="shared" ca="1" si="7"/>
        <v>0</v>
      </c>
      <c r="N21" s="219">
        <f t="shared" ca="1" si="8"/>
        <v>0</v>
      </c>
      <c r="O21" s="217">
        <f t="shared" ca="1" si="9"/>
        <v>0</v>
      </c>
    </row>
    <row r="22" spans="1:18" ht="18.75" x14ac:dyDescent="0.3">
      <c r="A22" s="189" t="s">
        <v>63</v>
      </c>
      <c r="B22" s="175">
        <f>KLP!B7+KLP!B22+KLP!B36+KLP!B47+KLP!B66+KLP!B134</f>
        <v>7029637.7149999999</v>
      </c>
      <c r="C22" s="175">
        <f>KLP!C7+KLP!C22+KLP!C36+KLP!C47+KLP!C66+KLP!C134</f>
        <v>7118708.5350500001</v>
      </c>
      <c r="D22" s="104">
        <f t="shared" si="2"/>
        <v>1.3</v>
      </c>
      <c r="E22" s="395">
        <f t="shared" si="1"/>
        <v>41.626243759796729</v>
      </c>
      <c r="F22" s="103"/>
      <c r="G22" s="175">
        <f>KLP!B10+KLP!B29+KLP!B37+KLP!B87+KLP!B135</f>
        <v>532252570.11264002</v>
      </c>
      <c r="H22" s="175">
        <f>KLP!C10+KLP!C29+KLP!C37+KLP!C87+KLP!C135</f>
        <v>641185711.48478997</v>
      </c>
      <c r="I22" s="104">
        <f t="shared" si="3"/>
        <v>20.5</v>
      </c>
      <c r="J22" s="395">
        <f t="shared" si="5"/>
        <v>53.031608207478591</v>
      </c>
      <c r="K22" s="139"/>
      <c r="L22" s="219">
        <f t="shared" ca="1" si="6"/>
        <v>0</v>
      </c>
      <c r="M22" s="217">
        <f t="shared" ca="1" si="7"/>
        <v>0</v>
      </c>
      <c r="N22" s="219">
        <f t="shared" ca="1" si="8"/>
        <v>0</v>
      </c>
      <c r="O22" s="217">
        <f t="shared" ca="1" si="9"/>
        <v>0</v>
      </c>
    </row>
    <row r="23" spans="1:18" ht="18.75" x14ac:dyDescent="0.3">
      <c r="A23" s="108" t="s">
        <v>92</v>
      </c>
      <c r="B23" s="175">
        <f>'KLP Skadeforsikring AS'!B7+'KLP Skadeforsikring AS'!B22+'KLP Skadeforsikring AS'!B36+'KLP Skadeforsikring AS'!B47+'KLP Skadeforsikring AS'!B66+'KLP Skadeforsikring AS'!B134</f>
        <v>181165.234</v>
      </c>
      <c r="C23" s="175">
        <f>'KLP Skadeforsikring AS'!C7+'KLP Skadeforsikring AS'!C22+'KLP Skadeforsikring AS'!C36+'KLP Skadeforsikring AS'!C47+'KLP Skadeforsikring AS'!C66+'KLP Skadeforsikring AS'!C134</f>
        <v>182893.26199999999</v>
      </c>
      <c r="D23" s="104">
        <f t="shared" si="2"/>
        <v>1</v>
      </c>
      <c r="E23" s="395">
        <f t="shared" si="1"/>
        <v>1.0694579597622049</v>
      </c>
      <c r="F23" s="103"/>
      <c r="G23" s="175">
        <f>'KLP Skadeforsikring AS'!B10+'KLP Skadeforsikring AS'!B29+'KLP Skadeforsikring AS'!B37+'KLP Skadeforsikring AS'!B87+'KLP Skadeforsikring AS'!B135</f>
        <v>61664.775000000001</v>
      </c>
      <c r="H23" s="175">
        <f>'KLP Skadeforsikring AS'!C10+'KLP Skadeforsikring AS'!C29+'KLP Skadeforsikring AS'!C37+'KLP Skadeforsikring AS'!C87+'KLP Skadeforsikring AS'!C135</f>
        <v>84130.56700000001</v>
      </c>
      <c r="I23" s="104">
        <f t="shared" si="3"/>
        <v>36.4</v>
      </c>
      <c r="J23" s="395">
        <f t="shared" si="5"/>
        <v>6.9583260941441993E-3</v>
      </c>
      <c r="K23" s="139"/>
      <c r="L23" s="219">
        <f ca="1">INDIRECT("'" &amp; $A33 &amp; "'!" &amp; $P$7)</f>
        <v>0</v>
      </c>
      <c r="M23" s="217">
        <f ca="1">INDIRECT("'" &amp; $A33 &amp; "'!" &amp; $P$8)</f>
        <v>0</v>
      </c>
      <c r="N23" s="219">
        <f ca="1">INDIRECT("'" &amp; $A33 &amp; "'!" &amp; $P$10)</f>
        <v>0</v>
      </c>
      <c r="O23" s="217">
        <f ca="1">INDIRECT("'" &amp; $A33 &amp; "'!" &amp; $P$11)</f>
        <v>0</v>
      </c>
    </row>
    <row r="24" spans="1:18" ht="18.75" x14ac:dyDescent="0.3">
      <c r="A24" s="108" t="s">
        <v>406</v>
      </c>
      <c r="B24" s="175">
        <f>'Landkreditt Forsikring'!B7+'Landkreditt Forsikring'!B22+'Landkreditt Forsikring'!B36+'Landkreditt Forsikring'!B47+'Landkreditt Forsikring'!B66+'Landkreditt Forsikring'!B134</f>
        <v>32788</v>
      </c>
      <c r="C24" s="175">
        <f>'Landkreditt Forsikring'!C7+'Landkreditt Forsikring'!C22+'Landkreditt Forsikring'!C36+'Landkreditt Forsikring'!C47+'Landkreditt Forsikring'!C66+'Landkreditt Forsikring'!C134</f>
        <v>18594</v>
      </c>
      <c r="D24" s="104">
        <f t="shared" si="2"/>
        <v>-43.3</v>
      </c>
      <c r="E24" s="395">
        <f t="shared" si="1"/>
        <v>0.10872735871384065</v>
      </c>
      <c r="F24" s="103"/>
      <c r="G24" s="175">
        <f>'Landkreditt Forsikring'!B10+'Landkreditt Forsikring'!B29+'Landkreditt Forsikring'!B37+'Landkreditt Forsikring'!B87+'Landkreditt Forsikring'!B135</f>
        <v>0</v>
      </c>
      <c r="H24" s="175">
        <f>'Landkreditt Forsikring'!C10+'Landkreditt Forsikring'!C29+'Landkreditt Forsikring'!C37+'Landkreditt Forsikring'!C87+'Landkreditt Forsikring'!C135</f>
        <v>0</v>
      </c>
      <c r="I24" s="104"/>
      <c r="J24" s="395"/>
      <c r="K24" s="139"/>
      <c r="L24" s="219">
        <f t="shared" ca="1" si="6"/>
        <v>0</v>
      </c>
      <c r="M24" s="217">
        <f t="shared" ca="1" si="7"/>
        <v>0</v>
      </c>
      <c r="N24" s="219">
        <f t="shared" ca="1" si="8"/>
        <v>0</v>
      </c>
      <c r="O24" s="217">
        <f t="shared" ca="1" si="9"/>
        <v>0</v>
      </c>
    </row>
    <row r="25" spans="1:18" ht="18.75" x14ac:dyDescent="0.3">
      <c r="A25" s="108" t="s">
        <v>93</v>
      </c>
      <c r="B25" s="175">
        <f>'Nordea Liv '!B7+'Nordea Liv '!B22+'Nordea Liv '!B36+'Nordea Liv '!B47+'Nordea Liv '!B66+'Nordea Liv '!B134</f>
        <v>640623</v>
      </c>
      <c r="C25" s="175">
        <f>'Nordea Liv '!C7+'Nordea Liv '!C22+'Nordea Liv '!C36+'Nordea Liv '!C47+'Nordea Liv '!C66+'Nordea Liv '!C134</f>
        <v>636134.2522279151</v>
      </c>
      <c r="D25" s="104">
        <f t="shared" si="2"/>
        <v>-0.7</v>
      </c>
      <c r="E25" s="395">
        <f t="shared" si="1"/>
        <v>3.7197589024494628</v>
      </c>
      <c r="F25" s="103"/>
      <c r="G25" s="176">
        <f>'Nordea Liv '!B10+'Nordea Liv '!B29+'Nordea Liv '!B37+'Nordea Liv '!B87+'Nordea Liv '!B135</f>
        <v>54236300.000061981</v>
      </c>
      <c r="H25" s="176">
        <f>'Nordea Liv '!C10+'Nordea Liv '!C29+'Nordea Liv '!C37+'Nordea Liv '!C87+'Nordea Liv '!C135</f>
        <v>56075290.000025906</v>
      </c>
      <c r="I25" s="104">
        <f t="shared" si="3"/>
        <v>3.4</v>
      </c>
      <c r="J25" s="395">
        <f t="shared" si="5"/>
        <v>4.6379118500875371</v>
      </c>
      <c r="K25" s="139"/>
      <c r="L25" s="219">
        <f ca="1">INDIRECT("'" &amp; $A24 &amp; "'!" &amp; $P$7)</f>
        <v>0</v>
      </c>
      <c r="M25" s="217">
        <f ca="1">INDIRECT("'" &amp; $A24 &amp; "'!" &amp; $P$8)</f>
        <v>0</v>
      </c>
      <c r="N25" s="219">
        <f ca="1">INDIRECT("'" &amp; $A24 &amp; "'!" &amp; $P$10)</f>
        <v>0</v>
      </c>
      <c r="O25" s="217">
        <f ca="1">INDIRECT("'" &amp; $A24 &amp; "'!" &amp; $P$11)</f>
        <v>0</v>
      </c>
    </row>
    <row r="26" spans="1:18" ht="18.75" x14ac:dyDescent="0.3">
      <c r="A26" s="108" t="s">
        <v>94</v>
      </c>
      <c r="B26" s="175">
        <f>'Oslo Pensjonsforsikring'!B7+'Oslo Pensjonsforsikring'!B22+'Oslo Pensjonsforsikring'!B36+'Oslo Pensjonsforsikring'!B47+'Oslo Pensjonsforsikring'!B66+'Oslo Pensjonsforsikring'!B134</f>
        <v>823365</v>
      </c>
      <c r="C26" s="175">
        <f>'Oslo Pensjonsforsikring'!C7+'Oslo Pensjonsforsikring'!C22+'Oslo Pensjonsforsikring'!C36+'Oslo Pensjonsforsikring'!C47+'Oslo Pensjonsforsikring'!C66+'Oslo Pensjonsforsikring'!C134</f>
        <v>1184750</v>
      </c>
      <c r="D26" s="104">
        <f t="shared" si="2"/>
        <v>43.9</v>
      </c>
      <c r="E26" s="395">
        <f t="shared" si="1"/>
        <v>6.9277583218362224</v>
      </c>
      <c r="F26" s="103"/>
      <c r="G26" s="175">
        <f>'Oslo Pensjonsforsikring'!B10+'Oslo Pensjonsforsikring'!B29+'Oslo Pensjonsforsikring'!B37+'Oslo Pensjonsforsikring'!B87+'Oslo Pensjonsforsikring'!B135</f>
        <v>84956302</v>
      </c>
      <c r="H26" s="175">
        <f>'Oslo Pensjonsforsikring'!C10+'Oslo Pensjonsforsikring'!C29+'Oslo Pensjonsforsikring'!C37+'Oslo Pensjonsforsikring'!C87+'Oslo Pensjonsforsikring'!C135</f>
        <v>82039593</v>
      </c>
      <c r="I26" s="104">
        <f t="shared" si="3"/>
        <v>-3.4</v>
      </c>
      <c r="J26" s="395">
        <f t="shared" si="5"/>
        <v>6.785384445642328</v>
      </c>
      <c r="K26" s="139"/>
      <c r="L26" s="219">
        <f t="shared" ca="1" si="6"/>
        <v>0</v>
      </c>
      <c r="M26" s="217">
        <f t="shared" ca="1" si="7"/>
        <v>0</v>
      </c>
      <c r="N26" s="219">
        <f t="shared" ca="1" si="8"/>
        <v>0</v>
      </c>
      <c r="O26" s="217">
        <f t="shared" ca="1" si="9"/>
        <v>0</v>
      </c>
    </row>
    <row r="27" spans="1:18" ht="18.75" x14ac:dyDescent="0.3">
      <c r="A27" s="108" t="s">
        <v>358</v>
      </c>
      <c r="B27" s="175">
        <f>'Protector Forsikring'!B7+'Protector Forsikring'!B22+'Protector Forsikring'!B36+'Protector Forsikring'!B47+'Protector Forsikring'!B66+'Protector Forsikring'!B134</f>
        <v>212752.66328546518</v>
      </c>
      <c r="C27" s="175">
        <f>'Protector Forsikring'!C7+'Protector Forsikring'!C22+'Protector Forsikring'!C36+'Protector Forsikring'!C47+'Protector Forsikring'!C66+'Protector Forsikring'!C134</f>
        <v>216669.42148958714</v>
      </c>
      <c r="D27" s="104">
        <f t="shared" si="2"/>
        <v>1.8</v>
      </c>
      <c r="E27" s="395">
        <f t="shared" si="1"/>
        <v>1.2669621336247541</v>
      </c>
      <c r="F27" s="103"/>
      <c r="G27" s="175">
        <f>'Protector Forsikring'!B10+'Protector Forsikring'!B29+'Protector Forsikring'!B37+'Protector Forsikring'!B87+'Protector Forsikring'!B135</f>
        <v>0</v>
      </c>
      <c r="H27" s="175">
        <f>'Protector Forsikring'!C10+'Protector Forsikring'!C29+'Protector Forsikring'!C37+'Protector Forsikring'!C87+'Protector Forsikring'!C135</f>
        <v>0</v>
      </c>
      <c r="I27" s="104"/>
      <c r="J27" s="395"/>
      <c r="K27" s="139"/>
      <c r="L27" s="219">
        <f t="shared" ca="1" si="6"/>
        <v>0</v>
      </c>
      <c r="M27" s="217">
        <f t="shared" ca="1" si="7"/>
        <v>0</v>
      </c>
      <c r="N27" s="219">
        <f t="shared" ca="1" si="8"/>
        <v>0</v>
      </c>
      <c r="O27" s="217">
        <f t="shared" ca="1" si="9"/>
        <v>0</v>
      </c>
    </row>
    <row r="28" spans="1:18" ht="18.75" x14ac:dyDescent="0.3">
      <c r="A28" s="189" t="s">
        <v>421</v>
      </c>
      <c r="B28" s="175">
        <f>'Sparebank 1'!B7+'Sparebank 1'!B22+'Sparebank 1'!B36+'Sparebank 1'!B47+'Sparebank 1'!B66+'Sparebank 1'!B134</f>
        <v>267941.32840000006</v>
      </c>
      <c r="C28" s="175">
        <f>'Sparebank 1'!C7+'Sparebank 1'!C22+'Sparebank 1'!C36+'Sparebank 1'!C47+'Sparebank 1'!C66+'Sparebank 1'!C134</f>
        <v>264029.16310000001</v>
      </c>
      <c r="D28" s="104">
        <f t="shared" si="2"/>
        <v>-1.5</v>
      </c>
      <c r="E28" s="395">
        <f t="shared" si="1"/>
        <v>1.5438955322840078</v>
      </c>
      <c r="F28" s="103"/>
      <c r="G28" s="175">
        <f>'Sparebank 1'!B10+'Sparebank 1'!B29+'Sparebank 1'!B37+'Sparebank 1'!B87+'Sparebank 1'!B135</f>
        <v>19627923.643070001</v>
      </c>
      <c r="H28" s="175">
        <f>'Sparebank 1'!C10+'Sparebank 1'!C29+'Sparebank 1'!C37+'Sparebank 1'!C87+'Sparebank 1'!C135</f>
        <v>20731745.61747</v>
      </c>
      <c r="I28" s="104">
        <f t="shared" si="3"/>
        <v>5.6</v>
      </c>
      <c r="J28" s="395">
        <f t="shared" si="5"/>
        <v>1.714694808929567</v>
      </c>
      <c r="K28" s="139"/>
      <c r="L28" s="219">
        <f t="shared" ca="1" si="6"/>
        <v>0</v>
      </c>
      <c r="M28" s="217">
        <f t="shared" ca="1" si="7"/>
        <v>0</v>
      </c>
      <c r="N28" s="219">
        <f t="shared" ca="1" si="8"/>
        <v>0</v>
      </c>
      <c r="O28" s="217">
        <f t="shared" ca="1" si="9"/>
        <v>0</v>
      </c>
    </row>
    <row r="29" spans="1:18" ht="18.75" x14ac:dyDescent="0.3">
      <c r="A29" s="108" t="s">
        <v>95</v>
      </c>
      <c r="B29" s="175">
        <f>'Storebrand Livsforsikring'!B7+'Storebrand Livsforsikring'!B22+'Storebrand Livsforsikring'!B36+'Storebrand Livsforsikring'!B47+'Storebrand Livsforsikring'!B66+'Storebrand Livsforsikring'!B134</f>
        <v>2282188.585</v>
      </c>
      <c r="C29" s="175">
        <f>'Storebrand Livsforsikring'!C7+'Storebrand Livsforsikring'!C22+'Storebrand Livsforsikring'!C36+'Storebrand Livsforsikring'!C47+'Storebrand Livsforsikring'!C66+'Storebrand Livsforsikring'!C134</f>
        <v>2162321.1750000003</v>
      </c>
      <c r="D29" s="104">
        <f t="shared" si="2"/>
        <v>-5.3</v>
      </c>
      <c r="E29" s="395">
        <f t="shared" si="1"/>
        <v>12.644050233879662</v>
      </c>
      <c r="F29" s="103"/>
      <c r="G29" s="175">
        <f>'Storebrand Livsforsikring'!B10+'Storebrand Livsforsikring'!B29+'Storebrand Livsforsikring'!B37+'Storebrand Livsforsikring'!B87+'Storebrand Livsforsikring'!B135</f>
        <v>191597306.794</v>
      </c>
      <c r="H29" s="175">
        <f>'Storebrand Livsforsikring'!C10+'Storebrand Livsforsikring'!C29+'Storebrand Livsforsikring'!C37+'Storebrand Livsforsikring'!C87+'Storebrand Livsforsikring'!C135</f>
        <v>200579203.15599999</v>
      </c>
      <c r="I29" s="104">
        <f t="shared" si="3"/>
        <v>4.7</v>
      </c>
      <c r="J29" s="395">
        <f t="shared" si="5"/>
        <v>16.589636240809419</v>
      </c>
      <c r="K29" s="139"/>
      <c r="L29" s="219" t="e">
        <f t="shared" ca="1" si="6"/>
        <v>#REF!</v>
      </c>
      <c r="M29" s="217" t="e">
        <f t="shared" ca="1" si="7"/>
        <v>#REF!</v>
      </c>
      <c r="N29" s="219" t="e">
        <f t="shared" ca="1" si="8"/>
        <v>#REF!</v>
      </c>
      <c r="O29" s="217" t="e">
        <f t="shared" ca="1" si="9"/>
        <v>#REF!</v>
      </c>
    </row>
    <row r="30" spans="1:18" ht="18.75" x14ac:dyDescent="0.3">
      <c r="A30" s="108" t="s">
        <v>96</v>
      </c>
      <c r="B30" s="175">
        <f>'Telenor Forsikring'!B7+'Telenor Forsikring'!B22+'Telenor Forsikring'!B36+'Telenor Forsikring'!B47+'Telenor Forsikring'!B66+'Telenor Forsikring'!B134</f>
        <v>364</v>
      </c>
      <c r="C30" s="175">
        <f>'Telenor Forsikring'!C7+'Telenor Forsikring'!C22+'Telenor Forsikring'!C36+'Telenor Forsikring'!C47+'Telenor Forsikring'!C66+'Telenor Forsikring'!C134</f>
        <v>319</v>
      </c>
      <c r="D30" s="104">
        <f t="shared" si="2"/>
        <v>-12.4</v>
      </c>
      <c r="E30" s="395">
        <f t="shared" si="1"/>
        <v>1.8653343782787549E-3</v>
      </c>
      <c r="F30" s="103"/>
      <c r="G30" s="175">
        <f>'Telenor Forsikring'!B10+'Telenor Forsikring'!B29+'Telenor Forsikring'!B37+'Telenor Forsikring'!B87+'Telenor Forsikring'!B135</f>
        <v>0</v>
      </c>
      <c r="H30" s="175">
        <f>'Telenor Forsikring'!C10+'Telenor Forsikring'!C29+'Telenor Forsikring'!C37+'Telenor Forsikring'!C87+'Telenor Forsikring'!C135</f>
        <v>0</v>
      </c>
      <c r="I30" s="104"/>
      <c r="J30" s="395"/>
      <c r="K30" s="139"/>
      <c r="L30" s="219">
        <f t="shared" ca="1" si="6"/>
        <v>0</v>
      </c>
      <c r="M30" s="217">
        <f t="shared" ca="1" si="7"/>
        <v>0</v>
      </c>
      <c r="N30" s="219">
        <f t="shared" ca="1" si="8"/>
        <v>0</v>
      </c>
      <c r="O30" s="217">
        <f t="shared" ca="1" si="9"/>
        <v>0</v>
      </c>
      <c r="R30" s="624"/>
    </row>
    <row r="31" spans="1:18" ht="18.75" x14ac:dyDescent="0.3">
      <c r="A31" s="108" t="s">
        <v>97</v>
      </c>
      <c r="B31" s="175">
        <f>'Tryg Forsikring'!B7+'Tryg Forsikring'!B22+'Tryg Forsikring'!B36+'Tryg Forsikring'!B47+'Tryg Forsikring'!B66+'Tryg Forsikring'!B134</f>
        <v>519007.69999999995</v>
      </c>
      <c r="C31" s="175">
        <f>'Tryg Forsikring'!C7+'Tryg Forsikring'!C22+'Tryg Forsikring'!C36+'Tryg Forsikring'!C47+'Tryg Forsikring'!C66+'Tryg Forsikring'!C134</f>
        <v>546669.5</v>
      </c>
      <c r="D31" s="104">
        <f t="shared" si="2"/>
        <v>5.3</v>
      </c>
      <c r="E31" s="395">
        <f t="shared" si="1"/>
        <v>3.1966188461017486</v>
      </c>
      <c r="F31" s="103"/>
      <c r="I31" s="104"/>
      <c r="J31" s="395"/>
      <c r="K31" s="203"/>
      <c r="L31" s="219">
        <f t="shared" ca="1" si="6"/>
        <v>0</v>
      </c>
      <c r="M31" s="217">
        <f t="shared" ca="1" si="7"/>
        <v>0</v>
      </c>
      <c r="N31" s="219">
        <f t="shared" ca="1" si="8"/>
        <v>0</v>
      </c>
      <c r="O31" s="217">
        <f t="shared" ca="1" si="9"/>
        <v>0</v>
      </c>
    </row>
    <row r="32" spans="1:18" ht="18.75" x14ac:dyDescent="0.3">
      <c r="A32" s="189" t="s">
        <v>409</v>
      </c>
      <c r="B32" s="175">
        <f>'WaterCircles F'!B7+'WaterCircles F'!B22+'WaterCircles F'!B36+'WaterCircles F'!B47+'WaterCircles F'!B66+'WaterCircles F'!B136</f>
        <v>1478</v>
      </c>
      <c r="C32" s="175">
        <f>'WaterCircles F'!C7+'WaterCircles F'!C22+'WaterCircles F'!C36+'WaterCircles F'!C47+'WaterCircles F'!C66+'WaterCircles F'!C136</f>
        <v>2114</v>
      </c>
      <c r="D32" s="104">
        <f t="shared" si="2"/>
        <v>43</v>
      </c>
      <c r="E32" s="395">
        <f t="shared" si="1"/>
        <v>1.2361494908091811E-2</v>
      </c>
      <c r="F32" s="189"/>
      <c r="G32" s="103">
        <f>'WaterCircles F'!B10+'WaterCircles F'!B29+'WaterCircles F'!B37+'WaterCircles F'!B87+'WaterCircles F'!B135</f>
        <v>0</v>
      </c>
      <c r="H32" s="103">
        <f>'WaterCircles F'!C10+'WaterCircles F'!C29+'WaterCircles F'!C37+'WaterCircles F'!C87+'WaterCircles F'!C135</f>
        <v>0</v>
      </c>
      <c r="I32" s="104"/>
      <c r="J32" s="395"/>
      <c r="K32" s="203"/>
      <c r="L32" s="219">
        <f t="shared" ca="1" si="6"/>
        <v>0</v>
      </c>
      <c r="M32" s="217">
        <f t="shared" ca="1" si="7"/>
        <v>0</v>
      </c>
      <c r="N32" s="219">
        <f t="shared" ca="1" si="8"/>
        <v>0</v>
      </c>
      <c r="O32" s="217">
        <f t="shared" ca="1" si="9"/>
        <v>0</v>
      </c>
    </row>
    <row r="33" spans="1:21" ht="18.75" x14ac:dyDescent="0.3">
      <c r="A33" s="108" t="s">
        <v>422</v>
      </c>
      <c r="B33" s="175">
        <f>'Youplus Livsforsikring'!B7+'Youplus Livsforsikring'!B22+'Youplus Livsforsikring'!B36+'Youplus Livsforsikring'!B47+'Youplus Livsforsikring'!B66+'Youplus Livsforsikring'!B134</f>
        <v>0</v>
      </c>
      <c r="C33" s="175">
        <f>'Youplus Livsforsikring'!C7+'Youplus Livsforsikring'!C22+'Youplus Livsforsikring'!C36+'Youplus Livsforsikring'!C47+'Youplus Livsforsikring'!C66+'Youplus Livsforsikring'!C134</f>
        <v>868</v>
      </c>
      <c r="D33" s="104" t="str">
        <f>IF(B33=0, "    ---- ", IF(ABS(ROUND(100/B33*C33-100,1))&lt;999,ROUND(100/B33*C33-100,1),IF(ROUND(100/B33*C33-100,1)&gt;999,999,-999)))</f>
        <v xml:space="preserve">    ---- </v>
      </c>
      <c r="E33" s="395">
        <f t="shared" si="1"/>
        <v>5.0755806907396839E-3</v>
      </c>
      <c r="F33" s="103"/>
      <c r="G33" s="175">
        <f>'Youplus Livsforsikring'!B10+'Youplus Livsforsikring'!B29+'Youplus Livsforsikring'!B37+'Youplus Livsforsikring'!B87+'Youplus Livsforsikring'!B135</f>
        <v>0</v>
      </c>
      <c r="H33" s="175">
        <f>'Youplus Livsforsikring'!C10+'Youplus Livsforsikring'!C29+'Youplus Livsforsikring'!C37+'Youplus Livsforsikring'!C87+'Youplus Livsforsikring'!C135</f>
        <v>837</v>
      </c>
      <c r="I33" s="104" t="str">
        <f>IF(G33=0, "    ---- ", IF(ABS(ROUND(100/G33*H33-100,1))&lt;999,ROUND(100/G33*H33-100,1),IF(ROUND(100/G33*H33-100,1)&gt;999,999,-999)))</f>
        <v xml:space="preserve">    ---- </v>
      </c>
      <c r="J33" s="395">
        <f t="shared" si="5"/>
        <v>6.9227144764146112E-5</v>
      </c>
      <c r="K33" s="139"/>
      <c r="L33" s="219">
        <f ca="1">INDIRECT("'" &amp; $A22 &amp; "'!" &amp; $P$7)</f>
        <v>0</v>
      </c>
      <c r="M33" s="217">
        <f ca="1">INDIRECT("'" &amp; $A22 &amp; "'!" &amp; $P$8)</f>
        <v>0</v>
      </c>
      <c r="N33" s="219">
        <f ca="1">INDIRECT("'" &amp; $A22 &amp; "'!" &amp; $P$10)</f>
        <v>0</v>
      </c>
      <c r="O33" s="217">
        <f ca="1">INDIRECT("'" &amp; $A22 &amp; "'!" &amp; $P$11)</f>
        <v>0</v>
      </c>
    </row>
    <row r="34" spans="1:21" s="111" customFormat="1" ht="18.75" x14ac:dyDescent="0.3">
      <c r="A34" s="137" t="s">
        <v>98</v>
      </c>
      <c r="B34" s="177">
        <f>SUM(B9:B33)</f>
        <v>16590405.31815597</v>
      </c>
      <c r="C34" s="238">
        <f>SUM(C9:C33)</f>
        <v>17101491.492070101</v>
      </c>
      <c r="D34" s="104">
        <f t="shared" ref="D34" si="10">IF(B34=0, "    ---- ", IF(ABS(ROUND(100/B34*C34-100,1))&lt;999,ROUND(100/B34*C34-100,1),IF(ROUND(100/B34*C34-100,1)&gt;999,999,-999)))</f>
        <v>3.1</v>
      </c>
      <c r="E34" s="396">
        <f>SUM(E10:E33)</f>
        <v>99.711264950060666</v>
      </c>
      <c r="F34" s="109"/>
      <c r="G34" s="177">
        <f>SUM(G9:G33)</f>
        <v>1093692924.8435318</v>
      </c>
      <c r="H34" s="177">
        <f>SUM(H9:H33)</f>
        <v>1209063298.5826914</v>
      </c>
      <c r="I34" s="104">
        <f t="shared" ref="I34" si="11">IF(G34=0, "    ---- ", IF(ABS(ROUND(100/G34*H34-100,1))&lt;999,ROUND(100/G34*H34-100,1),IF(ROUND(100/G34*H34-100,1)&gt;999,999,-999)))</f>
        <v>10.5</v>
      </c>
      <c r="J34" s="396">
        <f>SUM(J9:J33)</f>
        <v>100</v>
      </c>
      <c r="K34" s="205"/>
      <c r="L34" s="219" t="e">
        <f ca="1">SUM(L10:L32)</f>
        <v>#REF!</v>
      </c>
      <c r="M34" s="217" t="e">
        <f ca="1">SUM(M10:M32)</f>
        <v>#REF!</v>
      </c>
      <c r="N34" s="219" t="e">
        <f ca="1">SUM(N10:N32)</f>
        <v>#REF!</v>
      </c>
      <c r="O34" s="217" t="e">
        <f ca="1">SUM(O10:O32)</f>
        <v>#REF!</v>
      </c>
      <c r="U34" s="201"/>
    </row>
    <row r="35" spans="1:21" ht="18.75" x14ac:dyDescent="0.3">
      <c r="A35" s="86"/>
      <c r="B35" s="175"/>
      <c r="C35" s="139"/>
      <c r="D35" s="104"/>
      <c r="E35" s="395"/>
      <c r="F35" s="103"/>
      <c r="G35" s="175"/>
      <c r="H35" s="103"/>
      <c r="I35" s="104"/>
      <c r="J35" s="395"/>
      <c r="K35" s="203"/>
      <c r="L35" s="216" t="s">
        <v>1</v>
      </c>
      <c r="M35" s="217"/>
      <c r="N35" s="219"/>
      <c r="O35" s="217"/>
    </row>
    <row r="36" spans="1:21" ht="18.75" x14ac:dyDescent="0.3">
      <c r="A36" s="101" t="s">
        <v>1</v>
      </c>
      <c r="B36" s="175"/>
      <c r="C36" s="139"/>
      <c r="D36" s="104"/>
      <c r="E36" s="395"/>
      <c r="F36" s="103"/>
      <c r="G36" s="175"/>
      <c r="H36" s="103"/>
      <c r="I36" s="104"/>
      <c r="J36" s="395"/>
      <c r="K36" s="203"/>
      <c r="L36" s="220">
        <v>2015</v>
      </c>
      <c r="M36" s="221">
        <v>2016</v>
      </c>
      <c r="N36" s="220">
        <v>2015</v>
      </c>
      <c r="O36" s="221">
        <v>2016</v>
      </c>
      <c r="P36" s="87" t="s">
        <v>148</v>
      </c>
    </row>
    <row r="37" spans="1:21" ht="18.75" x14ac:dyDescent="0.3">
      <c r="A37" s="107" t="s">
        <v>83</v>
      </c>
      <c r="B37" s="130">
        <f>'Danica Pensjonsforsikring'!F7+'Danica Pensjonsforsikring'!F22+'Danica Pensjonsforsikring'!F66+'Danica Pensjonsforsikring'!F134</f>
        <v>605624.35699999996</v>
      </c>
      <c r="C37" s="130">
        <f>'Danica Pensjonsforsikring'!G7+'Danica Pensjonsforsikring'!G22+'Danica Pensjonsforsikring'!G66+'Danica Pensjonsforsikring'!G134</f>
        <v>614205.69200000004</v>
      </c>
      <c r="D37" s="104">
        <f t="shared" ref="D37:D46" si="12">IF(B37=0, "    ---- ", IF(ABS(ROUND(100/B37*C37-100,1))&lt;999,ROUND(100/B37*C37-100,1),IF(ROUND(100/B37*C37-100,1)&gt;999,999,-999)))</f>
        <v>1.4</v>
      </c>
      <c r="E37" s="395">
        <f t="shared" ref="E37:E45" si="13">100/C$46*C37</f>
        <v>4.5127826377823528</v>
      </c>
      <c r="F37" s="103"/>
      <c r="G37" s="175">
        <f>'Danica Pensjonsforsikring'!F10+'Danica Pensjonsforsikring'!F29+'Danica Pensjonsforsikring'!F87+'Danica Pensjonsforsikring'!F135</f>
        <v>25191577.335999999</v>
      </c>
      <c r="H37" s="175">
        <f>'Danica Pensjonsforsikring'!G10+'Danica Pensjonsforsikring'!G29+'Danica Pensjonsforsikring'!G87+'Danica Pensjonsforsikring'!G135</f>
        <v>28240109.531000003</v>
      </c>
      <c r="I37" s="104">
        <f t="shared" ref="I37:I46" si="14">IF(G37=0, "    ---- ", IF(ABS(ROUND(100/G37*H37-100,1))&lt;999,ROUND(100/G37*H37-100,1),IF(ROUND(100/G37*H37-100,1)&gt;999,999,-999)))</f>
        <v>12.1</v>
      </c>
      <c r="J37" s="395">
        <f t="shared" ref="J37:J45" si="15">100/H$46*H37</f>
        <v>5.1706297207008536</v>
      </c>
      <c r="K37" s="203" t="s">
        <v>137</v>
      </c>
      <c r="L37" s="219">
        <f t="shared" ref="L37:L45" ca="1" si="16">INDIRECT("'" &amp; $A37 &amp; "'!" &amp; $P$36)</f>
        <v>0</v>
      </c>
      <c r="M37" s="217">
        <f t="shared" ref="M37:M45" ca="1" si="17">INDIRECT("'" &amp; $A37 &amp; "'!" &amp; $P$37)</f>
        <v>0</v>
      </c>
      <c r="N37" s="219">
        <f t="shared" ref="N37:N45" ca="1" si="18">INDIRECT("'" &amp; $A37 &amp; "'!" &amp; $P$38)</f>
        <v>0</v>
      </c>
      <c r="O37" s="217">
        <f ca="1">INDIRECT("'"&amp;$A37&amp;"'!"&amp;$P$39)</f>
        <v>0</v>
      </c>
      <c r="P37" s="87" t="s">
        <v>150</v>
      </c>
    </row>
    <row r="38" spans="1:21" ht="18.75" x14ac:dyDescent="0.3">
      <c r="A38" s="86" t="s">
        <v>84</v>
      </c>
      <c r="B38" s="130">
        <f>'DNB Livsforsikring'!F7+'DNB Livsforsikring'!F22+'DNB Livsforsikring'!F66+'DNB Livsforsikring'!F134</f>
        <v>2864053.5292500001</v>
      </c>
      <c r="C38" s="130">
        <f>'DNB Livsforsikring'!G7+'DNB Livsforsikring'!G22+'DNB Livsforsikring'!G66+'DNB Livsforsikring'!G134</f>
        <v>2905848.0100999996</v>
      </c>
      <c r="D38" s="104">
        <f t="shared" si="12"/>
        <v>1.5</v>
      </c>
      <c r="E38" s="395">
        <f t="shared" si="13"/>
        <v>21.350275028082411</v>
      </c>
      <c r="F38" s="103"/>
      <c r="G38" s="175">
        <f>'DNB Livsforsikring'!F10+'DNB Livsforsikring'!F29+'DNB Livsforsikring'!F87+'DNB Livsforsikring'!F135</f>
        <v>122659439.22629599</v>
      </c>
      <c r="H38" s="175">
        <f>'DNB Livsforsikring'!G10+'DNB Livsforsikring'!G29+'DNB Livsforsikring'!G87+'DNB Livsforsikring'!G135</f>
        <v>137360760.34</v>
      </c>
      <c r="I38" s="104">
        <f t="shared" si="14"/>
        <v>12</v>
      </c>
      <c r="J38" s="395">
        <f t="shared" si="15"/>
        <v>25.150101811482632</v>
      </c>
      <c r="K38" s="87" t="s">
        <v>145</v>
      </c>
      <c r="L38" s="219">
        <f t="shared" ca="1" si="16"/>
        <v>0</v>
      </c>
      <c r="M38" s="217">
        <f t="shared" ca="1" si="17"/>
        <v>0</v>
      </c>
      <c r="N38" s="219">
        <f t="shared" ca="1" si="18"/>
        <v>0</v>
      </c>
      <c r="O38" s="217">
        <f ca="1">INDIRECT("'"&amp;$A38&amp;"'!"&amp;$P$39)</f>
        <v>0</v>
      </c>
      <c r="P38" s="87" t="s">
        <v>149</v>
      </c>
    </row>
    <row r="39" spans="1:21" ht="18.75" x14ac:dyDescent="0.3">
      <c r="A39" s="107" t="s">
        <v>86</v>
      </c>
      <c r="B39" s="130">
        <f>'Frende Livsforsikring'!F7+'Frende Livsforsikring'!F22+'Frende Livsforsikring'!F66+'Frende Livsforsikring'!F134</f>
        <v>0</v>
      </c>
      <c r="C39" s="130">
        <f>'Frende Livsforsikring'!G7+'Frende Livsforsikring'!G22+'Frende Livsforsikring'!G66+'Frende Livsforsikring'!G134</f>
        <v>0</v>
      </c>
      <c r="D39" s="104"/>
      <c r="E39" s="395">
        <f t="shared" si="13"/>
        <v>0</v>
      </c>
      <c r="F39" s="103"/>
      <c r="G39" s="175">
        <f>'Frende Livsforsikring'!F10+'Frende Livsforsikring'!F29+'Frende Livsforsikring'!F87+'Frende Livsforsikring'!F135</f>
        <v>0</v>
      </c>
      <c r="H39" s="175">
        <f>'Frende Livsforsikring'!G10+'Frende Livsforsikring'!G29+'Frende Livsforsikring'!G87+'Frende Livsforsikring'!G135</f>
        <v>0</v>
      </c>
      <c r="I39" s="104"/>
      <c r="J39" s="395">
        <f t="shared" si="15"/>
        <v>0</v>
      </c>
      <c r="K39" s="87" t="s">
        <v>138</v>
      </c>
      <c r="L39" s="219">
        <f t="shared" ca="1" si="16"/>
        <v>0</v>
      </c>
      <c r="M39" s="217">
        <f t="shared" ca="1" si="17"/>
        <v>0</v>
      </c>
      <c r="N39" s="219">
        <f t="shared" ca="1" si="18"/>
        <v>0</v>
      </c>
      <c r="O39" s="217">
        <f t="shared" ref="O39:O45" ca="1" si="19">INDIRECT("'"&amp;$A39&amp;"'!"&amp;$P$39)</f>
        <v>0</v>
      </c>
      <c r="P39" s="87" t="s">
        <v>151</v>
      </c>
    </row>
    <row r="40" spans="1:21" ht="18.75" x14ac:dyDescent="0.3">
      <c r="A40" s="107" t="s">
        <v>89</v>
      </c>
      <c r="B40" s="130">
        <f>'Gjensidige Pensjon'!F7+'Gjensidige Pensjon'!F22+'Gjensidige Pensjon'!F66+'Gjensidige Pensjon'!F134</f>
        <v>917875</v>
      </c>
      <c r="C40" s="130">
        <f>'Gjensidige Pensjon'!G7+'Gjensidige Pensjon'!G22+'Gjensidige Pensjon'!G66+'Gjensidige Pensjon'!G134</f>
        <v>1002999</v>
      </c>
      <c r="D40" s="104">
        <f t="shared" si="12"/>
        <v>9.3000000000000007</v>
      </c>
      <c r="E40" s="395">
        <f t="shared" si="13"/>
        <v>7.3693821660530325</v>
      </c>
      <c r="F40" s="103"/>
      <c r="G40" s="175">
        <f>'Gjensidige Pensjon'!F10+'Gjensidige Pensjon'!F29+'Gjensidige Pensjon'!F87+'Gjensidige Pensjon'!F135</f>
        <v>36333371</v>
      </c>
      <c r="H40" s="175">
        <f>'Gjensidige Pensjon'!G10+'Gjensidige Pensjon'!G29+'Gjensidige Pensjon'!G87+'Gjensidige Pensjon'!G135</f>
        <v>42719338</v>
      </c>
      <c r="I40" s="104">
        <f t="shared" si="14"/>
        <v>17.600000000000001</v>
      </c>
      <c r="J40" s="395">
        <f t="shared" si="15"/>
        <v>7.8217075776208445</v>
      </c>
      <c r="K40" s="87" t="s">
        <v>146</v>
      </c>
      <c r="L40" s="219">
        <f t="shared" ca="1" si="16"/>
        <v>0</v>
      </c>
      <c r="M40" s="217">
        <f t="shared" ca="1" si="17"/>
        <v>0</v>
      </c>
      <c r="N40" s="219">
        <f t="shared" ca="1" si="18"/>
        <v>0</v>
      </c>
      <c r="O40" s="217">
        <f t="shared" ca="1" si="19"/>
        <v>0</v>
      </c>
    </row>
    <row r="41" spans="1:21" ht="18.75" x14ac:dyDescent="0.3">
      <c r="A41" s="107" t="s">
        <v>63</v>
      </c>
      <c r="B41" s="130">
        <f>KLP!F7+KLP!F22+KLP!F66+KLP!F134</f>
        <v>13768.486000000001</v>
      </c>
      <c r="C41" s="130">
        <f>KLP!G7+KLP!G22+KLP!G66+KLP!G134</f>
        <v>7778.8180000000002</v>
      </c>
      <c r="D41" s="104">
        <f t="shared" si="12"/>
        <v>-43.5</v>
      </c>
      <c r="E41" s="395">
        <f t="shared" si="13"/>
        <v>5.7153678759572363E-2</v>
      </c>
      <c r="F41" s="103"/>
      <c r="G41" s="175">
        <f>KLP!F10+KLP!F29+KLP!F87+KLP!F135</f>
        <v>2073544.89796</v>
      </c>
      <c r="H41" s="175">
        <f>KLP!G10+KLP!G29+KLP!G87+KLP!G135</f>
        <v>2847329.1389299999</v>
      </c>
      <c r="I41" s="104">
        <f t="shared" si="14"/>
        <v>37.299999999999997</v>
      </c>
      <c r="J41" s="395">
        <f t="shared" si="15"/>
        <v>0.52133242097406596</v>
      </c>
      <c r="K41" s="87" t="s">
        <v>139</v>
      </c>
      <c r="L41" s="219">
        <f t="shared" ca="1" si="16"/>
        <v>0</v>
      </c>
      <c r="M41" s="217">
        <f t="shared" ca="1" si="17"/>
        <v>0</v>
      </c>
      <c r="N41" s="219">
        <f t="shared" ca="1" si="18"/>
        <v>0</v>
      </c>
      <c r="O41" s="217">
        <f t="shared" ca="1" si="19"/>
        <v>0</v>
      </c>
    </row>
    <row r="42" spans="1:21" ht="18.75" x14ac:dyDescent="0.3">
      <c r="A42" s="107" t="s">
        <v>93</v>
      </c>
      <c r="B42" s="130">
        <f>'Nordea Liv '!F7+'Nordea Liv '!F22+'Nordea Liv '!F66+'Nordea Liv '!F134</f>
        <v>4591987.8017199999</v>
      </c>
      <c r="C42" s="130">
        <f>'Nordea Liv '!G7+'Nordea Liv '!G22+'Nordea Liv '!G66+'Nordea Liv '!G134</f>
        <v>4270850.2935300004</v>
      </c>
      <c r="D42" s="104">
        <f t="shared" si="12"/>
        <v>-7</v>
      </c>
      <c r="E42" s="395">
        <f t="shared" si="13"/>
        <v>31.379421103134046</v>
      </c>
      <c r="F42" s="103"/>
      <c r="G42" s="175">
        <f>'Nordea Liv '!F10+'Nordea Liv '!F29+'Nordea Liv '!F87+'Nordea Liv '!F135</f>
        <v>105547000</v>
      </c>
      <c r="H42" s="175">
        <f>'Nordea Liv '!G10+'Nordea Liv '!G29+'Nordea Liv '!G87+'Nordea Liv '!G135</f>
        <v>122540880</v>
      </c>
      <c r="I42" s="104">
        <f t="shared" si="14"/>
        <v>16.100000000000001</v>
      </c>
      <c r="J42" s="395">
        <f t="shared" si="15"/>
        <v>22.436652217417944</v>
      </c>
      <c r="K42" s="203"/>
      <c r="L42" s="219">
        <f t="shared" ca="1" si="16"/>
        <v>0</v>
      </c>
      <c r="M42" s="217">
        <f t="shared" ca="1" si="17"/>
        <v>0</v>
      </c>
      <c r="N42" s="219">
        <f t="shared" ca="1" si="18"/>
        <v>0</v>
      </c>
      <c r="O42" s="217">
        <f t="shared" ca="1" si="19"/>
        <v>0</v>
      </c>
    </row>
    <row r="43" spans="1:21" ht="18.75" x14ac:dyDescent="0.3">
      <c r="A43" s="107" t="s">
        <v>71</v>
      </c>
      <c r="B43" s="130">
        <f>'SHB Liv'!F7+'SHB Liv'!F22+'SHB Liv'!F66+'SHB Liv'!F134</f>
        <v>43468.250899999999</v>
      </c>
      <c r="C43" s="130">
        <f>'SHB Liv'!G7+'SHB Liv'!G22+'SHB Liv'!G66+'SHB Liv'!G134</f>
        <v>31910.574619999999</v>
      </c>
      <c r="D43" s="104">
        <f t="shared" si="12"/>
        <v>-26.6</v>
      </c>
      <c r="E43" s="395">
        <f t="shared" si="13"/>
        <v>0.23445807973201621</v>
      </c>
      <c r="F43" s="103"/>
      <c r="G43" s="175">
        <f>'SHB Liv'!F10+'SHB Liv'!F29+'SHB Liv'!F87+'SHB Liv'!F135</f>
        <v>3051253.7135600001</v>
      </c>
      <c r="H43" s="175">
        <f>'SHB Liv'!G10+'SHB Liv'!G29+'SHB Liv'!G87+'SHB Liv'!G135</f>
        <v>2929926.8749500001</v>
      </c>
      <c r="I43" s="104">
        <f t="shared" si="14"/>
        <v>-4</v>
      </c>
      <c r="J43" s="395">
        <f t="shared" si="15"/>
        <v>0.53645567353294132</v>
      </c>
      <c r="K43" s="203"/>
      <c r="L43" s="219">
        <f t="shared" ca="1" si="16"/>
        <v>0</v>
      </c>
      <c r="M43" s="217">
        <f t="shared" ca="1" si="17"/>
        <v>0</v>
      </c>
      <c r="N43" s="219">
        <f t="shared" ca="1" si="18"/>
        <v>0</v>
      </c>
      <c r="O43" s="217">
        <f t="shared" ca="1" si="19"/>
        <v>0</v>
      </c>
    </row>
    <row r="44" spans="1:21" ht="18.75" x14ac:dyDescent="0.3">
      <c r="A44" s="86" t="s">
        <v>421</v>
      </c>
      <c r="B44" s="130">
        <f>'Sparebank 1'!F7+'Sparebank 1'!F22+'Sparebank 1'!F66+'Sparebank 1'!F134</f>
        <v>1354315.19411</v>
      </c>
      <c r="C44" s="130">
        <f>'Sparebank 1'!G7+'Sparebank 1'!G22+'Sparebank 1'!G66+'Sparebank 1'!G134</f>
        <v>1509638.1021500002</v>
      </c>
      <c r="D44" s="104">
        <f t="shared" si="12"/>
        <v>11.5</v>
      </c>
      <c r="E44" s="395">
        <f t="shared" si="13"/>
        <v>11.091835691938234</v>
      </c>
      <c r="F44" s="103"/>
      <c r="G44" s="175">
        <f>'Sparebank 1'!F10+'Sparebank 1'!F29+'Sparebank 1'!F87+'Sparebank 1'!F135</f>
        <v>47144820.956519999</v>
      </c>
      <c r="H44" s="175">
        <f>'Sparebank 1'!G10+'Sparebank 1'!G29+'Sparebank 1'!G87+'Sparebank 1'!G135</f>
        <v>55349782.673019998</v>
      </c>
      <c r="I44" s="104">
        <f t="shared" si="14"/>
        <v>17.399999999999999</v>
      </c>
      <c r="J44" s="395">
        <f t="shared" si="15"/>
        <v>10.134281915914228</v>
      </c>
      <c r="K44" s="139"/>
      <c r="L44" s="219" t="e">
        <f t="shared" ca="1" si="16"/>
        <v>#REF!</v>
      </c>
      <c r="M44" s="217" t="e">
        <f t="shared" ca="1" si="17"/>
        <v>#REF!</v>
      </c>
      <c r="N44" s="219" t="e">
        <f t="shared" ca="1" si="18"/>
        <v>#REF!</v>
      </c>
      <c r="O44" s="217" t="e">
        <f t="shared" ca="1" si="19"/>
        <v>#REF!</v>
      </c>
    </row>
    <row r="45" spans="1:21" ht="18.75" x14ac:dyDescent="0.3">
      <c r="A45" s="86" t="s">
        <v>95</v>
      </c>
      <c r="B45" s="130">
        <f>'Storebrand Livsforsikring'!F7+'Storebrand Livsforsikring'!F22+'Storebrand Livsforsikring'!F66+'Storebrand Livsforsikring'!F134</f>
        <v>3478515.0109999999</v>
      </c>
      <c r="C45" s="130">
        <f>'Storebrand Livsforsikring'!G7+'Storebrand Livsforsikring'!G22+'Storebrand Livsforsikring'!G66+'Storebrand Livsforsikring'!G134</f>
        <v>3267123.5039999997</v>
      </c>
      <c r="D45" s="104">
        <f t="shared" si="12"/>
        <v>-6.1</v>
      </c>
      <c r="E45" s="395">
        <f t="shared" si="13"/>
        <v>24.00469161451835</v>
      </c>
      <c r="F45" s="103"/>
      <c r="G45" s="175">
        <f>'Storebrand Livsforsikring'!F10+'Storebrand Livsforsikring'!F29+'Storebrand Livsforsikring'!F87+'Storebrand Livsforsikring'!F135</f>
        <v>144290948.79499999</v>
      </c>
      <c r="H45" s="175">
        <f>'Storebrand Livsforsikring'!G10+'Storebrand Livsforsikring'!G29+'Storebrand Livsforsikring'!G87+'Storebrand Livsforsikring'!G135</f>
        <v>154175707.56736001</v>
      </c>
      <c r="I45" s="104">
        <f t="shared" si="14"/>
        <v>6.9</v>
      </c>
      <c r="J45" s="395">
        <f t="shared" si="15"/>
        <v>28.228838662356502</v>
      </c>
      <c r="K45" s="139"/>
      <c r="L45" s="219">
        <f t="shared" ca="1" si="16"/>
        <v>0</v>
      </c>
      <c r="M45" s="217">
        <f t="shared" ca="1" si="17"/>
        <v>0</v>
      </c>
      <c r="N45" s="219">
        <f t="shared" ca="1" si="18"/>
        <v>0</v>
      </c>
      <c r="O45" s="217">
        <f t="shared" ca="1" si="19"/>
        <v>0</v>
      </c>
    </row>
    <row r="46" spans="1:21" s="111" customFormat="1" ht="18.75" x14ac:dyDescent="0.3">
      <c r="A46" s="101" t="s">
        <v>99</v>
      </c>
      <c r="B46" s="238">
        <f>SUM(B37:B45)</f>
        <v>13869607.62998</v>
      </c>
      <c r="C46" s="238">
        <f>SUM(C37:C45)</f>
        <v>13610353.994399998</v>
      </c>
      <c r="D46" s="104">
        <f t="shared" si="12"/>
        <v>-1.9</v>
      </c>
      <c r="E46" s="396">
        <f>SUM(E37:E45)</f>
        <v>100.00000000000001</v>
      </c>
      <c r="F46" s="109"/>
      <c r="G46" s="177">
        <f>SUM(G37:G45)</f>
        <v>486291955.925336</v>
      </c>
      <c r="H46" s="177">
        <f>SUM(H37:H45)</f>
        <v>546163834.12526</v>
      </c>
      <c r="I46" s="104">
        <f t="shared" si="14"/>
        <v>12.3</v>
      </c>
      <c r="J46" s="396">
        <f>SUM(J37:J45)</f>
        <v>100</v>
      </c>
      <c r="K46" s="139"/>
      <c r="L46" s="219" t="e">
        <f ca="1">SUM(L37:L45)</f>
        <v>#REF!</v>
      </c>
      <c r="M46" s="217" t="e">
        <f ca="1">SUM(M37:M45)</f>
        <v>#REF!</v>
      </c>
      <c r="N46" s="219" t="e">
        <f ca="1">SUM(N37:N45)</f>
        <v>#REF!</v>
      </c>
      <c r="O46" s="217" t="e">
        <f ca="1">SUM(O37:O45)</f>
        <v>#REF!</v>
      </c>
    </row>
    <row r="47" spans="1:21" ht="18.75" x14ac:dyDescent="0.3">
      <c r="A47" s="101"/>
      <c r="B47" s="130"/>
      <c r="C47" s="109"/>
      <c r="D47" s="110"/>
      <c r="E47" s="395"/>
      <c r="F47" s="109"/>
      <c r="G47" s="177"/>
      <c r="H47" s="109"/>
      <c r="I47" s="110"/>
      <c r="J47" s="396"/>
      <c r="K47" s="139"/>
      <c r="L47" s="216" t="s">
        <v>100</v>
      </c>
      <c r="M47" s="222"/>
      <c r="N47" s="223"/>
      <c r="O47" s="222"/>
    </row>
    <row r="48" spans="1:21" ht="18.75" x14ac:dyDescent="0.3">
      <c r="A48" s="86"/>
      <c r="B48" s="130"/>
      <c r="C48" s="103"/>
      <c r="D48" s="104"/>
      <c r="E48" s="395"/>
      <c r="F48" s="103"/>
      <c r="G48" s="175"/>
      <c r="H48" s="103"/>
      <c r="I48" s="104"/>
      <c r="J48" s="395"/>
      <c r="K48" s="139"/>
      <c r="L48" s="220">
        <v>2015</v>
      </c>
      <c r="M48" s="221">
        <v>2016</v>
      </c>
      <c r="N48" s="220">
        <v>2015</v>
      </c>
      <c r="O48" s="221">
        <v>2016</v>
      </c>
    </row>
    <row r="49" spans="1:20" ht="18.75" x14ac:dyDescent="0.3">
      <c r="A49" s="101" t="s">
        <v>100</v>
      </c>
      <c r="B49" s="130"/>
      <c r="C49" s="103"/>
      <c r="D49" s="104"/>
      <c r="E49" s="395"/>
      <c r="F49" s="103"/>
      <c r="G49" s="175"/>
      <c r="H49" s="103"/>
      <c r="I49" s="104"/>
      <c r="J49" s="395"/>
      <c r="K49" s="139"/>
      <c r="L49" s="219"/>
      <c r="M49" s="217"/>
      <c r="N49" s="219"/>
      <c r="O49" s="217"/>
      <c r="P49" s="203"/>
      <c r="Q49" s="203"/>
      <c r="R49" s="203"/>
      <c r="S49" s="180"/>
      <c r="T49" s="139"/>
    </row>
    <row r="50" spans="1:20" ht="18.75" x14ac:dyDescent="0.3">
      <c r="A50" s="86" t="s">
        <v>411</v>
      </c>
      <c r="B50" s="130">
        <f>B9</f>
        <v>47791</v>
      </c>
      <c r="C50" s="130">
        <f>C9</f>
        <v>49378</v>
      </c>
      <c r="D50" s="104">
        <f t="shared" ref="D50" si="20">IF(B50=0, "    ---- ", IF(ABS(ROUND(100/B50*C50-100,1))&lt;999,ROUND(100/B50*C50-100,1),IF(ROUND(100/B50*C50-100,1)&gt;999,999,-999)))</f>
        <v>3.3</v>
      </c>
      <c r="E50" s="395">
        <f t="shared" ref="E50:E73" si="21">100/C$76*C50</f>
        <v>0.1607783551195357</v>
      </c>
      <c r="F50" s="103"/>
      <c r="G50" s="175">
        <f>G9</f>
        <v>0</v>
      </c>
      <c r="H50" s="175">
        <f>H9</f>
        <v>0</v>
      </c>
      <c r="I50" s="104"/>
      <c r="J50" s="395">
        <f t="shared" ref="J50:J73" si="22">100/H$76*H50</f>
        <v>0</v>
      </c>
      <c r="K50" s="139"/>
      <c r="L50" s="219" t="e">
        <f ca="1">L10</f>
        <v>#REF!</v>
      </c>
      <c r="M50" s="224" t="e">
        <f ca="1">M10</f>
        <v>#REF!</v>
      </c>
      <c r="N50" s="219" t="e">
        <f ca="1">N10</f>
        <v>#REF!</v>
      </c>
      <c r="O50" s="224" t="e">
        <f ca="1">O10</f>
        <v>#REF!</v>
      </c>
      <c r="P50" s="203"/>
      <c r="Q50" s="203"/>
      <c r="R50" s="203"/>
      <c r="S50" s="180"/>
      <c r="T50" s="139"/>
    </row>
    <row r="51" spans="1:20" ht="18.75" x14ac:dyDescent="0.3">
      <c r="A51" s="107" t="s">
        <v>83</v>
      </c>
      <c r="B51" s="130">
        <f>B10+B37</f>
        <v>711608.49799999991</v>
      </c>
      <c r="C51" s="103">
        <f>C10+C37</f>
        <v>727098.5560000001</v>
      </c>
      <c r="D51" s="104">
        <f t="shared" ref="D51:D74" si="23">IF(B51=0, "    ---- ", IF(ABS(ROUND(100/B51*C51-100,1))&lt;999,ROUND(100/B51*C51-100,1),IF(ROUND(100/B51*C51-100,1)&gt;999,999,-999)))</f>
        <v>2.2000000000000002</v>
      </c>
      <c r="E51" s="395">
        <f t="shared" si="21"/>
        <v>2.3674857192164454</v>
      </c>
      <c r="F51" s="103"/>
      <c r="G51" s="175">
        <f>G10+G37</f>
        <v>26543533.364</v>
      </c>
      <c r="H51" s="175">
        <f>H10+H37</f>
        <v>29621653.370000005</v>
      </c>
      <c r="I51" s="104">
        <f t="shared" ref="I51:I73" si="24">IF(G51=0, "    ---- ", IF(ABS(ROUND(100/G51*H51-100,1))&lt;999,ROUND(100/G51*H51-100,1),IF(ROUND(100/G51*H51-100,1)&gt;999,999,-999)))</f>
        <v>11.6</v>
      </c>
      <c r="J51" s="395">
        <f t="shared" si="22"/>
        <v>1.6876250838431339</v>
      </c>
      <c r="K51" s="139"/>
      <c r="L51" s="219">
        <f ca="1">L11+L37</f>
        <v>0</v>
      </c>
      <c r="M51" s="217">
        <f ca="1">M11+M37</f>
        <v>0</v>
      </c>
      <c r="N51" s="219">
        <f ca="1">N11+N37</f>
        <v>0</v>
      </c>
      <c r="O51" s="217">
        <f ca="1">O11+O37</f>
        <v>0</v>
      </c>
      <c r="P51" s="203"/>
      <c r="Q51" s="203"/>
      <c r="R51" s="203"/>
      <c r="S51" s="180"/>
      <c r="T51" s="139"/>
    </row>
    <row r="52" spans="1:20" ht="18.75" x14ac:dyDescent="0.3">
      <c r="A52" s="86" t="s">
        <v>84</v>
      </c>
      <c r="B52" s="130">
        <f>B11+B38</f>
        <v>4207629.3979900004</v>
      </c>
      <c r="C52" s="103">
        <f>+C11+C38</f>
        <v>4147539.2804999994</v>
      </c>
      <c r="D52" s="104">
        <f t="shared" si="23"/>
        <v>-1.4</v>
      </c>
      <c r="E52" s="395">
        <f t="shared" si="21"/>
        <v>13.504689199895754</v>
      </c>
      <c r="F52" s="103"/>
      <c r="G52" s="175">
        <f>+G11+G38</f>
        <v>319249577.39629596</v>
      </c>
      <c r="H52" s="175">
        <f>+H11+H38</f>
        <v>329975389.6815657</v>
      </c>
      <c r="I52" s="104">
        <f t="shared" si="24"/>
        <v>3.4</v>
      </c>
      <c r="J52" s="395">
        <f t="shared" si="22"/>
        <v>18.799583457468668</v>
      </c>
      <c r="K52" s="139"/>
      <c r="L52" s="219">
        <f ca="1">L12+L38</f>
        <v>0</v>
      </c>
      <c r="M52" s="217">
        <f ca="1">+M12+M38</f>
        <v>0</v>
      </c>
      <c r="N52" s="219">
        <f ca="1">+N12+N38</f>
        <v>0</v>
      </c>
      <c r="O52" s="217">
        <f ca="1">+O12+O38</f>
        <v>0</v>
      </c>
      <c r="P52" s="203"/>
      <c r="Q52" s="203"/>
      <c r="R52" s="203"/>
      <c r="S52" s="180"/>
      <c r="T52" s="139"/>
    </row>
    <row r="53" spans="1:20" ht="18.75" x14ac:dyDescent="0.3">
      <c r="A53" s="86" t="s">
        <v>85</v>
      </c>
      <c r="B53" s="130">
        <f t="shared" ref="B53:C55" si="25">B12</f>
        <v>86830</v>
      </c>
      <c r="C53" s="103">
        <f t="shared" si="25"/>
        <v>116603</v>
      </c>
      <c r="D53" s="104">
        <f t="shared" si="23"/>
        <v>34.299999999999997</v>
      </c>
      <c r="E53" s="395">
        <f t="shared" si="21"/>
        <v>0.37966783875416626</v>
      </c>
      <c r="F53" s="103"/>
      <c r="G53" s="175">
        <f t="shared" ref="G53:H55" si="26">G12</f>
        <v>0</v>
      </c>
      <c r="H53" s="175">
        <f t="shared" si="26"/>
        <v>0</v>
      </c>
      <c r="I53" s="104"/>
      <c r="J53" s="395">
        <f t="shared" si="22"/>
        <v>0</v>
      </c>
      <c r="K53" s="139"/>
      <c r="L53" s="219">
        <f ca="1">L14</f>
        <v>0</v>
      </c>
      <c r="M53" s="217">
        <f ca="1">M14</f>
        <v>0</v>
      </c>
      <c r="N53" s="219">
        <f ca="1">N14</f>
        <v>0</v>
      </c>
      <c r="O53" s="217">
        <f ca="1">+O14+O39</f>
        <v>0</v>
      </c>
      <c r="P53" s="203"/>
      <c r="Q53" s="203"/>
      <c r="R53" s="203"/>
      <c r="S53" s="180"/>
      <c r="T53" s="139"/>
    </row>
    <row r="54" spans="1:20" ht="18.75" x14ac:dyDescent="0.3">
      <c r="A54" s="86" t="s">
        <v>412</v>
      </c>
      <c r="B54" s="130">
        <f t="shared" si="25"/>
        <v>8328</v>
      </c>
      <c r="C54" s="130">
        <f t="shared" si="25"/>
        <v>22472</v>
      </c>
      <c r="D54" s="104">
        <f t="shared" ref="D54" si="27">IF(B54=0, "    ---- ", IF(ABS(ROUND(100/B54*C54-100,1))&lt;999,ROUND(100/B54*C54-100,1),IF(ROUND(100/B54*C54-100,1)&gt;999,999,-999)))</f>
        <v>169.8</v>
      </c>
      <c r="E54" s="395">
        <f t="shared" si="21"/>
        <v>7.3170464503345745E-2</v>
      </c>
      <c r="F54" s="103"/>
      <c r="G54" s="175">
        <f t="shared" si="26"/>
        <v>0</v>
      </c>
      <c r="H54" s="175">
        <f t="shared" si="26"/>
        <v>0</v>
      </c>
      <c r="I54" s="104"/>
      <c r="J54" s="395">
        <f t="shared" si="22"/>
        <v>0</v>
      </c>
      <c r="K54" s="139"/>
      <c r="L54" s="219"/>
      <c r="M54" s="217"/>
      <c r="N54" s="219"/>
      <c r="O54" s="217"/>
      <c r="P54" s="203"/>
      <c r="Q54" s="203"/>
      <c r="R54" s="203"/>
      <c r="S54" s="180"/>
      <c r="T54" s="139"/>
    </row>
    <row r="55" spans="1:20" ht="18.75" x14ac:dyDescent="0.3">
      <c r="A55" s="107" t="s">
        <v>394</v>
      </c>
      <c r="B55" s="130">
        <f t="shared" si="25"/>
        <v>846741.58648000006</v>
      </c>
      <c r="C55" s="130">
        <f t="shared" si="25"/>
        <v>867620.14841999998</v>
      </c>
      <c r="D55" s="104">
        <f t="shared" ref="D55" si="28">IF(B55=0, "    ---- ", IF(ABS(ROUND(100/B55*C55-100,1))&lt;999,ROUND(100/B55*C55-100,1),IF(ROUND(100/B55*C55-100,1)&gt;999,999,-999)))</f>
        <v>2.5</v>
      </c>
      <c r="E55" s="395">
        <f t="shared" si="21"/>
        <v>2.8250342324827864</v>
      </c>
      <c r="F55" s="103"/>
      <c r="G55" s="175">
        <f t="shared" si="26"/>
        <v>3914911.94576</v>
      </c>
      <c r="H55" s="175">
        <f t="shared" si="26"/>
        <v>4438692.9528400004</v>
      </c>
      <c r="I55" s="104">
        <f t="shared" ref="I55" si="29">IF(G55=0, "    ---- ", IF(ABS(ROUND(100/G55*H55-100,1))&lt;999,ROUND(100/G55*H55-100,1),IF(ROUND(100/G55*H55-100,1)&gt;999,999,-999)))</f>
        <v>13.4</v>
      </c>
      <c r="J55" s="395">
        <f t="shared" si="22"/>
        <v>0.25288424900269274</v>
      </c>
      <c r="K55" s="139"/>
      <c r="L55" s="219"/>
      <c r="M55" s="217"/>
      <c r="N55" s="219"/>
      <c r="O55" s="217"/>
      <c r="P55" s="203"/>
      <c r="Q55" s="203"/>
      <c r="R55" s="203"/>
      <c r="S55" s="180"/>
      <c r="T55" s="139"/>
    </row>
    <row r="56" spans="1:20" ht="18.75" x14ac:dyDescent="0.3">
      <c r="A56" s="107" t="s">
        <v>86</v>
      </c>
      <c r="B56" s="130">
        <f>B15+B39</f>
        <v>462024</v>
      </c>
      <c r="C56" s="105">
        <f>C15+C39</f>
        <v>509672</v>
      </c>
      <c r="D56" s="106">
        <f t="shared" si="23"/>
        <v>10.3</v>
      </c>
      <c r="E56" s="397">
        <f t="shared" si="21"/>
        <v>1.6595290576873101</v>
      </c>
      <c r="F56" s="105"/>
      <c r="G56" s="176">
        <f>G15+G39</f>
        <v>1220716</v>
      </c>
      <c r="H56" s="176">
        <f>H15+H39</f>
        <v>1439347</v>
      </c>
      <c r="I56" s="104">
        <f t="shared" si="24"/>
        <v>17.899999999999999</v>
      </c>
      <c r="J56" s="395">
        <f t="shared" si="22"/>
        <v>8.2003461157724125E-2</v>
      </c>
      <c r="K56" s="139"/>
      <c r="L56" s="219">
        <f ca="1">L16+L39</f>
        <v>0</v>
      </c>
      <c r="M56" s="217">
        <f ca="1">M16+M39</f>
        <v>0</v>
      </c>
      <c r="N56" s="219">
        <f ca="1">N16+N39</f>
        <v>0</v>
      </c>
      <c r="O56" s="217">
        <f ca="1">O16+O39</f>
        <v>0</v>
      </c>
      <c r="P56" s="206"/>
      <c r="Q56" s="206"/>
      <c r="R56" s="206"/>
      <c r="S56" s="180"/>
      <c r="T56" s="139"/>
    </row>
    <row r="57" spans="1:20" ht="18.75" x14ac:dyDescent="0.3">
      <c r="A57" s="107" t="s">
        <v>87</v>
      </c>
      <c r="B57" s="130">
        <f>B16</f>
        <v>5032.16</v>
      </c>
      <c r="C57" s="105">
        <f>C16</f>
        <v>6055.442</v>
      </c>
      <c r="D57" s="106">
        <f t="shared" si="23"/>
        <v>20.3</v>
      </c>
      <c r="E57" s="397">
        <f t="shared" si="21"/>
        <v>1.9716959056295346E-2</v>
      </c>
      <c r="F57" s="105"/>
      <c r="G57" s="176">
        <f>G16</f>
        <v>0</v>
      </c>
      <c r="H57" s="176">
        <f>H16</f>
        <v>0</v>
      </c>
      <c r="I57" s="104"/>
      <c r="J57" s="395">
        <f t="shared" si="22"/>
        <v>0</v>
      </c>
      <c r="K57" s="139"/>
      <c r="L57" s="219">
        <f ca="1">L17</f>
        <v>0</v>
      </c>
      <c r="M57" s="217">
        <f ca="1">M17</f>
        <v>0</v>
      </c>
      <c r="N57" s="219">
        <f ca="1">N17</f>
        <v>0</v>
      </c>
      <c r="O57" s="217">
        <f ca="1">O17</f>
        <v>0</v>
      </c>
      <c r="P57" s="206"/>
      <c r="Q57" s="206"/>
      <c r="R57" s="206"/>
      <c r="S57" s="180"/>
      <c r="T57" s="139"/>
    </row>
    <row r="58" spans="1:20" ht="18.75" x14ac:dyDescent="0.3">
      <c r="A58" s="86" t="s">
        <v>88</v>
      </c>
      <c r="B58" s="103">
        <f>B17</f>
        <v>1275735.1170000001</v>
      </c>
      <c r="C58" s="103">
        <f>+C17</f>
        <v>1381871.2850000001</v>
      </c>
      <c r="D58" s="104">
        <f t="shared" si="23"/>
        <v>8.3000000000000007</v>
      </c>
      <c r="E58" s="395">
        <f t="shared" si="21"/>
        <v>4.4994732915310287</v>
      </c>
      <c r="F58" s="103"/>
      <c r="G58" s="175">
        <f>+G17</f>
        <v>0</v>
      </c>
      <c r="H58" s="175">
        <f>+H17</f>
        <v>0</v>
      </c>
      <c r="I58" s="104"/>
      <c r="J58" s="395">
        <f t="shared" si="22"/>
        <v>0</v>
      </c>
      <c r="K58" s="139"/>
      <c r="L58" s="219">
        <f ca="1">L18</f>
        <v>0</v>
      </c>
      <c r="M58" s="217">
        <f ca="1">+M18</f>
        <v>0</v>
      </c>
      <c r="N58" s="219">
        <f ca="1">+N18</f>
        <v>0</v>
      </c>
      <c r="O58" s="217">
        <f ca="1">+O18</f>
        <v>0</v>
      </c>
      <c r="P58" s="203"/>
      <c r="Q58" s="203"/>
      <c r="R58" s="203"/>
      <c r="S58" s="180"/>
      <c r="T58" s="139"/>
    </row>
    <row r="59" spans="1:20" ht="18.75" x14ac:dyDescent="0.3">
      <c r="A59" s="86" t="s">
        <v>89</v>
      </c>
      <c r="B59" s="103">
        <f>B18+B40</f>
        <v>1146607</v>
      </c>
      <c r="C59" s="103">
        <f>C18+C40</f>
        <v>1257782</v>
      </c>
      <c r="D59" s="104">
        <f t="shared" si="23"/>
        <v>9.6999999999999993</v>
      </c>
      <c r="E59" s="395">
        <f t="shared" si="21"/>
        <v>4.0954295649673913</v>
      </c>
      <c r="F59" s="103"/>
      <c r="G59" s="175">
        <f>G18+G40</f>
        <v>44197699</v>
      </c>
      <c r="H59" s="175">
        <f>H18+H40</f>
        <v>51189152</v>
      </c>
      <c r="I59" s="104">
        <f t="shared" si="24"/>
        <v>15.8</v>
      </c>
      <c r="J59" s="395">
        <f t="shared" si="22"/>
        <v>2.9163833583762888</v>
      </c>
      <c r="K59" s="139"/>
      <c r="L59" s="219">
        <f ca="1">L19+L40</f>
        <v>0</v>
      </c>
      <c r="M59" s="217">
        <f ca="1">M19+M40</f>
        <v>0</v>
      </c>
      <c r="N59" s="219">
        <f ca="1">N19+N40</f>
        <v>0</v>
      </c>
      <c r="O59" s="217">
        <f ca="1">O19+O40</f>
        <v>0</v>
      </c>
      <c r="P59" s="203"/>
      <c r="Q59" s="203"/>
      <c r="R59" s="203"/>
      <c r="S59" s="180"/>
      <c r="T59" s="139"/>
    </row>
    <row r="60" spans="1:20" ht="18.75" x14ac:dyDescent="0.3">
      <c r="A60" s="86" t="s">
        <v>90</v>
      </c>
      <c r="B60" s="103">
        <f>B19</f>
        <v>8840.2157599999991</v>
      </c>
      <c r="C60" s="103">
        <f>+C19</f>
        <v>8764.5190000000002</v>
      </c>
      <c r="D60" s="104">
        <f t="shared" si="23"/>
        <v>-0.9</v>
      </c>
      <c r="E60" s="395">
        <f t="shared" si="21"/>
        <v>2.8537910572196484E-2</v>
      </c>
      <c r="F60" s="103"/>
      <c r="G60" s="175">
        <f>+G19</f>
        <v>18807.375</v>
      </c>
      <c r="H60" s="175">
        <f>+H19</f>
        <v>22760.624</v>
      </c>
      <c r="I60" s="104">
        <f t="shared" si="24"/>
        <v>21</v>
      </c>
      <c r="J60" s="395">
        <f t="shared" si="22"/>
        <v>1.2967338286803416E-3</v>
      </c>
      <c r="K60" s="139"/>
      <c r="L60" s="219">
        <f ca="1">L20</f>
        <v>0</v>
      </c>
      <c r="M60" s="217">
        <f t="shared" ref="M60:O61" ca="1" si="30">+M20</f>
        <v>0</v>
      </c>
      <c r="N60" s="219">
        <f t="shared" ca="1" si="30"/>
        <v>0</v>
      </c>
      <c r="O60" s="217">
        <f t="shared" ca="1" si="30"/>
        <v>0</v>
      </c>
      <c r="P60" s="203"/>
      <c r="Q60" s="203"/>
      <c r="R60" s="203"/>
      <c r="S60" s="180"/>
      <c r="T60" s="139"/>
    </row>
    <row r="61" spans="1:20" ht="18.75" x14ac:dyDescent="0.3">
      <c r="A61" s="86" t="s">
        <v>91</v>
      </c>
      <c r="B61" s="103">
        <f>B20</f>
        <v>170115.003490506</v>
      </c>
      <c r="C61" s="103">
        <f>+C20</f>
        <v>195617.65438259998</v>
      </c>
      <c r="D61" s="104">
        <f t="shared" si="23"/>
        <v>15</v>
      </c>
      <c r="E61" s="395">
        <f t="shared" si="21"/>
        <v>0.63694529353105145</v>
      </c>
      <c r="F61" s="103"/>
      <c r="G61" s="175">
        <f>+G20</f>
        <v>0</v>
      </c>
      <c r="H61" s="175">
        <f>+H20</f>
        <v>0</v>
      </c>
      <c r="I61" s="104"/>
      <c r="J61" s="395">
        <f t="shared" si="22"/>
        <v>0</v>
      </c>
      <c r="K61" s="139"/>
      <c r="L61" s="219">
        <f ca="1">L21</f>
        <v>0</v>
      </c>
      <c r="M61" s="217">
        <f t="shared" ca="1" si="30"/>
        <v>0</v>
      </c>
      <c r="N61" s="219">
        <f t="shared" ca="1" si="30"/>
        <v>0</v>
      </c>
      <c r="O61" s="217">
        <f t="shared" ca="1" si="30"/>
        <v>0</v>
      </c>
      <c r="P61" s="203"/>
      <c r="Q61" s="203"/>
      <c r="R61" s="203"/>
      <c r="S61" s="180"/>
      <c r="T61" s="139"/>
    </row>
    <row r="62" spans="1:20" ht="18.75" x14ac:dyDescent="0.3">
      <c r="A62" s="86" t="s">
        <v>399</v>
      </c>
      <c r="B62" s="103">
        <f>B21</f>
        <v>9365</v>
      </c>
      <c r="C62" s="103">
        <f>C21</f>
        <v>0</v>
      </c>
      <c r="D62" s="104">
        <f>IF(B62=0, "    ---- ", IF(ABS(ROUND(100/B62*C62-100,1))&lt;999,ROUND(100/B62*C62-100,1),IF(ROUND(100/B62*C62-100,1)&gt;999,999,-999)))</f>
        <v>-100</v>
      </c>
      <c r="E62" s="395">
        <f t="shared" si="21"/>
        <v>0</v>
      </c>
      <c r="F62" s="103"/>
      <c r="G62" s="175">
        <f>G21</f>
        <v>0</v>
      </c>
      <c r="H62" s="175">
        <f>H21</f>
        <v>0</v>
      </c>
      <c r="I62" s="104"/>
      <c r="J62" s="395">
        <f t="shared" si="22"/>
        <v>0</v>
      </c>
      <c r="K62" s="139"/>
      <c r="L62" s="219">
        <f ca="1">L22</f>
        <v>0</v>
      </c>
      <c r="M62" s="217">
        <f ca="1">M22</f>
        <v>0</v>
      </c>
      <c r="N62" s="219">
        <f ca="1">N22</f>
        <v>0</v>
      </c>
      <c r="O62" s="217">
        <f ca="1">O22</f>
        <v>0</v>
      </c>
      <c r="P62" s="203"/>
      <c r="Q62" s="203"/>
      <c r="R62" s="203"/>
      <c r="S62" s="180"/>
      <c r="T62" s="139"/>
    </row>
    <row r="63" spans="1:20" ht="18.75" x14ac:dyDescent="0.3">
      <c r="A63" s="86" t="s">
        <v>63</v>
      </c>
      <c r="B63" s="105">
        <f>B22+B41</f>
        <v>7043406.2009999994</v>
      </c>
      <c r="C63" s="105">
        <f>C22+C41</f>
        <v>7126487.35305</v>
      </c>
      <c r="D63" s="106">
        <f t="shared" si="23"/>
        <v>1.2</v>
      </c>
      <c r="E63" s="397">
        <f t="shared" si="21"/>
        <v>23.204360533102857</v>
      </c>
      <c r="F63" s="105"/>
      <c r="G63" s="176">
        <f>G22+G41</f>
        <v>534326115.01060003</v>
      </c>
      <c r="H63" s="176">
        <f>H22+H41</f>
        <v>644033040.62371993</v>
      </c>
      <c r="I63" s="104">
        <f t="shared" si="24"/>
        <v>20.5</v>
      </c>
      <c r="J63" s="395">
        <f t="shared" si="22"/>
        <v>36.692290622815889</v>
      </c>
      <c r="K63" s="139"/>
      <c r="L63" s="219">
        <f ca="1">L33+L41</f>
        <v>0</v>
      </c>
      <c r="M63" s="217">
        <f ca="1">M33+M41</f>
        <v>0</v>
      </c>
      <c r="N63" s="219">
        <f ca="1">N33+N41</f>
        <v>0</v>
      </c>
      <c r="O63" s="217">
        <f ca="1">O33+O41</f>
        <v>0</v>
      </c>
      <c r="P63" s="206"/>
      <c r="Q63" s="206"/>
      <c r="R63" s="206"/>
      <c r="S63" s="180"/>
      <c r="T63" s="139"/>
    </row>
    <row r="64" spans="1:20" ht="18.75" x14ac:dyDescent="0.3">
      <c r="A64" s="86" t="s">
        <v>92</v>
      </c>
      <c r="B64" s="103">
        <f>B23</f>
        <v>181165.234</v>
      </c>
      <c r="C64" s="103">
        <f>C23</f>
        <v>182893.26199999999</v>
      </c>
      <c r="D64" s="104">
        <f t="shared" si="23"/>
        <v>1</v>
      </c>
      <c r="E64" s="395">
        <f t="shared" si="21"/>
        <v>0.59551374755571884</v>
      </c>
      <c r="F64" s="103"/>
      <c r="G64" s="175">
        <f>G23</f>
        <v>61664.775000000001</v>
      </c>
      <c r="H64" s="175">
        <f>H23</f>
        <v>84130.56700000001</v>
      </c>
      <c r="I64" s="104">
        <f t="shared" si="24"/>
        <v>36.4</v>
      </c>
      <c r="J64" s="395">
        <f t="shared" si="22"/>
        <v>4.7931441710454869E-3</v>
      </c>
      <c r="K64" s="139"/>
      <c r="L64" s="219">
        <f t="shared" ref="L64:O65" ca="1" si="31">L24</f>
        <v>0</v>
      </c>
      <c r="M64" s="217">
        <f t="shared" ca="1" si="31"/>
        <v>0</v>
      </c>
      <c r="N64" s="219">
        <f t="shared" ca="1" si="31"/>
        <v>0</v>
      </c>
      <c r="O64" s="217">
        <f t="shared" ca="1" si="31"/>
        <v>0</v>
      </c>
      <c r="P64" s="203"/>
      <c r="Q64" s="203"/>
      <c r="R64" s="203"/>
      <c r="S64" s="180"/>
      <c r="T64" s="139"/>
    </row>
    <row r="65" spans="1:240" ht="18.75" x14ac:dyDescent="0.3">
      <c r="A65" s="108" t="s">
        <v>406</v>
      </c>
      <c r="B65" s="103">
        <f>B24</f>
        <v>32788</v>
      </c>
      <c r="C65" s="103">
        <f>C24</f>
        <v>18594</v>
      </c>
      <c r="D65" s="104">
        <f t="shared" si="23"/>
        <v>-43.3</v>
      </c>
      <c r="E65" s="395">
        <f t="shared" si="21"/>
        <v>6.0543414781737755E-2</v>
      </c>
      <c r="F65" s="103"/>
      <c r="G65" s="175">
        <f>G24</f>
        <v>0</v>
      </c>
      <c r="H65" s="175">
        <f>H24</f>
        <v>0</v>
      </c>
      <c r="I65" s="104"/>
      <c r="J65" s="395">
        <f t="shared" si="22"/>
        <v>0</v>
      </c>
      <c r="K65" s="139"/>
      <c r="L65" s="219">
        <f t="shared" ca="1" si="31"/>
        <v>0</v>
      </c>
      <c r="M65" s="217">
        <f t="shared" ca="1" si="31"/>
        <v>0</v>
      </c>
      <c r="N65" s="219">
        <f t="shared" ca="1" si="31"/>
        <v>0</v>
      </c>
      <c r="O65" s="217">
        <f t="shared" ca="1" si="31"/>
        <v>0</v>
      </c>
      <c r="P65" s="203"/>
      <c r="Q65" s="203"/>
      <c r="R65" s="203"/>
      <c r="S65" s="180"/>
      <c r="T65" s="139"/>
    </row>
    <row r="66" spans="1:240" ht="18.75" x14ac:dyDescent="0.3">
      <c r="A66" s="107" t="s">
        <v>65</v>
      </c>
      <c r="B66" s="103">
        <f>B25+B42</f>
        <v>5232610.8017199999</v>
      </c>
      <c r="C66" s="103">
        <f>+C25+C42</f>
        <v>4906984.5457579158</v>
      </c>
      <c r="D66" s="104">
        <f t="shared" si="23"/>
        <v>-6.2</v>
      </c>
      <c r="E66" s="395">
        <f t="shared" si="21"/>
        <v>15.977498154318518</v>
      </c>
      <c r="F66" s="103"/>
      <c r="G66" s="175">
        <f>+G25+G42</f>
        <v>159783300.00006199</v>
      </c>
      <c r="H66" s="175">
        <f>+H25+H42</f>
        <v>178616170.0000259</v>
      </c>
      <c r="I66" s="104">
        <f t="shared" si="24"/>
        <v>11.8</v>
      </c>
      <c r="J66" s="395">
        <f t="shared" si="22"/>
        <v>10.176242531327452</v>
      </c>
      <c r="K66" s="139"/>
      <c r="L66" s="219">
        <f ca="1">L26+L42</f>
        <v>0</v>
      </c>
      <c r="M66" s="217">
        <f ca="1">+M26+M42</f>
        <v>0</v>
      </c>
      <c r="N66" s="219">
        <f ca="1">+N26+N42</f>
        <v>0</v>
      </c>
      <c r="O66" s="217">
        <f ca="1">+O26+O42</f>
        <v>0</v>
      </c>
      <c r="P66" s="203"/>
      <c r="Q66" s="203"/>
      <c r="R66" s="203"/>
      <c r="S66" s="180"/>
      <c r="T66" s="139"/>
    </row>
    <row r="67" spans="1:240" ht="18.75" customHeight="1" x14ac:dyDescent="0.3">
      <c r="A67" s="107" t="s">
        <v>94</v>
      </c>
      <c r="B67" s="103">
        <f>B26</f>
        <v>823365</v>
      </c>
      <c r="C67" s="103">
        <f>C26</f>
        <v>1184750</v>
      </c>
      <c r="D67" s="104">
        <f t="shared" si="23"/>
        <v>43.9</v>
      </c>
      <c r="E67" s="395">
        <f t="shared" si="21"/>
        <v>3.8576320674768101</v>
      </c>
      <c r="F67" s="103"/>
      <c r="G67" s="175">
        <f>G26</f>
        <v>84956302</v>
      </c>
      <c r="H67" s="175">
        <f>H26</f>
        <v>82039593</v>
      </c>
      <c r="I67" s="104">
        <f t="shared" si="24"/>
        <v>-3.4</v>
      </c>
      <c r="J67" s="395">
        <f t="shared" si="22"/>
        <v>4.6740157710204668</v>
      </c>
      <c r="K67" s="139"/>
      <c r="L67" s="219">
        <f ca="1">L27</f>
        <v>0</v>
      </c>
      <c r="M67" s="217">
        <f ca="1">M27</f>
        <v>0</v>
      </c>
      <c r="N67" s="219">
        <f ca="1">N27</f>
        <v>0</v>
      </c>
      <c r="O67" s="217">
        <f ca="1">O27</f>
        <v>0</v>
      </c>
      <c r="P67" s="203"/>
      <c r="Q67" s="203"/>
      <c r="R67" s="203"/>
      <c r="S67" s="180"/>
      <c r="T67" s="139"/>
    </row>
    <row r="68" spans="1:240" ht="18.75" customHeight="1" x14ac:dyDescent="0.3">
      <c r="A68" s="107" t="s">
        <v>358</v>
      </c>
      <c r="B68" s="103">
        <f>B27</f>
        <v>212752.66328546518</v>
      </c>
      <c r="C68" s="103">
        <f>C27</f>
        <v>216669.42148958714</v>
      </c>
      <c r="D68" s="104">
        <f t="shared" ref="D68" si="32">IF(B68=0, "    ---- ", IF(ABS(ROUND(100/B68*C68-100,1))&lt;999,ROUND(100/B68*C68-100,1),IF(ROUND(100/B68*C68-100,1)&gt;999,999,-999)))</f>
        <v>1.8</v>
      </c>
      <c r="E68" s="395">
        <f t="shared" si="21"/>
        <v>0.70549137656035488</v>
      </c>
      <c r="F68" s="103"/>
      <c r="G68" s="175">
        <f>G27</f>
        <v>0</v>
      </c>
      <c r="H68" s="175">
        <f>H27</f>
        <v>0</v>
      </c>
      <c r="I68" s="104"/>
      <c r="J68" s="395">
        <f t="shared" si="22"/>
        <v>0</v>
      </c>
      <c r="K68" s="139"/>
      <c r="L68" s="219"/>
      <c r="M68" s="217"/>
      <c r="N68" s="219"/>
      <c r="O68" s="217"/>
      <c r="P68" s="203"/>
      <c r="Q68" s="203"/>
      <c r="R68" s="203"/>
      <c r="S68" s="180"/>
      <c r="T68" s="139"/>
    </row>
    <row r="69" spans="1:240" ht="18.75" customHeight="1" x14ac:dyDescent="0.3">
      <c r="A69" s="107" t="s">
        <v>71</v>
      </c>
      <c r="B69" s="103">
        <f>B43</f>
        <v>43468.250899999999</v>
      </c>
      <c r="C69" s="103">
        <f>C43</f>
        <v>31910.574619999999</v>
      </c>
      <c r="D69" s="104">
        <f t="shared" si="23"/>
        <v>-26.6</v>
      </c>
      <c r="E69" s="395">
        <f t="shared" si="21"/>
        <v>0.1039031491417798</v>
      </c>
      <c r="F69" s="103"/>
      <c r="G69" s="175">
        <f>G43</f>
        <v>3051253.7135600001</v>
      </c>
      <c r="H69" s="175">
        <f>H43</f>
        <v>2929926.8749500001</v>
      </c>
      <c r="I69" s="104">
        <f t="shared" si="24"/>
        <v>-4</v>
      </c>
      <c r="J69" s="395">
        <f t="shared" si="22"/>
        <v>0.166925796687619</v>
      </c>
      <c r="K69" s="139"/>
      <c r="L69" s="219">
        <f ca="1">L43</f>
        <v>0</v>
      </c>
      <c r="M69" s="217">
        <f ca="1">M43</f>
        <v>0</v>
      </c>
      <c r="N69" s="219">
        <f ca="1">N43</f>
        <v>0</v>
      </c>
      <c r="O69" s="217">
        <f ca="1">O43</f>
        <v>0</v>
      </c>
      <c r="P69" s="203"/>
      <c r="Q69" s="203"/>
      <c r="R69" s="203"/>
      <c r="S69" s="180"/>
      <c r="T69" s="139"/>
    </row>
    <row r="70" spans="1:240" ht="18.75" customHeight="1" x14ac:dyDescent="0.3">
      <c r="A70" s="86" t="s">
        <v>421</v>
      </c>
      <c r="B70" s="103">
        <f>B28+B44</f>
        <v>1622256.52251</v>
      </c>
      <c r="C70" s="103">
        <f>+C28+C44</f>
        <v>1773667.2652500002</v>
      </c>
      <c r="D70" s="104">
        <f t="shared" si="23"/>
        <v>9.3000000000000007</v>
      </c>
      <c r="E70" s="395">
        <f t="shared" si="21"/>
        <v>5.7751894656782428</v>
      </c>
      <c r="F70" s="103"/>
      <c r="G70" s="175">
        <f>+G28+G44</f>
        <v>66772744.599590003</v>
      </c>
      <c r="H70" s="175">
        <f>+H28+H44</f>
        <v>76081528.290490001</v>
      </c>
      <c r="I70" s="104">
        <f t="shared" si="24"/>
        <v>13.9</v>
      </c>
      <c r="J70" s="395">
        <f t="shared" si="22"/>
        <v>4.334568835721675</v>
      </c>
      <c r="K70" s="139"/>
      <c r="L70" s="219" t="e">
        <f ca="1">L29+L44</f>
        <v>#REF!</v>
      </c>
      <c r="M70" s="217" t="e">
        <f t="shared" ref="M70:O71" ca="1" si="33">+M29+M44</f>
        <v>#REF!</v>
      </c>
      <c r="N70" s="219" t="e">
        <f t="shared" ca="1" si="33"/>
        <v>#REF!</v>
      </c>
      <c r="O70" s="217" t="e">
        <f t="shared" ca="1" si="33"/>
        <v>#REF!</v>
      </c>
      <c r="P70" s="203"/>
      <c r="Q70" s="203"/>
      <c r="R70" s="203"/>
      <c r="S70" s="180"/>
      <c r="T70" s="139"/>
    </row>
    <row r="71" spans="1:240" ht="18.75" customHeight="1" x14ac:dyDescent="0.3">
      <c r="A71" s="107" t="s">
        <v>95</v>
      </c>
      <c r="B71" s="103">
        <f>B45+B29</f>
        <v>5760703.5959999999</v>
      </c>
      <c r="C71" s="103">
        <f>+C29+C45</f>
        <v>5429444.6789999995</v>
      </c>
      <c r="D71" s="104">
        <f t="shared" si="23"/>
        <v>-5.8</v>
      </c>
      <c r="E71" s="395">
        <f t="shared" si="21"/>
        <v>17.678666302850164</v>
      </c>
      <c r="F71" s="103"/>
      <c r="G71" s="175">
        <f>+G29+G45</f>
        <v>335888255.58899999</v>
      </c>
      <c r="H71" s="175">
        <f>+H29+H45</f>
        <v>354754910.72336</v>
      </c>
      <c r="I71" s="104">
        <f t="shared" si="24"/>
        <v>5.6</v>
      </c>
      <c r="J71" s="395">
        <f t="shared" si="22"/>
        <v>20.211339268442522</v>
      </c>
      <c r="K71" s="139"/>
      <c r="L71" s="219">
        <f ca="1">L45+L30</f>
        <v>0</v>
      </c>
      <c r="M71" s="217">
        <f t="shared" ca="1" si="33"/>
        <v>0</v>
      </c>
      <c r="N71" s="219">
        <f t="shared" ca="1" si="33"/>
        <v>0</v>
      </c>
      <c r="O71" s="217">
        <f t="shared" ca="1" si="33"/>
        <v>0</v>
      </c>
      <c r="P71" s="203"/>
      <c r="Q71" s="203"/>
      <c r="R71" s="203"/>
      <c r="S71" s="180"/>
      <c r="T71" s="139"/>
    </row>
    <row r="72" spans="1:240" ht="18.75" customHeight="1" x14ac:dyDescent="0.3">
      <c r="A72" s="107" t="s">
        <v>96</v>
      </c>
      <c r="B72" s="103">
        <f>B30</f>
        <v>364</v>
      </c>
      <c r="C72" s="103">
        <f>+C30</f>
        <v>319</v>
      </c>
      <c r="D72" s="104">
        <f t="shared" si="23"/>
        <v>-12.4</v>
      </c>
      <c r="E72" s="395">
        <f t="shared" si="21"/>
        <v>1.0386871741085481E-3</v>
      </c>
      <c r="F72" s="103"/>
      <c r="G72" s="175">
        <f t="shared" ref="G72:H74" si="34">+G30</f>
        <v>0</v>
      </c>
      <c r="H72" s="175">
        <f t="shared" si="34"/>
        <v>0</v>
      </c>
      <c r="I72" s="104"/>
      <c r="J72" s="395">
        <f t="shared" si="22"/>
        <v>0</v>
      </c>
      <c r="K72" s="139"/>
      <c r="L72" s="219">
        <f ca="1">L31</f>
        <v>0</v>
      </c>
      <c r="M72" s="217">
        <f t="shared" ref="M72:O73" ca="1" si="35">+M31</f>
        <v>0</v>
      </c>
      <c r="N72" s="219">
        <f t="shared" ca="1" si="35"/>
        <v>0</v>
      </c>
      <c r="O72" s="217">
        <f t="shared" ca="1" si="35"/>
        <v>0</v>
      </c>
      <c r="P72" s="203"/>
      <c r="Q72" s="203"/>
      <c r="R72" s="203"/>
      <c r="S72" s="180"/>
      <c r="T72" s="139"/>
    </row>
    <row r="73" spans="1:240" ht="18.75" customHeight="1" x14ac:dyDescent="0.3">
      <c r="A73" s="107" t="s">
        <v>97</v>
      </c>
      <c r="B73" s="103">
        <f>B31</f>
        <v>519007.69999999995</v>
      </c>
      <c r="C73" s="103">
        <f>+C31</f>
        <v>546669.5</v>
      </c>
      <c r="D73" s="104">
        <f t="shared" si="23"/>
        <v>5.3</v>
      </c>
      <c r="E73" s="395">
        <f t="shared" si="21"/>
        <v>1.7799956054117021</v>
      </c>
      <c r="F73" s="103"/>
      <c r="G73" s="175">
        <f t="shared" si="34"/>
        <v>0</v>
      </c>
      <c r="H73" s="175">
        <f t="shared" si="34"/>
        <v>0</v>
      </c>
      <c r="I73" s="104"/>
      <c r="J73" s="395">
        <f t="shared" si="22"/>
        <v>0</v>
      </c>
      <c r="K73" s="139"/>
      <c r="L73" s="219">
        <f ca="1">L32</f>
        <v>0</v>
      </c>
      <c r="M73" s="217">
        <f t="shared" ca="1" si="35"/>
        <v>0</v>
      </c>
      <c r="N73" s="219">
        <f t="shared" ca="1" si="35"/>
        <v>0</v>
      </c>
      <c r="O73" s="217">
        <f t="shared" ca="1" si="35"/>
        <v>0</v>
      </c>
      <c r="P73" s="203"/>
      <c r="Q73" s="203"/>
      <c r="R73" s="203"/>
      <c r="S73" s="180"/>
      <c r="T73" s="139"/>
    </row>
    <row r="74" spans="1:240" ht="18.75" x14ac:dyDescent="0.3">
      <c r="A74" s="189" t="s">
        <v>409</v>
      </c>
      <c r="B74" s="103">
        <f>B32</f>
        <v>1478</v>
      </c>
      <c r="C74" s="103">
        <f>C32</f>
        <v>2114</v>
      </c>
      <c r="D74" s="104">
        <f t="shared" si="23"/>
        <v>43</v>
      </c>
      <c r="E74" s="395">
        <f t="shared" ref="E74" si="36">100/C$34*C74</f>
        <v>1.2361494908091811E-2</v>
      </c>
      <c r="F74" s="189"/>
      <c r="G74" s="175">
        <f t="shared" si="34"/>
        <v>0</v>
      </c>
      <c r="H74" s="175">
        <f t="shared" si="34"/>
        <v>0</v>
      </c>
      <c r="I74" s="189"/>
      <c r="J74" s="395">
        <f t="shared" ref="J74" si="37">100/H$34*H74</f>
        <v>0</v>
      </c>
      <c r="K74" s="203"/>
      <c r="L74" s="219">
        <f t="shared" ref="L74" ca="1" si="38">INDIRECT("'" &amp; $A73 &amp; "'!" &amp; $P$7)</f>
        <v>0</v>
      </c>
      <c r="M74" s="217">
        <f t="shared" ref="M74" ca="1" si="39">INDIRECT("'" &amp; $A73 &amp; "'!" &amp; $P$8)</f>
        <v>0</v>
      </c>
      <c r="N74" s="219">
        <f t="shared" ref="N74" ca="1" si="40">INDIRECT("'" &amp; $A73 &amp; "'!" &amp; $P$10)</f>
        <v>0</v>
      </c>
      <c r="O74" s="217">
        <f t="shared" ref="O74" ca="1" si="41">INDIRECT("'" &amp; $A73 &amp; "'!" &amp; $P$11)</f>
        <v>0</v>
      </c>
    </row>
    <row r="75" spans="1:240" ht="18.75" x14ac:dyDescent="0.3">
      <c r="A75" s="107" t="s">
        <v>422</v>
      </c>
      <c r="B75" s="103">
        <f>B33</f>
        <v>0</v>
      </c>
      <c r="C75" s="103">
        <f>+C33</f>
        <v>868</v>
      </c>
      <c r="D75" s="104" t="str">
        <f>IF(B75=0, "    ---- ", IF(ABS(ROUND(100/B75*C75-100,1))&lt;999,ROUND(100/B75*C75-100,1),IF(ROUND(100/B75*C75-100,1)&gt;999,999,-999)))</f>
        <v xml:space="preserve">    ---- </v>
      </c>
      <c r="E75" s="395">
        <f>100/C$76*C75</f>
        <v>2.8262710568220054E-3</v>
      </c>
      <c r="F75" s="103"/>
      <c r="G75" s="175">
        <f>G33</f>
        <v>0</v>
      </c>
      <c r="H75" s="175">
        <f>H33</f>
        <v>837</v>
      </c>
      <c r="I75" s="104" t="str">
        <f>IF(G75=0, "    ---- ", IF(ABS(ROUND(100/G75*H75-100,1))&lt;999,ROUND(100/G75*H75-100,1),IF(ROUND(100/G75*H75-100,1)&gt;999,999,-999)))</f>
        <v xml:space="preserve">    ---- </v>
      </c>
      <c r="J75" s="395">
        <f>100/H$76*H75</f>
        <v>4.7686136136049953E-5</v>
      </c>
      <c r="K75" s="139"/>
      <c r="L75" s="219" t="e">
        <f ca="1">L23+#REF!</f>
        <v>#REF!</v>
      </c>
      <c r="M75" s="217" t="e">
        <f ca="1">+M23+#REF!</f>
        <v>#REF!</v>
      </c>
      <c r="N75" s="219" t="e">
        <f ca="1">N23+#REF!</f>
        <v>#REF!</v>
      </c>
      <c r="O75" s="217" t="e">
        <f ca="1">O23+#REF!</f>
        <v>#REF!</v>
      </c>
      <c r="P75" s="203"/>
      <c r="Q75" s="203"/>
      <c r="R75" s="203"/>
      <c r="S75" s="180"/>
      <c r="T75" s="139"/>
    </row>
    <row r="76" spans="1:240" s="111" customFormat="1" ht="18.75" customHeight="1" x14ac:dyDescent="0.3">
      <c r="A76" s="113" t="s">
        <v>2</v>
      </c>
      <c r="B76" s="114">
        <f>SUM(B50:B75)</f>
        <v>30460012.948135968</v>
      </c>
      <c r="C76" s="114">
        <f>SUM(C50:C75)</f>
        <v>30711845.486470103</v>
      </c>
      <c r="D76" s="115">
        <f>IF(B76=0, "    ---- ", IF(ABS(ROUND(100/B76*C76-100,1))&lt;999,ROUND(100/B76*C76-100,1),IF(ROUND(100/B76*C76-100,1)&gt;999,999,-999)))</f>
        <v>0.8</v>
      </c>
      <c r="E76" s="398">
        <f>SUM(E50:E75)</f>
        <v>100.00547815733422</v>
      </c>
      <c r="F76" s="109"/>
      <c r="G76" s="179">
        <f>SUM(G50:G75)</f>
        <v>1579984880.768868</v>
      </c>
      <c r="H76" s="179">
        <f>SUM(H50:H75)</f>
        <v>1755227132.7079515</v>
      </c>
      <c r="I76" s="115">
        <f>IF(G76=0, "    ---- ", IF(ABS(ROUND(100/G76*H76-100,1))&lt;999,ROUND(100/G76*H76-100,1),IF(ROUND(100/G76*H76-100,1)&gt;999,999,-999)))</f>
        <v>11.1</v>
      </c>
      <c r="J76" s="398">
        <f>SUM(J50:J75)</f>
        <v>99.999999999999986</v>
      </c>
      <c r="K76" s="178"/>
      <c r="L76" s="225" t="e">
        <f ca="1">SUM(L50:L73)</f>
        <v>#REF!</v>
      </c>
      <c r="M76" s="226" t="e">
        <f ca="1">SUM(M50:M73)</f>
        <v>#REF!</v>
      </c>
      <c r="N76" s="225" t="e">
        <f ca="1">SUM(N50:N73)</f>
        <v>#REF!</v>
      </c>
      <c r="O76" s="226" t="e">
        <f ca="1">SUM(O50:O73)</f>
        <v>#REF!</v>
      </c>
      <c r="P76" s="205"/>
      <c r="Q76" s="205"/>
      <c r="R76" s="205"/>
      <c r="S76" s="138"/>
      <c r="T76" s="178"/>
    </row>
    <row r="77" spans="1:240" ht="18.75" customHeight="1" x14ac:dyDescent="0.3">
      <c r="A77" s="112" t="s">
        <v>101</v>
      </c>
      <c r="B77" s="112"/>
      <c r="C77" s="112"/>
      <c r="D77" s="112"/>
      <c r="E77" s="112"/>
      <c r="F77" s="112"/>
      <c r="G77" s="112"/>
      <c r="H77" s="112"/>
      <c r="I77" s="112"/>
      <c r="J77" s="112"/>
      <c r="K77" s="112"/>
      <c r="L77" s="184"/>
      <c r="M77" s="184"/>
      <c r="N77" s="184"/>
      <c r="O77" s="184"/>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112"/>
      <c r="CD77" s="112"/>
      <c r="CE77" s="112"/>
      <c r="CF77" s="112"/>
      <c r="CG77" s="112"/>
      <c r="CH77" s="112"/>
      <c r="CI77" s="112"/>
      <c r="CJ77" s="112"/>
      <c r="CK77" s="112"/>
      <c r="CL77" s="112"/>
      <c r="CM77" s="112"/>
      <c r="CN77" s="112"/>
      <c r="CO77" s="112"/>
      <c r="CP77" s="112"/>
      <c r="CQ77" s="112"/>
      <c r="CR77" s="112"/>
      <c r="CS77" s="112"/>
      <c r="CT77" s="112"/>
      <c r="CU77" s="112"/>
      <c r="CV77" s="112"/>
      <c r="CW77" s="112"/>
      <c r="CX77" s="112"/>
      <c r="CY77" s="112"/>
      <c r="CZ77" s="112"/>
      <c r="DA77" s="112"/>
      <c r="DB77" s="112"/>
      <c r="DC77" s="112"/>
      <c r="DD77" s="112"/>
      <c r="DE77" s="112"/>
      <c r="DF77" s="112"/>
      <c r="DG77" s="112"/>
      <c r="DH77" s="112"/>
      <c r="DI77" s="112"/>
      <c r="DJ77" s="112"/>
      <c r="DK77" s="112"/>
      <c r="DL77" s="112"/>
      <c r="DM77" s="112"/>
      <c r="DN77" s="112"/>
      <c r="DO77" s="112"/>
      <c r="DP77" s="112"/>
      <c r="DQ77" s="112"/>
      <c r="DR77" s="112"/>
      <c r="DS77" s="112"/>
      <c r="DT77" s="112"/>
      <c r="DU77" s="112"/>
      <c r="DV77" s="112"/>
      <c r="DW77" s="112"/>
      <c r="DX77" s="112"/>
      <c r="DY77" s="112"/>
      <c r="DZ77" s="112"/>
      <c r="EA77" s="112"/>
      <c r="EB77" s="112"/>
      <c r="EC77" s="112"/>
      <c r="ED77" s="112"/>
      <c r="EE77" s="112"/>
      <c r="EF77" s="112"/>
      <c r="EG77" s="112"/>
      <c r="EH77" s="112"/>
      <c r="EI77" s="112"/>
      <c r="EJ77" s="112"/>
      <c r="EK77" s="112"/>
      <c r="EL77" s="112"/>
      <c r="EM77" s="112"/>
      <c r="EN77" s="112"/>
      <c r="EO77" s="112"/>
      <c r="EP77" s="112"/>
      <c r="EQ77" s="112"/>
      <c r="ER77" s="112"/>
      <c r="ES77" s="112"/>
      <c r="ET77" s="112"/>
      <c r="EU77" s="112"/>
      <c r="EV77" s="112"/>
      <c r="EW77" s="112"/>
      <c r="EX77" s="112"/>
      <c r="EY77" s="112"/>
      <c r="EZ77" s="112"/>
      <c r="FA77" s="112"/>
      <c r="FB77" s="112"/>
      <c r="FC77" s="112"/>
      <c r="FD77" s="112"/>
      <c r="FE77" s="112"/>
      <c r="FF77" s="112"/>
      <c r="FG77" s="112"/>
      <c r="FH77" s="112"/>
      <c r="FI77" s="112"/>
      <c r="FJ77" s="112"/>
      <c r="FK77" s="112"/>
      <c r="FL77" s="112"/>
      <c r="FM77" s="112"/>
      <c r="FN77" s="112"/>
      <c r="FO77" s="112"/>
      <c r="FP77" s="112"/>
      <c r="FQ77" s="112"/>
      <c r="FR77" s="112"/>
      <c r="FS77" s="112"/>
      <c r="FT77" s="112"/>
      <c r="FU77" s="112"/>
      <c r="FV77" s="112"/>
      <c r="FW77" s="112"/>
      <c r="FX77" s="112"/>
      <c r="FY77" s="112"/>
      <c r="FZ77" s="112"/>
      <c r="GA77" s="112"/>
      <c r="GB77" s="112"/>
      <c r="GC77" s="112"/>
      <c r="GD77" s="112"/>
      <c r="GE77" s="112"/>
      <c r="GF77" s="112"/>
      <c r="GG77" s="112"/>
      <c r="GH77" s="112"/>
      <c r="GI77" s="112"/>
      <c r="GJ77" s="112"/>
      <c r="GK77" s="112"/>
      <c r="GL77" s="112"/>
      <c r="GM77" s="112"/>
      <c r="GN77" s="112"/>
      <c r="GO77" s="112"/>
      <c r="GP77" s="112"/>
      <c r="GQ77" s="112"/>
      <c r="GR77" s="112"/>
      <c r="GS77" s="112"/>
      <c r="GT77" s="112"/>
      <c r="GU77" s="112"/>
      <c r="GV77" s="112"/>
      <c r="GW77" s="112"/>
      <c r="GX77" s="112"/>
      <c r="GY77" s="112"/>
      <c r="GZ77" s="112"/>
      <c r="HA77" s="112"/>
      <c r="HB77" s="112"/>
      <c r="HC77" s="112"/>
      <c r="HD77" s="112"/>
      <c r="HE77" s="112"/>
      <c r="HF77" s="112"/>
      <c r="HG77" s="112"/>
      <c r="HH77" s="112"/>
      <c r="HI77" s="112"/>
      <c r="HJ77" s="112"/>
      <c r="HK77" s="112"/>
      <c r="HL77" s="112"/>
      <c r="HM77" s="112"/>
      <c r="HN77" s="112"/>
      <c r="HO77" s="112"/>
      <c r="HP77" s="112"/>
      <c r="HQ77" s="112"/>
      <c r="HR77" s="112"/>
      <c r="HS77" s="112"/>
      <c r="HT77" s="112"/>
      <c r="HU77" s="112"/>
      <c r="HV77" s="112"/>
      <c r="HW77" s="112"/>
      <c r="HX77" s="112"/>
      <c r="HY77" s="112"/>
      <c r="HZ77" s="112"/>
      <c r="IA77" s="112"/>
      <c r="IB77" s="112"/>
      <c r="IC77" s="112"/>
      <c r="ID77" s="112"/>
      <c r="IE77" s="112"/>
      <c r="IF77" s="112"/>
    </row>
    <row r="78" spans="1:240" ht="18.75" customHeight="1" x14ac:dyDescent="0.3">
      <c r="A78" s="74"/>
      <c r="B78" s="74"/>
      <c r="C78" s="74"/>
      <c r="D78" s="74"/>
      <c r="E78" s="74"/>
      <c r="F78" s="74"/>
      <c r="G78" s="74"/>
      <c r="H78" s="74"/>
      <c r="I78" s="74"/>
      <c r="J78" s="74"/>
      <c r="K78" s="74"/>
    </row>
    <row r="79" spans="1:240" ht="18.75" customHeight="1" x14ac:dyDescent="0.3">
      <c r="A79" s="74"/>
      <c r="B79" s="74"/>
      <c r="C79" s="74"/>
      <c r="D79" s="74"/>
      <c r="E79" s="74"/>
      <c r="F79" s="74"/>
      <c r="G79" s="74"/>
      <c r="H79" s="74"/>
      <c r="I79" s="74"/>
      <c r="J79" s="74"/>
      <c r="K79" s="74"/>
    </row>
    <row r="80" spans="1:240" ht="18.75" customHeight="1" x14ac:dyDescent="0.3">
      <c r="A80" s="74"/>
      <c r="B80" s="77"/>
      <c r="C80" s="77"/>
      <c r="D80" s="74"/>
      <c r="E80" s="74"/>
      <c r="F80" s="74"/>
      <c r="G80" s="77"/>
      <c r="H80" s="77"/>
      <c r="I80" s="74"/>
      <c r="J80" s="74"/>
      <c r="K80" s="74"/>
    </row>
    <row r="81" spans="1:11" ht="18.75" customHeight="1" x14ac:dyDescent="0.3">
      <c r="A81" s="74"/>
      <c r="B81" s="74"/>
      <c r="C81" s="74"/>
      <c r="D81" s="74"/>
      <c r="E81" s="74"/>
      <c r="F81" s="74"/>
      <c r="G81" s="74"/>
      <c r="H81" s="74"/>
      <c r="I81" s="74"/>
      <c r="J81" s="74"/>
      <c r="K81" s="74"/>
    </row>
    <row r="82" spans="1:11" ht="18.75" customHeight="1" x14ac:dyDescent="0.3">
      <c r="A82" s="74"/>
      <c r="B82" s="74"/>
      <c r="C82" s="74"/>
      <c r="D82" s="74"/>
      <c r="E82" s="74"/>
      <c r="F82" s="74"/>
      <c r="G82" s="74"/>
      <c r="H82" s="74"/>
      <c r="I82" s="74"/>
      <c r="J82" s="74"/>
      <c r="K82" s="74"/>
    </row>
    <row r="83" spans="1:11" ht="18.75" customHeight="1" x14ac:dyDescent="0.3">
      <c r="A83" s="74"/>
      <c r="B83" s="74"/>
      <c r="C83" s="74"/>
      <c r="D83" s="74"/>
      <c r="E83" s="74"/>
      <c r="F83" s="74"/>
      <c r="G83" s="74"/>
      <c r="H83" s="74"/>
      <c r="I83" s="74"/>
      <c r="J83" s="74"/>
      <c r="K83" s="74"/>
    </row>
    <row r="84" spans="1:11" ht="18.75" customHeight="1" x14ac:dyDescent="0.3">
      <c r="A84" s="74"/>
      <c r="B84" s="74"/>
      <c r="C84" s="74"/>
      <c r="D84" s="74"/>
      <c r="E84" s="74"/>
      <c r="F84" s="74"/>
      <c r="G84" s="74"/>
      <c r="H84" s="74"/>
      <c r="I84" s="74"/>
      <c r="J84" s="74"/>
      <c r="K84" s="74"/>
    </row>
    <row r="85" spans="1:11" ht="18.75" x14ac:dyDescent="0.3">
      <c r="A85" s="74"/>
      <c r="B85" s="74"/>
      <c r="C85" s="74"/>
      <c r="D85" s="74"/>
      <c r="E85" s="74"/>
      <c r="F85" s="74"/>
      <c r="G85" s="74"/>
      <c r="H85" s="74"/>
      <c r="I85" s="74"/>
      <c r="J85" s="74"/>
      <c r="K85" s="74"/>
    </row>
    <row r="86" spans="1:11" ht="18.75" x14ac:dyDescent="0.3">
      <c r="A86" s="74"/>
      <c r="B86" s="74"/>
      <c r="C86" s="74"/>
      <c r="D86" s="74"/>
      <c r="E86" s="74"/>
      <c r="F86" s="74"/>
      <c r="G86" s="74"/>
      <c r="H86" s="74"/>
      <c r="I86" s="74"/>
      <c r="J86" s="74"/>
      <c r="K86" s="74"/>
    </row>
    <row r="87" spans="1:11" ht="18.75" x14ac:dyDescent="0.3">
      <c r="A87" s="74"/>
      <c r="B87" s="74"/>
      <c r="C87" s="74"/>
      <c r="D87" s="74"/>
      <c r="E87" s="74"/>
      <c r="F87" s="74"/>
      <c r="G87" s="74"/>
      <c r="H87" s="74"/>
      <c r="I87" s="74"/>
      <c r="J87" s="74"/>
      <c r="K87" s="74"/>
    </row>
    <row r="88" spans="1:11" ht="18.75" x14ac:dyDescent="0.3">
      <c r="A88" s="74"/>
      <c r="B88" s="74"/>
      <c r="C88" s="74"/>
      <c r="D88" s="74"/>
      <c r="E88" s="74"/>
      <c r="F88" s="74"/>
      <c r="G88" s="74"/>
      <c r="H88" s="74"/>
      <c r="I88" s="74"/>
      <c r="J88" s="74"/>
      <c r="K88" s="74"/>
    </row>
    <row r="89" spans="1:11" ht="18.75" x14ac:dyDescent="0.3">
      <c r="A89" s="74"/>
      <c r="B89" s="74"/>
      <c r="C89" s="74"/>
      <c r="D89" s="74"/>
      <c r="E89" s="74"/>
      <c r="F89" s="74"/>
      <c r="G89" s="74"/>
      <c r="H89" s="74"/>
      <c r="I89" s="74"/>
      <c r="J89" s="74"/>
      <c r="K89" s="74"/>
    </row>
    <row r="90" spans="1:11" ht="18.75" x14ac:dyDescent="0.3">
      <c r="A90" s="74"/>
      <c r="B90" s="74"/>
      <c r="C90" s="74"/>
      <c r="D90" s="74"/>
      <c r="E90" s="74"/>
      <c r="F90" s="74"/>
      <c r="G90" s="74"/>
      <c r="H90" s="74"/>
      <c r="I90" s="74"/>
      <c r="J90" s="74"/>
      <c r="K90" s="74"/>
    </row>
    <row r="91" spans="1:11" ht="18.75" x14ac:dyDescent="0.3">
      <c r="A91" s="74"/>
      <c r="B91" s="74"/>
      <c r="C91" s="74"/>
      <c r="D91" s="74"/>
      <c r="E91" s="74"/>
      <c r="F91" s="74"/>
      <c r="G91" s="74"/>
      <c r="H91" s="74"/>
      <c r="I91" s="74"/>
      <c r="J91" s="74"/>
      <c r="K91" s="74"/>
    </row>
    <row r="92" spans="1:11" ht="18.75" x14ac:dyDescent="0.3">
      <c r="A92" s="74"/>
      <c r="B92" s="74"/>
      <c r="C92" s="74"/>
      <c r="D92" s="74"/>
      <c r="E92" s="74"/>
      <c r="F92" s="74"/>
      <c r="G92" s="74"/>
      <c r="H92" s="74"/>
      <c r="I92" s="74"/>
      <c r="J92" s="74"/>
      <c r="K92" s="74"/>
    </row>
    <row r="93" spans="1:11" ht="18.75" x14ac:dyDescent="0.3">
      <c r="A93" s="74"/>
      <c r="B93" s="74"/>
      <c r="C93" s="74"/>
      <c r="D93" s="74"/>
      <c r="E93" s="74"/>
      <c r="F93" s="74"/>
      <c r="G93" s="74"/>
      <c r="H93" s="74"/>
      <c r="I93" s="74"/>
      <c r="J93" s="74"/>
      <c r="K93" s="74"/>
    </row>
    <row r="94" spans="1:11" ht="18.75" x14ac:dyDescent="0.3">
      <c r="A94" s="74"/>
      <c r="B94" s="74"/>
      <c r="C94" s="74"/>
      <c r="D94" s="74"/>
      <c r="E94" s="74"/>
      <c r="F94" s="74"/>
      <c r="G94" s="74"/>
      <c r="H94" s="74"/>
      <c r="I94" s="74"/>
      <c r="J94" s="74"/>
      <c r="K94" s="74"/>
    </row>
    <row r="95" spans="1:11" ht="18.75" x14ac:dyDescent="0.3">
      <c r="A95" s="74"/>
      <c r="B95" s="74"/>
      <c r="C95" s="74"/>
      <c r="D95" s="74"/>
      <c r="E95" s="74"/>
      <c r="F95" s="74"/>
      <c r="G95" s="74"/>
      <c r="H95" s="74"/>
      <c r="I95" s="74"/>
      <c r="J95" s="74"/>
      <c r="K95" s="74"/>
    </row>
    <row r="96" spans="1:11" ht="18.75" x14ac:dyDescent="0.3">
      <c r="A96" s="74"/>
      <c r="B96" s="74"/>
      <c r="C96" s="74"/>
      <c r="D96" s="74"/>
      <c r="E96" s="74"/>
      <c r="F96" s="74"/>
      <c r="G96" s="74"/>
      <c r="H96" s="74"/>
      <c r="I96" s="74"/>
      <c r="J96" s="74"/>
      <c r="K96" s="74"/>
    </row>
    <row r="97" spans="1:11" ht="18.75" x14ac:dyDescent="0.3">
      <c r="A97" s="74"/>
      <c r="B97" s="74"/>
      <c r="C97" s="74"/>
      <c r="D97" s="74"/>
      <c r="E97" s="74"/>
      <c r="F97" s="74"/>
      <c r="G97" s="74"/>
      <c r="H97" s="74"/>
      <c r="I97" s="74"/>
      <c r="J97" s="74"/>
      <c r="K97" s="74"/>
    </row>
    <row r="98" spans="1:11" ht="18.75" x14ac:dyDescent="0.3">
      <c r="A98" s="74"/>
      <c r="B98" s="74"/>
      <c r="C98" s="74"/>
      <c r="D98" s="74"/>
      <c r="E98" s="74"/>
      <c r="F98" s="74"/>
      <c r="G98" s="74"/>
      <c r="H98" s="74"/>
      <c r="I98" s="74"/>
      <c r="J98" s="74"/>
      <c r="K98" s="74"/>
    </row>
    <row r="99" spans="1:11" ht="18.75" x14ac:dyDescent="0.3">
      <c r="A99" s="74"/>
      <c r="B99" s="74"/>
      <c r="C99" s="74"/>
      <c r="D99" s="74"/>
      <c r="E99" s="74"/>
      <c r="F99" s="74"/>
      <c r="G99" s="74"/>
      <c r="H99" s="74"/>
      <c r="I99" s="74"/>
      <c r="J99" s="74"/>
      <c r="K99" s="74"/>
    </row>
    <row r="100" spans="1:11" ht="18.75" x14ac:dyDescent="0.3">
      <c r="A100" s="74"/>
      <c r="B100" s="74"/>
      <c r="C100" s="74"/>
      <c r="D100" s="74"/>
      <c r="E100" s="74"/>
      <c r="F100" s="74"/>
      <c r="G100" s="74"/>
      <c r="H100" s="74"/>
      <c r="I100" s="74"/>
      <c r="J100" s="74"/>
      <c r="K100" s="74"/>
    </row>
    <row r="101" spans="1:11" ht="18.75" x14ac:dyDescent="0.3">
      <c r="A101" s="74"/>
      <c r="B101" s="74"/>
      <c r="C101" s="74"/>
      <c r="D101" s="74"/>
      <c r="E101" s="74"/>
      <c r="F101" s="74"/>
      <c r="G101" s="74"/>
      <c r="H101" s="74"/>
      <c r="I101" s="74"/>
      <c r="J101" s="74"/>
      <c r="K101" s="74"/>
    </row>
    <row r="102" spans="1:11" ht="18.75" x14ac:dyDescent="0.3">
      <c r="A102" s="112"/>
      <c r="B102" s="112"/>
      <c r="C102" s="112"/>
      <c r="D102" s="112"/>
      <c r="E102" s="112"/>
      <c r="F102" s="112"/>
      <c r="G102" s="112"/>
      <c r="H102" s="112"/>
      <c r="I102" s="112"/>
      <c r="J102" s="112"/>
      <c r="K102" s="112"/>
    </row>
    <row r="103" spans="1:11" ht="18.75" x14ac:dyDescent="0.3">
      <c r="A103" s="116"/>
      <c r="B103" s="117"/>
      <c r="C103" s="117"/>
      <c r="D103" s="117"/>
      <c r="E103" s="74"/>
      <c r="F103" s="74"/>
      <c r="G103" s="74"/>
      <c r="H103" s="74"/>
      <c r="I103" s="74"/>
      <c r="J103" s="75"/>
      <c r="K103" s="75"/>
    </row>
    <row r="104" spans="1:11" ht="18.75" x14ac:dyDescent="0.3">
      <c r="A104" s="74"/>
      <c r="B104" s="74"/>
      <c r="C104" s="74"/>
      <c r="D104" s="74"/>
      <c r="E104" s="74"/>
      <c r="F104" s="74"/>
      <c r="G104" s="74"/>
      <c r="H104" s="74"/>
      <c r="I104" s="74"/>
      <c r="J104" s="74"/>
      <c r="K104" s="74"/>
    </row>
    <row r="105" spans="1:11" ht="18.75" x14ac:dyDescent="0.3">
      <c r="A105" s="74"/>
      <c r="B105" s="74"/>
      <c r="C105" s="74"/>
      <c r="D105" s="74"/>
      <c r="E105" s="74"/>
      <c r="F105" s="74"/>
      <c r="G105" s="74"/>
      <c r="H105" s="74"/>
      <c r="I105" s="74"/>
      <c r="J105" s="74"/>
      <c r="K105" s="74"/>
    </row>
    <row r="106" spans="1:11" ht="18.75" x14ac:dyDescent="0.3">
      <c r="A106" s="74"/>
      <c r="B106" s="74"/>
      <c r="C106" s="74"/>
      <c r="D106" s="74"/>
      <c r="E106" s="74"/>
      <c r="F106" s="74"/>
      <c r="G106" s="74"/>
      <c r="H106" s="74"/>
      <c r="I106" s="74"/>
      <c r="J106" s="74"/>
      <c r="K106" s="74"/>
    </row>
    <row r="107" spans="1:11" ht="18.75" x14ac:dyDescent="0.3">
      <c r="A107" s="74"/>
      <c r="B107" s="74"/>
      <c r="C107" s="74"/>
      <c r="D107" s="74"/>
      <c r="E107" s="74"/>
      <c r="F107" s="74"/>
      <c r="G107" s="74"/>
      <c r="H107" s="74"/>
      <c r="I107" s="74"/>
      <c r="J107" s="74"/>
      <c r="K107" s="74"/>
    </row>
    <row r="108" spans="1:11" ht="18.75" x14ac:dyDescent="0.3">
      <c r="A108" s="74"/>
      <c r="B108" s="74"/>
      <c r="C108" s="74"/>
      <c r="D108" s="74"/>
      <c r="E108" s="74"/>
      <c r="F108" s="74"/>
      <c r="G108" s="74"/>
      <c r="H108" s="74"/>
      <c r="I108" s="74"/>
      <c r="J108" s="74"/>
      <c r="K108" s="74"/>
    </row>
    <row r="109" spans="1:11" ht="18.75" x14ac:dyDescent="0.3">
      <c r="A109" s="74"/>
      <c r="B109" s="74"/>
      <c r="C109" s="74"/>
      <c r="D109" s="74"/>
      <c r="E109" s="74"/>
      <c r="F109" s="74"/>
      <c r="G109" s="74"/>
      <c r="H109" s="74"/>
      <c r="I109" s="74"/>
      <c r="J109" s="74"/>
      <c r="K109" s="74"/>
    </row>
    <row r="110" spans="1:11" ht="18.75" x14ac:dyDescent="0.3">
      <c r="A110" s="74"/>
      <c r="B110" s="74"/>
      <c r="C110" s="74"/>
      <c r="D110" s="74"/>
      <c r="E110" s="74"/>
      <c r="F110" s="74"/>
      <c r="G110" s="74"/>
      <c r="H110" s="74"/>
      <c r="I110" s="74"/>
      <c r="J110" s="74"/>
      <c r="K110" s="74"/>
    </row>
    <row r="111" spans="1:11" ht="18.75" x14ac:dyDescent="0.3">
      <c r="A111" s="74"/>
      <c r="B111" s="74"/>
      <c r="C111" s="74"/>
      <c r="D111" s="74"/>
      <c r="E111" s="74"/>
      <c r="F111" s="74"/>
      <c r="G111" s="74"/>
      <c r="H111" s="74"/>
      <c r="I111" s="74"/>
      <c r="J111" s="74"/>
      <c r="K111" s="74"/>
    </row>
    <row r="112" spans="1:11" ht="18.75" x14ac:dyDescent="0.3">
      <c r="A112" s="74"/>
      <c r="B112" s="74"/>
      <c r="C112" s="74"/>
      <c r="D112" s="74"/>
      <c r="E112" s="74"/>
      <c r="F112" s="74"/>
      <c r="G112" s="74"/>
      <c r="H112" s="74"/>
      <c r="I112" s="74"/>
      <c r="J112" s="74"/>
      <c r="K112" s="74"/>
    </row>
    <row r="113" spans="1:11" ht="18.75" x14ac:dyDescent="0.3">
      <c r="A113" s="74"/>
      <c r="B113" s="74"/>
      <c r="C113" s="74"/>
      <c r="D113" s="74"/>
      <c r="E113" s="74"/>
      <c r="F113" s="74"/>
      <c r="G113" s="74"/>
      <c r="H113" s="74"/>
      <c r="I113" s="74"/>
      <c r="J113" s="74"/>
      <c r="K113" s="74"/>
    </row>
    <row r="114" spans="1:11" ht="18.75" x14ac:dyDescent="0.3">
      <c r="A114" s="74"/>
      <c r="B114" s="74"/>
      <c r="C114" s="74"/>
      <c r="D114" s="74"/>
      <c r="E114" s="74"/>
      <c r="F114" s="74"/>
      <c r="G114" s="74"/>
      <c r="H114" s="74"/>
      <c r="I114" s="74"/>
      <c r="J114" s="74"/>
      <c r="K114" s="74"/>
    </row>
    <row r="115" spans="1:11" ht="18.75" x14ac:dyDescent="0.3">
      <c r="A115" s="74"/>
      <c r="B115" s="74"/>
      <c r="C115" s="74"/>
      <c r="D115" s="74"/>
      <c r="E115" s="74"/>
      <c r="F115" s="74"/>
      <c r="G115" s="74"/>
      <c r="H115" s="74"/>
      <c r="I115" s="74"/>
      <c r="J115" s="74"/>
      <c r="K115" s="74"/>
    </row>
  </sheetData>
  <mergeCells count="5">
    <mergeCell ref="N5:O5"/>
    <mergeCell ref="A3:B3"/>
    <mergeCell ref="B5:E5"/>
    <mergeCell ref="G5:J5"/>
    <mergeCell ref="L5:M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70" zoomScaleNormal="7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8" x14ac:dyDescent="0.25"/>
  <cols>
    <col min="1" max="1" width="51" style="81" customWidth="1"/>
    <col min="2" max="3" width="17.85546875" style="81" bestFit="1" customWidth="1"/>
    <col min="4" max="4" width="9.28515625" style="81" bestFit="1" customWidth="1"/>
    <col min="5" max="5" width="4.7109375" style="81" customWidth="1"/>
    <col min="6" max="7" width="16.7109375" style="81" customWidth="1"/>
    <col min="8" max="8" width="9.28515625" style="81" bestFit="1" customWidth="1"/>
    <col min="9" max="9" width="4.7109375" style="81" customWidth="1"/>
    <col min="10" max="10" width="18.7109375" style="81" customWidth="1"/>
    <col min="11" max="11" width="18" style="81" bestFit="1" customWidth="1"/>
    <col min="12" max="12" width="9.28515625" style="81" bestFit="1" customWidth="1"/>
    <col min="13" max="13" width="11.42578125" style="81"/>
    <col min="14" max="15" width="17.28515625" style="81" bestFit="1" customWidth="1"/>
    <col min="16" max="16384" width="11.42578125" style="81"/>
  </cols>
  <sheetData>
    <row r="1" spans="1:13" ht="20.25" x14ac:dyDescent="0.3">
      <c r="A1" s="80" t="s">
        <v>76</v>
      </c>
      <c r="B1" s="73" t="s">
        <v>52</v>
      </c>
      <c r="C1" s="74"/>
      <c r="D1" s="74"/>
      <c r="E1" s="74"/>
      <c r="F1" s="74"/>
      <c r="G1" s="74"/>
      <c r="H1" s="74"/>
      <c r="I1" s="74"/>
      <c r="J1" s="74"/>
      <c r="K1" s="74"/>
      <c r="L1" s="74"/>
      <c r="M1" s="74"/>
    </row>
    <row r="2" spans="1:13" ht="20.25" x14ac:dyDescent="0.3">
      <c r="A2" s="80" t="s">
        <v>102</v>
      </c>
      <c r="B2" s="73"/>
      <c r="C2" s="74"/>
      <c r="D2" s="74"/>
      <c r="E2" s="74"/>
      <c r="F2" s="74"/>
      <c r="G2" s="74"/>
      <c r="H2" s="74"/>
      <c r="I2" s="74"/>
      <c r="J2" s="74"/>
      <c r="K2" s="74"/>
      <c r="L2" s="74"/>
      <c r="M2" s="74"/>
    </row>
    <row r="3" spans="1:13" ht="18.75" x14ac:dyDescent="0.3">
      <c r="A3" s="75" t="s">
        <v>103</v>
      </c>
      <c r="B3" s="74"/>
      <c r="C3" s="74"/>
      <c r="D3" s="74"/>
      <c r="E3" s="74"/>
      <c r="F3" s="74"/>
      <c r="G3" s="74"/>
      <c r="H3" s="74"/>
      <c r="I3" s="74"/>
      <c r="J3" s="74"/>
      <c r="K3" s="74"/>
      <c r="L3" s="74"/>
      <c r="M3" s="74"/>
    </row>
    <row r="4" spans="1:13" ht="18.75" x14ac:dyDescent="0.3">
      <c r="A4" s="82" t="s">
        <v>425</v>
      </c>
      <c r="B4" s="102"/>
      <c r="C4" s="118"/>
      <c r="D4" s="119"/>
      <c r="E4" s="112"/>
      <c r="F4" s="83"/>
      <c r="G4" s="84"/>
      <c r="H4" s="85"/>
      <c r="I4" s="112"/>
      <c r="J4" s="83"/>
      <c r="K4" s="84"/>
      <c r="L4" s="85"/>
      <c r="M4" s="74"/>
    </row>
    <row r="5" spans="1:13" ht="18.75" x14ac:dyDescent="0.3">
      <c r="A5" s="120"/>
      <c r="B5" s="706" t="s">
        <v>0</v>
      </c>
      <c r="C5" s="707"/>
      <c r="D5" s="708"/>
      <c r="E5" s="89"/>
      <c r="F5" s="706" t="s">
        <v>1</v>
      </c>
      <c r="G5" s="707"/>
      <c r="H5" s="708"/>
      <c r="I5" s="121"/>
      <c r="J5" s="706" t="s">
        <v>104</v>
      </c>
      <c r="K5" s="707"/>
      <c r="L5" s="708"/>
      <c r="M5" s="74"/>
    </row>
    <row r="6" spans="1:13" ht="18.75" x14ac:dyDescent="0.3">
      <c r="A6" s="122"/>
      <c r="B6" s="123"/>
      <c r="C6" s="124"/>
      <c r="D6" s="94" t="s">
        <v>105</v>
      </c>
      <c r="E6" s="100"/>
      <c r="F6" s="123"/>
      <c r="G6" s="124"/>
      <c r="H6" s="94" t="s">
        <v>105</v>
      </c>
      <c r="I6" s="125"/>
      <c r="J6" s="123"/>
      <c r="K6" s="124"/>
      <c r="L6" s="94" t="s">
        <v>105</v>
      </c>
      <c r="M6" s="74"/>
    </row>
    <row r="7" spans="1:13" ht="18.75" x14ac:dyDescent="0.3">
      <c r="A7" s="126" t="s">
        <v>106</v>
      </c>
      <c r="B7" s="127">
        <v>2021</v>
      </c>
      <c r="C7" s="183">
        <v>2022</v>
      </c>
      <c r="D7" s="99" t="s">
        <v>82</v>
      </c>
      <c r="E7" s="100"/>
      <c r="F7" s="97">
        <v>2021</v>
      </c>
      <c r="G7" s="127">
        <v>2022</v>
      </c>
      <c r="H7" s="99" t="s">
        <v>82</v>
      </c>
      <c r="I7" s="128"/>
      <c r="J7" s="182">
        <v>2021</v>
      </c>
      <c r="K7" s="183">
        <v>2022</v>
      </c>
      <c r="L7" s="99" t="s">
        <v>82</v>
      </c>
      <c r="M7" s="74"/>
    </row>
    <row r="8" spans="1:13" ht="22.5" x14ac:dyDescent="0.3">
      <c r="A8" s="188" t="s">
        <v>107</v>
      </c>
      <c r="B8" s="228"/>
      <c r="C8" s="197"/>
      <c r="D8" s="197"/>
      <c r="E8" s="180"/>
      <c r="F8" s="197"/>
      <c r="G8" s="197"/>
      <c r="H8" s="197"/>
      <c r="I8" s="198"/>
      <c r="J8" s="197"/>
      <c r="K8" s="197"/>
      <c r="L8" s="197"/>
      <c r="M8" s="74"/>
    </row>
    <row r="9" spans="1:13" ht="18.75" x14ac:dyDescent="0.3">
      <c r="A9" s="189" t="s">
        <v>108</v>
      </c>
      <c r="B9" s="104">
        <f>'Skjema total MA'!B7</f>
        <v>1685097.9866931401</v>
      </c>
      <c r="C9" s="104">
        <f>'Skjema total MA'!C7</f>
        <v>1733602.9790164691</v>
      </c>
      <c r="D9" s="229">
        <f>IF(B9=0, "    ---- ", IF(ABS(ROUND(100/B9*C9-100,1))&lt;999,ROUND(100/B9*C9-100,1),IF(ROUND(100/B9*C9-100,1)&gt;999,999,-999)))</f>
        <v>2.9</v>
      </c>
      <c r="E9" s="180"/>
      <c r="F9" s="192">
        <f>'Skjema total MA'!E7</f>
        <v>3902556.8295499999</v>
      </c>
      <c r="G9" s="192">
        <f>'Skjema total MA'!F7</f>
        <v>3435021.29073</v>
      </c>
      <c r="H9" s="229">
        <f>IF(F9=0, "    ---- ", IF(ABS(ROUND(100/F9*G9-100,1))&lt;999,ROUND(100/F9*G9-100,1),IF(ROUND(100/F9*G9-100,1)&gt;999,999,-999)))</f>
        <v>-12</v>
      </c>
      <c r="I9" s="180"/>
      <c r="J9" s="192">
        <f t="shared" ref="J9:K60" si="0">SUM(B9+F9)</f>
        <v>5587654.81624314</v>
      </c>
      <c r="K9" s="192">
        <f t="shared" si="0"/>
        <v>5168624.2697464693</v>
      </c>
      <c r="L9" s="227">
        <f>IF(J9=0, "    ---- ", IF(ABS(ROUND(100/J9*K9-100,1))&lt;999,ROUND(100/J9*K9-100,1),IF(ROUND(100/J9*K9-100,1)&gt;999,999,-999)))</f>
        <v>-7.5</v>
      </c>
      <c r="M9" s="74"/>
    </row>
    <row r="10" spans="1:13" ht="18.75" x14ac:dyDescent="0.3">
      <c r="A10" s="189" t="s">
        <v>109</v>
      </c>
      <c r="B10" s="104">
        <f>'Skjema total MA'!B22</f>
        <v>681115.47334000003</v>
      </c>
      <c r="C10" s="104">
        <f>'Skjema total MA'!C22</f>
        <v>761140.55146032688</v>
      </c>
      <c r="D10" s="229">
        <f t="shared" ref="D10:D17" si="1">IF(B10=0, "    ---- ", IF(ABS(ROUND(100/B10*C10-100,1))&lt;999,ROUND(100/B10*C10-100,1),IF(ROUND(100/B10*C10-100,1)&gt;999,999,-999)))</f>
        <v>11.7</v>
      </c>
      <c r="E10" s="180"/>
      <c r="F10" s="192">
        <f>'Skjema total MA'!E22</f>
        <v>423299.74570999999</v>
      </c>
      <c r="G10" s="192">
        <f>'Skjema total MA'!F22</f>
        <v>273386.00956999999</v>
      </c>
      <c r="H10" s="229">
        <f t="shared" ref="H10:H57" si="2">IF(F10=0, "    ---- ", IF(ABS(ROUND(100/F10*G10-100,1))&lt;999,ROUND(100/F10*G10-100,1),IF(ROUND(100/F10*G10-100,1)&gt;999,999,-999)))</f>
        <v>-35.4</v>
      </c>
      <c r="I10" s="180"/>
      <c r="J10" s="192">
        <f t="shared" si="0"/>
        <v>1104415.21905</v>
      </c>
      <c r="K10" s="192">
        <f t="shared" si="0"/>
        <v>1034526.5610303269</v>
      </c>
      <c r="L10" s="227">
        <f t="shared" ref="L10:L60" si="3">IF(J10=0, "    ---- ", IF(ABS(ROUND(100/J10*K10-100,1))&lt;999,ROUND(100/J10*K10-100,1),IF(ROUND(100/J10*K10-100,1)&gt;999,999,-999)))</f>
        <v>-6.3</v>
      </c>
      <c r="M10" s="74"/>
    </row>
    <row r="11" spans="1:13" ht="18.75" x14ac:dyDescent="0.3">
      <c r="A11" s="189" t="s">
        <v>110</v>
      </c>
      <c r="B11" s="104">
        <f>'Skjema total MA'!B47</f>
        <v>3163569.7775028311</v>
      </c>
      <c r="C11" s="104">
        <f>'Skjema total MA'!C47</f>
        <v>3455491.0555133065</v>
      </c>
      <c r="D11" s="229">
        <f t="shared" si="1"/>
        <v>9.1999999999999993</v>
      </c>
      <c r="E11" s="180"/>
      <c r="F11" s="192"/>
      <c r="G11" s="192"/>
      <c r="H11" s="229" t="str">
        <f t="shared" si="2"/>
        <v xml:space="preserve">    ---- </v>
      </c>
      <c r="I11" s="180"/>
      <c r="J11" s="192">
        <f t="shared" si="0"/>
        <v>3163569.7775028311</v>
      </c>
      <c r="K11" s="192">
        <f t="shared" si="0"/>
        <v>3455491.0555133065</v>
      </c>
      <c r="L11" s="227">
        <f t="shared" si="3"/>
        <v>9.1999999999999993</v>
      </c>
      <c r="M11" s="74"/>
    </row>
    <row r="12" spans="1:13" ht="18.75" x14ac:dyDescent="0.3">
      <c r="A12" s="189" t="s">
        <v>111</v>
      </c>
      <c r="B12" s="104">
        <f>'Skjema total MA'!B66</f>
        <v>3120482.7806200003</v>
      </c>
      <c r="C12" s="104">
        <f>'Skjema total MA'!C66</f>
        <v>2652926.0376300002</v>
      </c>
      <c r="D12" s="229">
        <f t="shared" si="1"/>
        <v>-15</v>
      </c>
      <c r="E12" s="180"/>
      <c r="F12" s="192">
        <f>'Skjema total MA'!E66</f>
        <v>9529982.5687199999</v>
      </c>
      <c r="G12" s="192">
        <f>'Skjema total MA'!F66</f>
        <v>9894167.8760999981</v>
      </c>
      <c r="H12" s="229">
        <f t="shared" si="2"/>
        <v>3.8</v>
      </c>
      <c r="I12" s="180"/>
      <c r="J12" s="192">
        <f t="shared" si="0"/>
        <v>12650465.349339999</v>
      </c>
      <c r="K12" s="192">
        <f t="shared" si="0"/>
        <v>12547093.913729999</v>
      </c>
      <c r="L12" s="227">
        <f t="shared" si="3"/>
        <v>-0.8</v>
      </c>
      <c r="M12" s="74"/>
    </row>
    <row r="13" spans="1:13" ht="18.75" x14ac:dyDescent="0.3">
      <c r="A13" s="189" t="s">
        <v>112</v>
      </c>
      <c r="B13" s="104">
        <f>'Skjema total MA'!B68</f>
        <v>13805.019399999999</v>
      </c>
      <c r="C13" s="104">
        <f>'Skjema total MA'!C68</f>
        <v>10400.841469999999</v>
      </c>
      <c r="D13" s="229">
        <f t="shared" si="1"/>
        <v>-24.7</v>
      </c>
      <c r="E13" s="180"/>
      <c r="F13" s="192">
        <f>'Skjema total MA'!E68</f>
        <v>9158643.9639200009</v>
      </c>
      <c r="G13" s="192">
        <f>'Skjema total MA'!F68</f>
        <v>9498593.5002799984</v>
      </c>
      <c r="H13" s="229">
        <f t="shared" si="2"/>
        <v>3.7</v>
      </c>
      <c r="I13" s="180"/>
      <c r="J13" s="192">
        <f t="shared" si="0"/>
        <v>9172448.9833200015</v>
      </c>
      <c r="K13" s="192">
        <f t="shared" si="0"/>
        <v>9508994.3417499978</v>
      </c>
      <c r="L13" s="227">
        <f t="shared" si="3"/>
        <v>3.7</v>
      </c>
      <c r="M13" s="74"/>
    </row>
    <row r="14" spans="1:13" s="133" customFormat="1" ht="18.75" x14ac:dyDescent="0.3">
      <c r="A14" s="190" t="s">
        <v>113</v>
      </c>
      <c r="B14" s="131">
        <f>'Skjema total MA'!B75</f>
        <v>148389.73579999999</v>
      </c>
      <c r="C14" s="131">
        <f>'Skjema total MA'!C75</f>
        <v>143305.45416000002</v>
      </c>
      <c r="D14" s="229">
        <f t="shared" si="1"/>
        <v>-3.4</v>
      </c>
      <c r="E14" s="181"/>
      <c r="F14" s="193">
        <f>'Skjema total MA'!E75</f>
        <v>371338.60479999997</v>
      </c>
      <c r="G14" s="193">
        <f>'Skjema total MA'!F75</f>
        <v>395574.37582000002</v>
      </c>
      <c r="H14" s="229">
        <f t="shared" si="2"/>
        <v>6.5</v>
      </c>
      <c r="I14" s="181"/>
      <c r="J14" s="192">
        <f t="shared" si="0"/>
        <v>519728.3406</v>
      </c>
      <c r="K14" s="192">
        <f t="shared" si="0"/>
        <v>538879.82998000004</v>
      </c>
      <c r="L14" s="227">
        <f t="shared" si="3"/>
        <v>3.7</v>
      </c>
      <c r="M14" s="132"/>
    </row>
    <row r="15" spans="1:13" ht="22.5" x14ac:dyDescent="0.3">
      <c r="A15" s="189" t="s">
        <v>347</v>
      </c>
      <c r="B15" s="104">
        <f>'Skjema total MA'!B134</f>
        <v>7939140.04</v>
      </c>
      <c r="C15" s="104">
        <f>'Skjema total MA'!C134</f>
        <v>8497291.137050001</v>
      </c>
      <c r="D15" s="229">
        <f t="shared" si="1"/>
        <v>7</v>
      </c>
      <c r="E15" s="180"/>
      <c r="F15" s="192">
        <f>'Skjema total MA'!E134</f>
        <v>13768.486000000001</v>
      </c>
      <c r="G15" s="192">
        <f>'Skjema total MA'!F134</f>
        <v>7778.8180000000002</v>
      </c>
      <c r="H15" s="229">
        <f t="shared" si="2"/>
        <v>-43.5</v>
      </c>
      <c r="I15" s="180"/>
      <c r="J15" s="192">
        <f t="shared" si="0"/>
        <v>7952908.5259999996</v>
      </c>
      <c r="K15" s="192">
        <f t="shared" si="0"/>
        <v>8505069.9550500009</v>
      </c>
      <c r="L15" s="227">
        <f t="shared" si="3"/>
        <v>6.9</v>
      </c>
      <c r="M15" s="74"/>
    </row>
    <row r="16" spans="1:13" ht="18.75" x14ac:dyDescent="0.3">
      <c r="A16" s="189" t="s">
        <v>114</v>
      </c>
      <c r="B16" s="104">
        <f>'Skjema total MA'!B36</f>
        <v>999.26</v>
      </c>
      <c r="C16" s="104">
        <f>'Skjema total MA'!C36</f>
        <v>1039.7314000000001</v>
      </c>
      <c r="D16" s="229">
        <f t="shared" si="1"/>
        <v>4.0999999999999996</v>
      </c>
      <c r="E16" s="180"/>
      <c r="F16" s="192">
        <f>'Skjema total MA'!E36</f>
        <v>0</v>
      </c>
      <c r="G16" s="192">
        <f>'Skjema total MA'!F36</f>
        <v>0</v>
      </c>
      <c r="H16" s="229" t="str">
        <f t="shared" si="2"/>
        <v xml:space="preserve">    ---- </v>
      </c>
      <c r="I16" s="180"/>
      <c r="J16" s="192">
        <f t="shared" si="0"/>
        <v>999.26</v>
      </c>
      <c r="K16" s="192">
        <f t="shared" si="0"/>
        <v>1039.7314000000001</v>
      </c>
      <c r="L16" s="227">
        <f t="shared" si="3"/>
        <v>4.0999999999999996</v>
      </c>
      <c r="M16" s="74"/>
    </row>
    <row r="17" spans="1:23" s="135" customFormat="1" ht="18.75" customHeight="1" x14ac:dyDescent="0.3">
      <c r="A17" s="137" t="s">
        <v>115</v>
      </c>
      <c r="B17" s="110">
        <f>'Tabel 1.1'!B34</f>
        <v>16590405.31815597</v>
      </c>
      <c r="C17" s="194">
        <f>'Tabel 1.1'!C34</f>
        <v>17101491.492070101</v>
      </c>
      <c r="D17" s="229">
        <f t="shared" si="1"/>
        <v>3.1</v>
      </c>
      <c r="E17" s="138"/>
      <c r="F17" s="194">
        <f>'Tabel 1.1'!B46</f>
        <v>13869607.62998</v>
      </c>
      <c r="G17" s="194">
        <f>'Tabel 1.1'!C46</f>
        <v>13610353.994399998</v>
      </c>
      <c r="H17" s="229">
        <f t="shared" si="2"/>
        <v>-1.9</v>
      </c>
      <c r="I17" s="138"/>
      <c r="J17" s="194">
        <f t="shared" si="0"/>
        <v>30460012.948135972</v>
      </c>
      <c r="K17" s="194">
        <f t="shared" si="0"/>
        <v>30711845.4864701</v>
      </c>
      <c r="L17" s="227">
        <f t="shared" si="3"/>
        <v>0.8</v>
      </c>
      <c r="M17" s="75"/>
      <c r="N17" s="134"/>
      <c r="O17" s="134"/>
      <c r="Q17" s="136"/>
      <c r="R17" s="136"/>
      <c r="S17" s="136"/>
      <c r="T17" s="136"/>
      <c r="U17" s="136"/>
      <c r="V17" s="136"/>
      <c r="W17" s="136"/>
    </row>
    <row r="18" spans="1:23" ht="18.75" customHeight="1" x14ac:dyDescent="0.3">
      <c r="A18" s="137"/>
      <c r="B18" s="104"/>
      <c r="C18" s="192"/>
      <c r="D18" s="192"/>
      <c r="E18" s="180"/>
      <c r="F18" s="192"/>
      <c r="G18" s="192"/>
      <c r="H18" s="229"/>
      <c r="I18" s="180"/>
      <c r="J18" s="192"/>
      <c r="K18" s="192"/>
      <c r="L18" s="227"/>
      <c r="M18" s="74"/>
    </row>
    <row r="19" spans="1:23" ht="18.75" customHeight="1" x14ac:dyDescent="0.3">
      <c r="A19" s="188" t="s">
        <v>348</v>
      </c>
      <c r="B19" s="196"/>
      <c r="C19" s="199"/>
      <c r="D19" s="192"/>
      <c r="E19" s="180"/>
      <c r="F19" s="199"/>
      <c r="G19" s="199"/>
      <c r="H19" s="229"/>
      <c r="I19" s="180"/>
      <c r="J19" s="192"/>
      <c r="K19" s="192"/>
      <c r="L19" s="227"/>
      <c r="M19" s="74"/>
    </row>
    <row r="20" spans="1:23" ht="18.75" customHeight="1" x14ac:dyDescent="0.3">
      <c r="A20" s="189" t="s">
        <v>108</v>
      </c>
      <c r="B20" s="104">
        <f>'Skjema total MA'!B10</f>
        <v>17645344.147628192</v>
      </c>
      <c r="C20" s="104">
        <f>'Skjema total MA'!C10</f>
        <v>16406101.241744703</v>
      </c>
      <c r="D20" s="229">
        <f>IF(B20=0, "    ---- ", IF(ABS(ROUND(100/B20*C20-100,1))&lt;999,ROUND(100/B20*C20-100,1),IF(ROUND(100/B20*C20-100,1)&gt;999,999,-999)))</f>
        <v>-7</v>
      </c>
      <c r="E20" s="180"/>
      <c r="F20" s="192">
        <f>'Skjema total MA'!E10</f>
        <v>65234172.387540609</v>
      </c>
      <c r="G20" s="192">
        <f>'Skjema total MA'!F10</f>
        <v>74929242.276765004</v>
      </c>
      <c r="H20" s="229">
        <f t="shared" si="2"/>
        <v>14.9</v>
      </c>
      <c r="I20" s="180"/>
      <c r="J20" s="192">
        <f t="shared" si="0"/>
        <v>82879516.535168797</v>
      </c>
      <c r="K20" s="192">
        <f t="shared" si="0"/>
        <v>91335343.518509701</v>
      </c>
      <c r="L20" s="227">
        <f t="shared" si="3"/>
        <v>10.199999999999999</v>
      </c>
      <c r="M20" s="74"/>
    </row>
    <row r="21" spans="1:23" ht="18.75" customHeight="1" x14ac:dyDescent="0.3">
      <c r="A21" s="189" t="s">
        <v>109</v>
      </c>
      <c r="B21" s="104">
        <f>'Skjema total MA'!B29</f>
        <v>45814072.01641719</v>
      </c>
      <c r="C21" s="104">
        <f>'Skjema total MA'!C29</f>
        <v>45439786.669384629</v>
      </c>
      <c r="D21" s="229">
        <f t="shared" ref="D21:D27" si="4">IF(B21=0, "    ---- ", IF(ABS(ROUND(100/B21*C21-100,1))&lt;999,ROUND(100/B21*C21-100,1),IF(ROUND(100/B21*C21-100,1)&gt;999,999,-999)))</f>
        <v>-0.8</v>
      </c>
      <c r="E21" s="180"/>
      <c r="F21" s="192">
        <f>'Skjema total MA'!E29</f>
        <v>25414685.973739393</v>
      </c>
      <c r="G21" s="192">
        <f>'Skjema total MA'!F29</f>
        <v>25266915.540480003</v>
      </c>
      <c r="H21" s="229">
        <f t="shared" si="2"/>
        <v>-0.6</v>
      </c>
      <c r="I21" s="180"/>
      <c r="J21" s="192">
        <f t="shared" si="0"/>
        <v>71228757.990156591</v>
      </c>
      <c r="K21" s="192">
        <f t="shared" si="0"/>
        <v>70706702.209864631</v>
      </c>
      <c r="L21" s="227">
        <f t="shared" si="3"/>
        <v>-0.7</v>
      </c>
      <c r="M21" s="74"/>
    </row>
    <row r="22" spans="1:23" ht="18.75" x14ac:dyDescent="0.3">
      <c r="A22" s="189" t="s">
        <v>111</v>
      </c>
      <c r="B22" s="104">
        <f>'Skjema total MA'!B87</f>
        <v>398969561.00984657</v>
      </c>
      <c r="C22" s="104">
        <f>'Skjema total MA'!C87</f>
        <v>404551313.40177226</v>
      </c>
      <c r="D22" s="229">
        <f t="shared" si="4"/>
        <v>1.4</v>
      </c>
      <c r="E22" s="180"/>
      <c r="F22" s="192">
        <f>'Skjema total MA'!E87</f>
        <v>393569552.66609597</v>
      </c>
      <c r="G22" s="192">
        <f>'Skjema total MA'!F87</f>
        <v>443120347.16908503</v>
      </c>
      <c r="H22" s="229">
        <f t="shared" si="2"/>
        <v>12.6</v>
      </c>
      <c r="I22" s="180"/>
      <c r="J22" s="192">
        <f t="shared" si="0"/>
        <v>792539113.67594254</v>
      </c>
      <c r="K22" s="192">
        <f t="shared" si="0"/>
        <v>847671660.57085729</v>
      </c>
      <c r="L22" s="227">
        <f t="shared" si="3"/>
        <v>7</v>
      </c>
      <c r="M22" s="74"/>
    </row>
    <row r="23" spans="1:23" ht="22.5" x14ac:dyDescent="0.3">
      <c r="A23" s="189" t="s">
        <v>116</v>
      </c>
      <c r="B23" s="104">
        <f>'Skjema total MA'!B89</f>
        <v>3056173.5037099998</v>
      </c>
      <c r="C23" s="104">
        <f>'Skjema total MA'!C89</f>
        <v>3160052.8691211799</v>
      </c>
      <c r="D23" s="229">
        <f t="shared" si="4"/>
        <v>3.4</v>
      </c>
      <c r="E23" s="180"/>
      <c r="F23" s="192">
        <f>'Skjema total MA'!E89</f>
        <v>389978027.86210597</v>
      </c>
      <c r="G23" s="192">
        <f>'Skjema total MA'!F89</f>
        <v>438146052.72193503</v>
      </c>
      <c r="H23" s="229">
        <f t="shared" si="2"/>
        <v>12.4</v>
      </c>
      <c r="I23" s="180"/>
      <c r="J23" s="192">
        <f t="shared" si="0"/>
        <v>393034201.36581594</v>
      </c>
      <c r="K23" s="192">
        <f t="shared" si="0"/>
        <v>441306105.59105623</v>
      </c>
      <c r="L23" s="227">
        <f t="shared" si="3"/>
        <v>12.3</v>
      </c>
      <c r="M23" s="74"/>
    </row>
    <row r="24" spans="1:23" ht="18.75" x14ac:dyDescent="0.3">
      <c r="A24" s="190" t="s">
        <v>113</v>
      </c>
      <c r="B24" s="104">
        <f>'Skjema total MA'!B96</f>
        <v>2268547.0063399998</v>
      </c>
      <c r="C24" s="104">
        <f>'Skjema total MA'!C96</f>
        <v>3067354.5131700002</v>
      </c>
      <c r="D24" s="229">
        <f t="shared" si="4"/>
        <v>35.200000000000003</v>
      </c>
      <c r="E24" s="180"/>
      <c r="F24" s="192">
        <f>'Skjema total MA'!E96</f>
        <v>3591524.8039899999</v>
      </c>
      <c r="G24" s="192">
        <f>'Skjema total MA'!F96</f>
        <v>4974294.4471499994</v>
      </c>
      <c r="H24" s="229">
        <f t="shared" si="2"/>
        <v>38.5</v>
      </c>
      <c r="I24" s="180"/>
      <c r="J24" s="192">
        <f t="shared" si="0"/>
        <v>5860071.8103299998</v>
      </c>
      <c r="K24" s="192">
        <f t="shared" si="0"/>
        <v>8041648.9603199996</v>
      </c>
      <c r="L24" s="227">
        <f t="shared" si="3"/>
        <v>37.200000000000003</v>
      </c>
      <c r="M24" s="74"/>
    </row>
    <row r="25" spans="1:23" ht="22.5" x14ac:dyDescent="0.3">
      <c r="A25" s="189" t="s">
        <v>347</v>
      </c>
      <c r="B25" s="104">
        <f>'Skjema total MA'!B135</f>
        <v>627915331.98663998</v>
      </c>
      <c r="C25" s="104">
        <f>'Skjema total MA'!C135</f>
        <v>739551747.40679002</v>
      </c>
      <c r="D25" s="229">
        <f t="shared" si="4"/>
        <v>17.8</v>
      </c>
      <c r="E25" s="180"/>
      <c r="F25" s="192">
        <f>'Skjema total MA'!E135</f>
        <v>2073544.89796</v>
      </c>
      <c r="G25" s="192">
        <f>'Skjema total MA'!F135</f>
        <v>2847329.1389299999</v>
      </c>
      <c r="H25" s="229">
        <f t="shared" si="2"/>
        <v>37.299999999999997</v>
      </c>
      <c r="I25" s="180"/>
      <c r="J25" s="192">
        <f t="shared" si="0"/>
        <v>629988876.88459992</v>
      </c>
      <c r="K25" s="192">
        <f t="shared" si="0"/>
        <v>742399076.54571998</v>
      </c>
      <c r="L25" s="227">
        <f t="shared" si="3"/>
        <v>17.8</v>
      </c>
      <c r="M25" s="74"/>
    </row>
    <row r="26" spans="1:23" ht="18.75" x14ac:dyDescent="0.3">
      <c r="A26" s="189" t="s">
        <v>114</v>
      </c>
      <c r="B26" s="104">
        <f>'Skjema total MA'!B37</f>
        <v>3348615.6830000002</v>
      </c>
      <c r="C26" s="104">
        <f>'Skjema total MA'!C37</f>
        <v>3114349.8629999999</v>
      </c>
      <c r="D26" s="229">
        <f t="shared" si="4"/>
        <v>-7</v>
      </c>
      <c r="E26" s="180"/>
      <c r="F26" s="192">
        <f>'Skjema total MA'!E37</f>
        <v>0</v>
      </c>
      <c r="G26" s="192">
        <f>'Skjema total MA'!F37</f>
        <v>0</v>
      </c>
      <c r="H26" s="229" t="str">
        <f t="shared" si="2"/>
        <v xml:space="preserve">    ---- </v>
      </c>
      <c r="I26" s="180"/>
      <c r="J26" s="192">
        <f t="shared" si="0"/>
        <v>3348615.6830000002</v>
      </c>
      <c r="K26" s="192">
        <f t="shared" si="0"/>
        <v>3114349.8629999999</v>
      </c>
      <c r="L26" s="227">
        <f t="shared" si="3"/>
        <v>-7</v>
      </c>
      <c r="M26" s="74"/>
    </row>
    <row r="27" spans="1:23" s="135" customFormat="1" ht="18.75" x14ac:dyDescent="0.3">
      <c r="A27" s="137" t="s">
        <v>117</v>
      </c>
      <c r="B27" s="110">
        <f>'Tabel 1.1'!G34</f>
        <v>1093692924.8435318</v>
      </c>
      <c r="C27" s="194">
        <f>'Tabel 1.1'!H34</f>
        <v>1209063298.5826914</v>
      </c>
      <c r="D27" s="229">
        <f t="shared" si="4"/>
        <v>10.5</v>
      </c>
      <c r="E27" s="138"/>
      <c r="F27" s="194">
        <f>'Tabel 1.1'!G46</f>
        <v>486291955.925336</v>
      </c>
      <c r="G27" s="194">
        <f>'Tabel 1.1'!H46</f>
        <v>546163834.12526</v>
      </c>
      <c r="H27" s="229">
        <f t="shared" si="2"/>
        <v>12.3</v>
      </c>
      <c r="I27" s="138"/>
      <c r="J27" s="194">
        <f t="shared" si="0"/>
        <v>1579984880.768868</v>
      </c>
      <c r="K27" s="194">
        <f t="shared" si="0"/>
        <v>1755227132.7079515</v>
      </c>
      <c r="L27" s="227">
        <f t="shared" si="3"/>
        <v>11.1</v>
      </c>
      <c r="M27" s="75"/>
      <c r="N27" s="134"/>
      <c r="O27" s="134"/>
    </row>
    <row r="28" spans="1:23" ht="18.75" x14ac:dyDescent="0.3">
      <c r="A28" s="137"/>
      <c r="B28" s="104"/>
      <c r="C28" s="192"/>
      <c r="D28" s="229"/>
      <c r="E28" s="180"/>
      <c r="F28" s="192"/>
      <c r="G28" s="192"/>
      <c r="H28" s="229"/>
      <c r="I28" s="180"/>
      <c r="J28" s="192">
        <f t="shared" si="0"/>
        <v>0</v>
      </c>
      <c r="K28" s="192">
        <f t="shared" si="0"/>
        <v>0</v>
      </c>
      <c r="L28" s="227"/>
      <c r="M28" s="74"/>
    </row>
    <row r="29" spans="1:23" ht="22.5" x14ac:dyDescent="0.3">
      <c r="A29" s="188" t="s">
        <v>349</v>
      </c>
      <c r="B29" s="196"/>
      <c r="C29" s="199"/>
      <c r="D29" s="192"/>
      <c r="E29" s="180"/>
      <c r="F29" s="192"/>
      <c r="G29" s="192"/>
      <c r="H29" s="229"/>
      <c r="I29" s="180"/>
      <c r="J29" s="192"/>
      <c r="K29" s="192"/>
      <c r="L29" s="227"/>
      <c r="M29" s="74"/>
    </row>
    <row r="30" spans="1:23" ht="18.75" x14ac:dyDescent="0.3">
      <c r="A30" s="189" t="s">
        <v>108</v>
      </c>
      <c r="B30" s="104">
        <f>'Skjema total MA'!B11</f>
        <v>8831</v>
      </c>
      <c r="C30" s="104">
        <f>'Skjema total MA'!C11</f>
        <v>16931.237000000001</v>
      </c>
      <c r="D30" s="229">
        <f>IF(B30=0, "    ---- ", IF(ABS(ROUND(100/B30*C30-100,1))&lt;999,ROUND(100/B30*C30-100,1),IF(ROUND(100/B30*C30-100,1)&gt;999,999,-999)))</f>
        <v>91.7</v>
      </c>
      <c r="E30" s="180"/>
      <c r="F30" s="192">
        <f>'Skjema total MA'!E11</f>
        <v>107247.28422</v>
      </c>
      <c r="G30" s="192">
        <f>'Skjema total MA'!F11</f>
        <v>299622.72640000004</v>
      </c>
      <c r="H30" s="229">
        <f t="shared" si="2"/>
        <v>179.4</v>
      </c>
      <c r="I30" s="180"/>
      <c r="J30" s="192">
        <f t="shared" si="0"/>
        <v>116078.28422</v>
      </c>
      <c r="K30" s="192">
        <f t="shared" si="0"/>
        <v>316553.96340000007</v>
      </c>
      <c r="L30" s="227">
        <f t="shared" si="3"/>
        <v>172.7</v>
      </c>
      <c r="M30" s="74"/>
    </row>
    <row r="31" spans="1:23" ht="18.75" x14ac:dyDescent="0.3">
      <c r="A31" s="189" t="s">
        <v>109</v>
      </c>
      <c r="B31" s="104">
        <f>'Skjema total MA'!B34</f>
        <v>4439.8509999999997</v>
      </c>
      <c r="C31" s="104">
        <f>'Skjema total MA'!C34</f>
        <v>6142.8929200000002</v>
      </c>
      <c r="D31" s="229">
        <f t="shared" ref="D31:D38" si="5">IF(B31=0, "    ---- ", IF(ABS(ROUND(100/B31*C31-100,1))&lt;999,ROUND(100/B31*C31-100,1),IF(ROUND(100/B31*C31-100,1)&gt;999,999,-999)))</f>
        <v>38.4</v>
      </c>
      <c r="E31" s="180"/>
      <c r="F31" s="192">
        <f>'Skjema total MA'!E34</f>
        <v>-25799.089139999996</v>
      </c>
      <c r="G31" s="192">
        <f>'Skjema total MA'!F34</f>
        <v>23490.501960000001</v>
      </c>
      <c r="H31" s="229">
        <f t="shared" si="2"/>
        <v>-191.1</v>
      </c>
      <c r="I31" s="180"/>
      <c r="J31" s="192">
        <f t="shared" si="0"/>
        <v>-21359.238139999998</v>
      </c>
      <c r="K31" s="192">
        <f t="shared" si="0"/>
        <v>29633.39488</v>
      </c>
      <c r="L31" s="227">
        <f t="shared" si="3"/>
        <v>-238.7</v>
      </c>
      <c r="M31" s="74"/>
    </row>
    <row r="32" spans="1:23" ht="18.75" x14ac:dyDescent="0.3">
      <c r="A32" s="189" t="s">
        <v>111</v>
      </c>
      <c r="B32" s="104">
        <f>'Skjema total MA'!B111</f>
        <v>668835.44837</v>
      </c>
      <c r="C32" s="104">
        <f>'Skjema total MA'!C111</f>
        <v>344392.06988999998</v>
      </c>
      <c r="D32" s="229">
        <f t="shared" si="5"/>
        <v>-48.5</v>
      </c>
      <c r="E32" s="180"/>
      <c r="F32" s="192">
        <f>'Skjema total MA'!E111</f>
        <v>9636495.6418600008</v>
      </c>
      <c r="G32" s="192">
        <f>'Skjema total MA'!F111</f>
        <v>11307961.27698</v>
      </c>
      <c r="H32" s="229">
        <f t="shared" si="2"/>
        <v>17.3</v>
      </c>
      <c r="I32" s="180"/>
      <c r="J32" s="192">
        <f t="shared" si="0"/>
        <v>10305331.090230001</v>
      </c>
      <c r="K32" s="192">
        <f t="shared" si="0"/>
        <v>11652353.34687</v>
      </c>
      <c r="L32" s="227">
        <f t="shared" si="3"/>
        <v>13.1</v>
      </c>
      <c r="M32" s="74"/>
    </row>
    <row r="33" spans="1:15" ht="22.5" x14ac:dyDescent="0.3">
      <c r="A33" s="189" t="s">
        <v>347</v>
      </c>
      <c r="B33" s="104">
        <f>'Skjema total MA'!B136</f>
        <v>7005645.1660000002</v>
      </c>
      <c r="C33" s="104">
        <f>'Skjema total MA'!C136</f>
        <v>3131923.139</v>
      </c>
      <c r="D33" s="229">
        <f t="shared" si="5"/>
        <v>-55.3</v>
      </c>
      <c r="E33" s="180"/>
      <c r="F33" s="192">
        <f>'Skjema total MA'!E136</f>
        <v>0</v>
      </c>
      <c r="G33" s="192">
        <f>'Skjema total MA'!F136</f>
        <v>376440.52899999998</v>
      </c>
      <c r="H33" s="229" t="str">
        <f t="shared" si="2"/>
        <v xml:space="preserve">    ---- </v>
      </c>
      <c r="I33" s="180"/>
      <c r="J33" s="192">
        <f t="shared" si="0"/>
        <v>7005645.1660000002</v>
      </c>
      <c r="K33" s="192">
        <f t="shared" si="0"/>
        <v>3508363.6680000001</v>
      </c>
      <c r="L33" s="227">
        <f t="shared" si="3"/>
        <v>-49.9</v>
      </c>
      <c r="M33" s="74"/>
    </row>
    <row r="34" spans="1:15" ht="18.75" x14ac:dyDescent="0.3">
      <c r="A34" s="189" t="s">
        <v>114</v>
      </c>
      <c r="B34" s="104">
        <f>'Skjema total MA'!B38</f>
        <v>0</v>
      </c>
      <c r="C34" s="104">
        <f>'Skjema total MA'!C38</f>
        <v>0</v>
      </c>
      <c r="D34" s="229" t="str">
        <f t="shared" si="5"/>
        <v xml:space="preserve">    ---- </v>
      </c>
      <c r="E34" s="180"/>
      <c r="F34" s="192">
        <f>'Skjema total MA'!E38</f>
        <v>0</v>
      </c>
      <c r="G34" s="192">
        <f>'Skjema total MA'!F38</f>
        <v>0</v>
      </c>
      <c r="H34" s="229" t="str">
        <f t="shared" si="2"/>
        <v xml:space="preserve">    ---- </v>
      </c>
      <c r="I34" s="180"/>
      <c r="J34" s="192">
        <f t="shared" si="0"/>
        <v>0</v>
      </c>
      <c r="K34" s="192">
        <f t="shared" si="0"/>
        <v>0</v>
      </c>
      <c r="L34" s="227" t="str">
        <f t="shared" si="3"/>
        <v xml:space="preserve">    ---- </v>
      </c>
      <c r="M34" s="74"/>
    </row>
    <row r="35" spans="1:15" s="135" customFormat="1" ht="18.75" x14ac:dyDescent="0.3">
      <c r="A35" s="137" t="s">
        <v>118</v>
      </c>
      <c r="B35" s="110">
        <f>SUM(B30:B34)</f>
        <v>7687751.4653700003</v>
      </c>
      <c r="C35" s="194">
        <f>SUM(C30:C34)</f>
        <v>3499389.3388100001</v>
      </c>
      <c r="D35" s="229">
        <f t="shared" si="5"/>
        <v>-54.5</v>
      </c>
      <c r="E35" s="138"/>
      <c r="F35" s="194">
        <f>SUM(F30:F34)</f>
        <v>9717943.8369400017</v>
      </c>
      <c r="G35" s="194">
        <f>SUM(G30:G34)</f>
        <v>12007515.034339998</v>
      </c>
      <c r="H35" s="229">
        <f t="shared" si="2"/>
        <v>23.6</v>
      </c>
      <c r="I35" s="138"/>
      <c r="J35" s="194">
        <f t="shared" si="0"/>
        <v>17405695.302310001</v>
      </c>
      <c r="K35" s="194">
        <f t="shared" si="0"/>
        <v>15506904.373149998</v>
      </c>
      <c r="L35" s="227">
        <f t="shared" si="3"/>
        <v>-10.9</v>
      </c>
      <c r="M35" s="75"/>
    </row>
    <row r="36" spans="1:15" ht="18.75" x14ac:dyDescent="0.3">
      <c r="A36" s="137"/>
      <c r="B36" s="110"/>
      <c r="C36" s="194"/>
      <c r="D36" s="229"/>
      <c r="E36" s="138"/>
      <c r="F36" s="194"/>
      <c r="G36" s="194"/>
      <c r="H36" s="229" t="str">
        <f t="shared" si="2"/>
        <v xml:space="preserve">    ---- </v>
      </c>
      <c r="I36" s="138"/>
      <c r="J36" s="192"/>
      <c r="K36" s="192"/>
      <c r="L36" s="227" t="str">
        <f t="shared" si="3"/>
        <v xml:space="preserve">    ---- </v>
      </c>
      <c r="M36" s="74"/>
    </row>
    <row r="37" spans="1:15" ht="22.5" x14ac:dyDescent="0.3">
      <c r="A37" s="137" t="s">
        <v>350</v>
      </c>
      <c r="B37" s="110"/>
      <c r="C37" s="194"/>
      <c r="D37" s="192"/>
      <c r="E37" s="138"/>
      <c r="F37" s="194"/>
      <c r="G37" s="194"/>
      <c r="H37" s="229"/>
      <c r="I37" s="138"/>
      <c r="J37" s="192"/>
      <c r="K37" s="192"/>
      <c r="L37" s="227"/>
      <c r="M37" s="74"/>
    </row>
    <row r="38" spans="1:15" s="135" customFormat="1" ht="18.75" x14ac:dyDescent="0.3">
      <c r="A38" s="137" t="s">
        <v>110</v>
      </c>
      <c r="B38" s="110">
        <f>'Skjema total MA'!B53</f>
        <v>219648.68387602182</v>
      </c>
      <c r="C38" s="110">
        <f>'Skjema total MA'!C53</f>
        <v>106971.553</v>
      </c>
      <c r="D38" s="229">
        <f t="shared" si="5"/>
        <v>-51.3</v>
      </c>
      <c r="E38" s="138"/>
      <c r="F38" s="194"/>
      <c r="G38" s="194"/>
      <c r="H38" s="229" t="str">
        <f t="shared" si="2"/>
        <v xml:space="preserve">    ---- </v>
      </c>
      <c r="I38" s="138"/>
      <c r="J38" s="194">
        <f t="shared" si="0"/>
        <v>219648.68387602182</v>
      </c>
      <c r="K38" s="194">
        <f t="shared" si="0"/>
        <v>106971.553</v>
      </c>
      <c r="L38" s="227">
        <f t="shared" si="3"/>
        <v>-51.3</v>
      </c>
      <c r="M38" s="75"/>
    </row>
    <row r="39" spans="1:15" ht="18.75" x14ac:dyDescent="0.3">
      <c r="A39" s="137"/>
      <c r="B39" s="110"/>
      <c r="C39" s="194"/>
      <c r="D39" s="192"/>
      <c r="E39" s="138"/>
      <c r="F39" s="194"/>
      <c r="G39" s="194"/>
      <c r="H39" s="229"/>
      <c r="I39" s="138"/>
      <c r="J39" s="192"/>
      <c r="K39" s="192"/>
      <c r="L39" s="227"/>
      <c r="M39" s="74"/>
    </row>
    <row r="40" spans="1:15" ht="22.5" x14ac:dyDescent="0.3">
      <c r="A40" s="188" t="s">
        <v>351</v>
      </c>
      <c r="B40" s="196"/>
      <c r="C40" s="199"/>
      <c r="D40" s="192"/>
      <c r="E40" s="180"/>
      <c r="F40" s="192"/>
      <c r="G40" s="192"/>
      <c r="H40" s="229"/>
      <c r="I40" s="180"/>
      <c r="J40" s="192"/>
      <c r="K40" s="192"/>
      <c r="L40" s="227"/>
      <c r="M40" s="74"/>
    </row>
    <row r="41" spans="1:15" ht="18.75" x14ac:dyDescent="0.3">
      <c r="A41" s="189" t="s">
        <v>108</v>
      </c>
      <c r="B41" s="104">
        <f>'Skjema total MA'!B12</f>
        <v>3501</v>
      </c>
      <c r="C41" s="104">
        <f>'Skjema total MA'!C12</f>
        <v>1556.90915</v>
      </c>
      <c r="D41" s="229">
        <f>IF(B41=0, "    ---- ", IF(ABS(ROUND(100/B41*C41-100,1))&lt;999,ROUND(100/B41*C41-100,1),IF(ROUND(100/B41*C41-100,1)&gt;999,999,-999)))</f>
        <v>-55.5</v>
      </c>
      <c r="E41" s="180"/>
      <c r="F41" s="192">
        <f>'Skjema total MA'!E12</f>
        <v>48180.42136</v>
      </c>
      <c r="G41" s="192">
        <f>'Skjema total MA'!F12</f>
        <v>53972.81237</v>
      </c>
      <c r="H41" s="229">
        <f t="shared" si="2"/>
        <v>12</v>
      </c>
      <c r="I41" s="180"/>
      <c r="J41" s="192">
        <f t="shared" si="0"/>
        <v>51681.42136</v>
      </c>
      <c r="K41" s="192">
        <f t="shared" si="0"/>
        <v>55529.721519999999</v>
      </c>
      <c r="L41" s="227">
        <f t="shared" si="3"/>
        <v>7.4</v>
      </c>
      <c r="M41" s="74"/>
    </row>
    <row r="42" spans="1:15" ht="18.75" x14ac:dyDescent="0.3">
      <c r="A42" s="189" t="s">
        <v>109</v>
      </c>
      <c r="B42" s="104">
        <f>'Skjema total MA'!B35</f>
        <v>-51637.385999999999</v>
      </c>
      <c r="C42" s="104">
        <f>'Skjema total MA'!C35</f>
        <v>-444.16361000000001</v>
      </c>
      <c r="D42" s="229">
        <f t="shared" ref="D42:D46" si="6">IF(B42=0, "    ---- ", IF(ABS(ROUND(100/B42*C42-100,1))&lt;999,ROUND(100/B42*C42-100,1),IF(ROUND(100/B42*C42-100,1)&gt;999,999,-999)))</f>
        <v>-99.1</v>
      </c>
      <c r="E42" s="180"/>
      <c r="F42" s="192">
        <f>'Skjema total MA'!E35</f>
        <v>60364.423900000009</v>
      </c>
      <c r="G42" s="192">
        <f>'Skjema total MA'!F35</f>
        <v>25074.088000000003</v>
      </c>
      <c r="H42" s="229">
        <f t="shared" si="2"/>
        <v>-58.5</v>
      </c>
      <c r="I42" s="180"/>
      <c r="J42" s="192">
        <f t="shared" si="0"/>
        <v>8727.0379000000103</v>
      </c>
      <c r="K42" s="192">
        <f t="shared" si="0"/>
        <v>24629.924390000004</v>
      </c>
      <c r="L42" s="227">
        <f t="shared" si="3"/>
        <v>182.2</v>
      </c>
      <c r="M42" s="74"/>
    </row>
    <row r="43" spans="1:15" ht="18.75" x14ac:dyDescent="0.3">
      <c r="A43" s="189" t="s">
        <v>111</v>
      </c>
      <c r="B43" s="104">
        <f>'Skjema total MA'!B119</f>
        <v>130891.23568</v>
      </c>
      <c r="C43" s="104">
        <f>'Skjema total MA'!C119</f>
        <v>355518.63146000012</v>
      </c>
      <c r="D43" s="229">
        <f t="shared" si="6"/>
        <v>171.6</v>
      </c>
      <c r="E43" s="180"/>
      <c r="F43" s="192">
        <f>'Skjema total MA'!E119</f>
        <v>12094950.20933</v>
      </c>
      <c r="G43" s="192">
        <f>'Skjema total MA'!F119</f>
        <v>12122042.954369999</v>
      </c>
      <c r="H43" s="229">
        <f t="shared" si="2"/>
        <v>0.2</v>
      </c>
      <c r="I43" s="180"/>
      <c r="J43" s="192">
        <f t="shared" si="0"/>
        <v>12225841.445010001</v>
      </c>
      <c r="K43" s="192">
        <f t="shared" si="0"/>
        <v>12477561.585829999</v>
      </c>
      <c r="L43" s="227">
        <f t="shared" si="3"/>
        <v>2.1</v>
      </c>
      <c r="M43" s="74"/>
    </row>
    <row r="44" spans="1:15" ht="22.5" x14ac:dyDescent="0.3">
      <c r="A44" s="189" t="s">
        <v>347</v>
      </c>
      <c r="B44" s="104">
        <f>'Skjema total MA'!B137</f>
        <v>8418803.5179999992</v>
      </c>
      <c r="C44" s="104">
        <f>'Skjema total MA'!C137</f>
        <v>4875400.2249999996</v>
      </c>
      <c r="D44" s="229">
        <f t="shared" si="6"/>
        <v>-42.1</v>
      </c>
      <c r="E44" s="180"/>
      <c r="F44" s="192">
        <f>'Skjema total MA'!E137</f>
        <v>0</v>
      </c>
      <c r="G44" s="192">
        <f>'Skjema total MA'!F137</f>
        <v>0</v>
      </c>
      <c r="H44" s="229" t="str">
        <f t="shared" si="2"/>
        <v xml:space="preserve">    ---- </v>
      </c>
      <c r="I44" s="180"/>
      <c r="J44" s="192">
        <f t="shared" si="0"/>
        <v>8418803.5179999992</v>
      </c>
      <c r="K44" s="192">
        <f t="shared" si="0"/>
        <v>4875400.2249999996</v>
      </c>
      <c r="L44" s="227">
        <f t="shared" si="3"/>
        <v>-42.1</v>
      </c>
      <c r="M44" s="74"/>
    </row>
    <row r="45" spans="1:15" ht="18.75" x14ac:dyDescent="0.3">
      <c r="A45" s="189" t="s">
        <v>114</v>
      </c>
      <c r="B45" s="104">
        <f>'Skjema total MA'!B39</f>
        <v>2</v>
      </c>
      <c r="C45" s="104">
        <f>'Skjema total MA'!C39</f>
        <v>2</v>
      </c>
      <c r="D45" s="229">
        <f t="shared" si="6"/>
        <v>0</v>
      </c>
      <c r="E45" s="180"/>
      <c r="F45" s="192"/>
      <c r="G45" s="192"/>
      <c r="H45" s="229" t="str">
        <f t="shared" si="2"/>
        <v xml:space="preserve">    ---- </v>
      </c>
      <c r="I45" s="180"/>
      <c r="J45" s="192">
        <f t="shared" si="0"/>
        <v>2</v>
      </c>
      <c r="K45" s="192">
        <f t="shared" si="0"/>
        <v>2</v>
      </c>
      <c r="L45" s="227">
        <f t="shared" si="3"/>
        <v>0</v>
      </c>
      <c r="M45" s="74"/>
    </row>
    <row r="46" spans="1:15" s="135" customFormat="1" ht="18.75" x14ac:dyDescent="0.3">
      <c r="A46" s="137" t="s">
        <v>119</v>
      </c>
      <c r="B46" s="110">
        <f>SUM(B41:B45)</f>
        <v>8501560.3676800001</v>
      </c>
      <c r="C46" s="194">
        <f>SUM(C41:C45)</f>
        <v>5232033.602</v>
      </c>
      <c r="D46" s="229">
        <f t="shared" si="6"/>
        <v>-38.5</v>
      </c>
      <c r="E46" s="138"/>
      <c r="F46" s="194">
        <f>SUM(F41:F45)</f>
        <v>12203495.05459</v>
      </c>
      <c r="G46" s="268">
        <f>SUM(G41:G45)</f>
        <v>12201089.854739999</v>
      </c>
      <c r="H46" s="229">
        <f t="shared" si="2"/>
        <v>0</v>
      </c>
      <c r="I46" s="138"/>
      <c r="J46" s="194">
        <f t="shared" si="0"/>
        <v>20705055.42227</v>
      </c>
      <c r="K46" s="194">
        <f t="shared" si="0"/>
        <v>17433123.456739999</v>
      </c>
      <c r="L46" s="227">
        <f t="shared" si="3"/>
        <v>-15.8</v>
      </c>
      <c r="M46" s="75"/>
      <c r="N46" s="134"/>
      <c r="O46" s="134"/>
    </row>
    <row r="47" spans="1:15" ht="18.75" x14ac:dyDescent="0.3">
      <c r="A47" s="137"/>
      <c r="B47" s="110"/>
      <c r="C47" s="194"/>
      <c r="D47" s="192"/>
      <c r="E47" s="138"/>
      <c r="F47" s="194"/>
      <c r="G47" s="194"/>
      <c r="H47" s="229"/>
      <c r="I47" s="138"/>
      <c r="J47" s="192"/>
      <c r="K47" s="192"/>
      <c r="L47" s="227"/>
      <c r="M47" s="74"/>
    </row>
    <row r="48" spans="1:15" ht="22.5" x14ac:dyDescent="0.3">
      <c r="A48" s="137" t="s">
        <v>352</v>
      </c>
      <c r="B48" s="110"/>
      <c r="C48" s="194"/>
      <c r="D48" s="192"/>
      <c r="E48" s="138"/>
      <c r="F48" s="194"/>
      <c r="G48" s="194"/>
      <c r="H48" s="229"/>
      <c r="I48" s="138"/>
      <c r="J48" s="192"/>
      <c r="K48" s="192"/>
      <c r="L48" s="227"/>
      <c r="M48" s="74"/>
    </row>
    <row r="49" spans="1:15" s="135" customFormat="1" ht="18.75" x14ac:dyDescent="0.3">
      <c r="A49" s="137" t="s">
        <v>110</v>
      </c>
      <c r="B49" s="110">
        <f>'Skjema total MA'!B56</f>
        <v>47182.688999999998</v>
      </c>
      <c r="C49" s="110">
        <f>'Skjema total MA'!C56</f>
        <v>59141.354999999996</v>
      </c>
      <c r="D49" s="229">
        <f t="shared" ref="D49" si="7">IF(B49=0, "    ---- ", IF(ABS(ROUND(100/B49*C49-100,1))&lt;999,ROUND(100/B49*C49-100,1),IF(ROUND(100/B49*C49-100,1)&gt;999,999,-999)))</f>
        <v>25.3</v>
      </c>
      <c r="E49" s="138"/>
      <c r="F49" s="194"/>
      <c r="G49" s="194"/>
      <c r="H49" s="229" t="str">
        <f t="shared" si="2"/>
        <v xml:space="preserve">    ---- </v>
      </c>
      <c r="I49" s="138"/>
      <c r="J49" s="194">
        <f>SUM(B49+F49)</f>
        <v>47182.688999999998</v>
      </c>
      <c r="K49" s="194">
        <f>SUM(C49+G49)</f>
        <v>59141.354999999996</v>
      </c>
      <c r="L49" s="227">
        <f t="shared" si="3"/>
        <v>25.3</v>
      </c>
      <c r="M49" s="75"/>
    </row>
    <row r="50" spans="1:15" ht="18.75" x14ac:dyDescent="0.3">
      <c r="A50" s="137"/>
      <c r="B50" s="104"/>
      <c r="C50" s="192"/>
      <c r="D50" s="192"/>
      <c r="E50" s="180"/>
      <c r="F50" s="192"/>
      <c r="G50" s="192"/>
      <c r="H50" s="229"/>
      <c r="I50" s="180"/>
      <c r="J50" s="192"/>
      <c r="K50" s="192"/>
      <c r="L50" s="227"/>
      <c r="M50" s="74"/>
    </row>
    <row r="51" spans="1:15" ht="21.75" x14ac:dyDescent="0.3">
      <c r="A51" s="188" t="s">
        <v>353</v>
      </c>
      <c r="B51" s="104"/>
      <c r="C51" s="192"/>
      <c r="D51" s="192"/>
      <c r="E51" s="180"/>
      <c r="F51" s="192"/>
      <c r="G51" s="192"/>
      <c r="H51" s="229" t="str">
        <f t="shared" si="2"/>
        <v xml:space="preserve">    ---- </v>
      </c>
      <c r="I51" s="180"/>
      <c r="J51" s="192"/>
      <c r="K51" s="192"/>
      <c r="L51" s="227" t="str">
        <f t="shared" si="3"/>
        <v xml:space="preserve">    ---- </v>
      </c>
      <c r="M51" s="74"/>
    </row>
    <row r="52" spans="1:15" ht="18.75" x14ac:dyDescent="0.3">
      <c r="A52" s="189" t="s">
        <v>108</v>
      </c>
      <c r="B52" s="104">
        <f>B30-B41</f>
        <v>5330</v>
      </c>
      <c r="C52" s="192">
        <f>C30-C41</f>
        <v>15374.327850000001</v>
      </c>
      <c r="D52" s="229">
        <f>IF(B52=0, "    ---- ", IF(ABS(ROUND(100/B52*C52-100,1))&lt;999,ROUND(100/B52*C52-100,1),IF(ROUND(100/B52*C52-100,1)&gt;999,999,-999)))</f>
        <v>188.4</v>
      </c>
      <c r="E52" s="180"/>
      <c r="F52" s="192">
        <f>F30-F41</f>
        <v>59066.862860000001</v>
      </c>
      <c r="G52" s="192">
        <f>G30-G41</f>
        <v>245649.91403000004</v>
      </c>
      <c r="H52" s="229">
        <f t="shared" si="2"/>
        <v>315.89999999999998</v>
      </c>
      <c r="I52" s="180"/>
      <c r="J52" s="192">
        <f t="shared" si="0"/>
        <v>64396.862860000001</v>
      </c>
      <c r="K52" s="192">
        <f t="shared" si="0"/>
        <v>261024.24188000005</v>
      </c>
      <c r="L52" s="227">
        <f t="shared" si="3"/>
        <v>305.3</v>
      </c>
      <c r="M52" s="74"/>
    </row>
    <row r="53" spans="1:15" ht="18.75" x14ac:dyDescent="0.3">
      <c r="A53" s="189" t="s">
        <v>109</v>
      </c>
      <c r="B53" s="104">
        <f t="shared" ref="B53:C56" si="8">B31-B42</f>
        <v>56077.237000000001</v>
      </c>
      <c r="C53" s="192">
        <f t="shared" si="8"/>
        <v>6587.0565299999998</v>
      </c>
      <c r="D53" s="229">
        <f t="shared" ref="D53:D60" si="9">IF(B53=0, "    ---- ", IF(ABS(ROUND(100/B53*C53-100,1))&lt;999,ROUND(100/B53*C53-100,1),IF(ROUND(100/B53*C53-100,1)&gt;999,999,-999)))</f>
        <v>-88.3</v>
      </c>
      <c r="E53" s="180"/>
      <c r="F53" s="192">
        <f t="shared" ref="F53:G56" si="10">F31-F42</f>
        <v>-86163.513040000005</v>
      </c>
      <c r="G53" s="192">
        <f t="shared" si="10"/>
        <v>-1583.586040000002</v>
      </c>
      <c r="H53" s="229">
        <f t="shared" si="2"/>
        <v>-98.2</v>
      </c>
      <c r="I53" s="180"/>
      <c r="J53" s="192">
        <f t="shared" si="0"/>
        <v>-30086.276040000004</v>
      </c>
      <c r="K53" s="192">
        <f t="shared" si="0"/>
        <v>5003.4704899999979</v>
      </c>
      <c r="L53" s="227">
        <f t="shared" si="3"/>
        <v>-116.6</v>
      </c>
      <c r="M53" s="74"/>
    </row>
    <row r="54" spans="1:15" ht="18.75" x14ac:dyDescent="0.3">
      <c r="A54" s="189" t="s">
        <v>111</v>
      </c>
      <c r="B54" s="104">
        <f t="shared" si="8"/>
        <v>537944.21268999996</v>
      </c>
      <c r="C54" s="192">
        <f t="shared" si="8"/>
        <v>-11126.561570000136</v>
      </c>
      <c r="D54" s="229">
        <f t="shared" si="9"/>
        <v>-102.1</v>
      </c>
      <c r="E54" s="180"/>
      <c r="F54" s="192">
        <f t="shared" si="10"/>
        <v>-2458454.5674699992</v>
      </c>
      <c r="G54" s="192">
        <f t="shared" si="10"/>
        <v>-814081.67738999985</v>
      </c>
      <c r="H54" s="229">
        <f t="shared" si="2"/>
        <v>-66.900000000000006</v>
      </c>
      <c r="I54" s="180"/>
      <c r="J54" s="192">
        <f t="shared" si="0"/>
        <v>-1920510.3547799992</v>
      </c>
      <c r="K54" s="192">
        <f t="shared" si="0"/>
        <v>-825208.23895999999</v>
      </c>
      <c r="L54" s="227">
        <f t="shared" si="3"/>
        <v>-57</v>
      </c>
      <c r="M54" s="74"/>
    </row>
    <row r="55" spans="1:15" ht="22.5" x14ac:dyDescent="0.3">
      <c r="A55" s="189" t="s">
        <v>347</v>
      </c>
      <c r="B55" s="104">
        <f t="shared" si="8"/>
        <v>-1413158.351999999</v>
      </c>
      <c r="C55" s="192">
        <f t="shared" si="8"/>
        <v>-1743477.0859999997</v>
      </c>
      <c r="D55" s="229">
        <f t="shared" si="9"/>
        <v>23.4</v>
      </c>
      <c r="E55" s="180"/>
      <c r="F55" s="192">
        <f t="shared" si="10"/>
        <v>0</v>
      </c>
      <c r="G55" s="192">
        <f t="shared" si="10"/>
        <v>376440.52899999998</v>
      </c>
      <c r="H55" s="229" t="str">
        <f t="shared" si="2"/>
        <v xml:space="preserve">    ---- </v>
      </c>
      <c r="I55" s="180"/>
      <c r="J55" s="192">
        <f t="shared" si="0"/>
        <v>-1413158.351999999</v>
      </c>
      <c r="K55" s="192">
        <f t="shared" si="0"/>
        <v>-1367036.5569999996</v>
      </c>
      <c r="L55" s="227">
        <f t="shared" si="3"/>
        <v>-3.3</v>
      </c>
      <c r="M55" s="74"/>
    </row>
    <row r="56" spans="1:15" ht="18.75" x14ac:dyDescent="0.3">
      <c r="A56" s="189" t="s">
        <v>114</v>
      </c>
      <c r="B56" s="104">
        <f t="shared" si="8"/>
        <v>-2</v>
      </c>
      <c r="C56" s="192">
        <f t="shared" si="8"/>
        <v>-2</v>
      </c>
      <c r="D56" s="229">
        <f t="shared" si="9"/>
        <v>0</v>
      </c>
      <c r="E56" s="180"/>
      <c r="F56" s="192">
        <f t="shared" si="10"/>
        <v>0</v>
      </c>
      <c r="G56" s="192">
        <f t="shared" si="10"/>
        <v>0</v>
      </c>
      <c r="H56" s="229" t="str">
        <f t="shared" si="2"/>
        <v xml:space="preserve">    ---- </v>
      </c>
      <c r="I56" s="180"/>
      <c r="J56" s="192">
        <f t="shared" si="0"/>
        <v>-2</v>
      </c>
      <c r="K56" s="192">
        <f t="shared" si="0"/>
        <v>-2</v>
      </c>
      <c r="L56" s="227">
        <f t="shared" si="3"/>
        <v>0</v>
      </c>
      <c r="M56" s="74"/>
    </row>
    <row r="57" spans="1:15" s="135" customFormat="1" ht="18.75" x14ac:dyDescent="0.3">
      <c r="A57" s="137" t="s">
        <v>120</v>
      </c>
      <c r="B57" s="110">
        <f>SUM(B52:B56)</f>
        <v>-813808.9023099991</v>
      </c>
      <c r="C57" s="194">
        <f>SUM(C52:C56)</f>
        <v>-1732644.2631899999</v>
      </c>
      <c r="D57" s="229">
        <f>IF(B57=0, "    ---- ", IF(ABS(ROUND(100/B57*C57-100,1))&lt;999,ROUND(100/B57*C57-100,1),IF(ROUND(100/B57*C57-100,1)&gt;999,999,-999)))</f>
        <v>112.9</v>
      </c>
      <c r="E57" s="138"/>
      <c r="F57" s="194">
        <f>SUM(F52:F56)</f>
        <v>-2485551.2176499991</v>
      </c>
      <c r="G57" s="268">
        <f>SUM(G52:G56)</f>
        <v>-193574.82039999985</v>
      </c>
      <c r="H57" s="229">
        <f t="shared" si="2"/>
        <v>-92.2</v>
      </c>
      <c r="I57" s="138"/>
      <c r="J57" s="194">
        <f t="shared" si="0"/>
        <v>-3299360.1199599979</v>
      </c>
      <c r="K57" s="192">
        <f t="shared" si="0"/>
        <v>-1926219.0835899997</v>
      </c>
      <c r="L57" s="227">
        <f t="shared" si="3"/>
        <v>-41.6</v>
      </c>
      <c r="M57" s="75"/>
      <c r="N57" s="134"/>
      <c r="O57" s="134"/>
    </row>
    <row r="58" spans="1:15" ht="18.75" x14ac:dyDescent="0.3">
      <c r="A58" s="137"/>
      <c r="B58" s="110"/>
      <c r="C58" s="194"/>
      <c r="D58" s="229"/>
      <c r="E58" s="138"/>
      <c r="F58" s="194"/>
      <c r="G58" s="194"/>
      <c r="H58" s="229"/>
      <c r="I58" s="138"/>
      <c r="J58" s="194"/>
      <c r="K58" s="192"/>
      <c r="L58" s="227"/>
      <c r="M58" s="74"/>
    </row>
    <row r="59" spans="1:15" ht="22.5" x14ac:dyDescent="0.3">
      <c r="A59" s="137" t="s">
        <v>354</v>
      </c>
      <c r="B59" s="110"/>
      <c r="C59" s="194"/>
      <c r="D59" s="229"/>
      <c r="E59" s="138"/>
      <c r="F59" s="194"/>
      <c r="G59" s="194"/>
      <c r="H59" s="229"/>
      <c r="I59" s="138"/>
      <c r="J59" s="194"/>
      <c r="K59" s="192"/>
      <c r="L59" s="227"/>
      <c r="M59" s="74"/>
    </row>
    <row r="60" spans="1:15" s="135" customFormat="1" ht="18.75" x14ac:dyDescent="0.3">
      <c r="A60" s="137" t="s">
        <v>110</v>
      </c>
      <c r="B60" s="110">
        <f>B38-B49</f>
        <v>172465.99487602181</v>
      </c>
      <c r="C60" s="194">
        <f>C38-C49</f>
        <v>47830.198000000004</v>
      </c>
      <c r="D60" s="229">
        <f t="shared" si="9"/>
        <v>-72.3</v>
      </c>
      <c r="E60" s="138"/>
      <c r="F60" s="194">
        <f>F38-F49</f>
        <v>0</v>
      </c>
      <c r="G60" s="194">
        <f>G38-G49</f>
        <v>0</v>
      </c>
      <c r="H60" s="229"/>
      <c r="I60" s="138"/>
      <c r="J60" s="194">
        <f t="shared" si="0"/>
        <v>172465.99487602181</v>
      </c>
      <c r="K60" s="192">
        <f t="shared" si="0"/>
        <v>47830.198000000004</v>
      </c>
      <c r="L60" s="227">
        <f t="shared" si="3"/>
        <v>-72.3</v>
      </c>
      <c r="M60" s="75"/>
    </row>
    <row r="61" spans="1:15" s="135" customFormat="1" ht="18.75" x14ac:dyDescent="0.3">
      <c r="A61" s="191"/>
      <c r="B61" s="115"/>
      <c r="C61" s="195"/>
      <c r="D61" s="200"/>
      <c r="E61" s="138"/>
      <c r="F61" s="195"/>
      <c r="G61" s="195"/>
      <c r="H61" s="200"/>
      <c r="I61" s="138"/>
      <c r="J61" s="200"/>
      <c r="K61" s="200"/>
      <c r="L61" s="200"/>
      <c r="M61" s="75"/>
    </row>
    <row r="62" spans="1:15" ht="18.75" x14ac:dyDescent="0.3">
      <c r="A62" s="112" t="s">
        <v>121</v>
      </c>
      <c r="C62" s="139"/>
      <c r="D62" s="139"/>
      <c r="E62" s="139"/>
      <c r="F62" s="139"/>
      <c r="G62" s="112"/>
      <c r="H62" s="74"/>
      <c r="I62" s="112"/>
      <c r="J62" s="112"/>
      <c r="K62" s="112"/>
      <c r="L62" s="74"/>
      <c r="M62" s="74"/>
    </row>
    <row r="63" spans="1:15" ht="18.75" x14ac:dyDescent="0.3">
      <c r="A63" s="112" t="s">
        <v>122</v>
      </c>
      <c r="C63" s="139"/>
      <c r="D63" s="139"/>
      <c r="E63" s="139"/>
      <c r="F63" s="139"/>
      <c r="G63" s="74"/>
      <c r="H63" s="74"/>
      <c r="I63" s="74"/>
      <c r="J63" s="74"/>
      <c r="K63" s="74"/>
      <c r="L63" s="74"/>
      <c r="M63" s="74"/>
    </row>
    <row r="64" spans="1:15" ht="18.75" x14ac:dyDescent="0.3">
      <c r="A64" s="112" t="s">
        <v>101</v>
      </c>
      <c r="B64" s="74"/>
      <c r="C64" s="74"/>
      <c r="D64" s="74"/>
      <c r="E64" s="74"/>
      <c r="F64" s="74"/>
      <c r="G64" s="74"/>
      <c r="H64" s="74"/>
      <c r="I64" s="74"/>
      <c r="J64" s="74"/>
      <c r="K64" s="74"/>
      <c r="L64" s="74"/>
      <c r="M64" s="74"/>
    </row>
    <row r="65" spans="1:13" ht="18.75" x14ac:dyDescent="0.3">
      <c r="A65" s="74"/>
      <c r="C65" s="74"/>
      <c r="D65" s="74"/>
      <c r="E65" s="74"/>
      <c r="F65" s="74"/>
      <c r="G65" s="74"/>
      <c r="H65" s="74"/>
      <c r="I65" s="74"/>
      <c r="J65" s="74"/>
      <c r="K65" s="74"/>
      <c r="L65" s="74"/>
      <c r="M65" s="74"/>
    </row>
    <row r="66" spans="1:13" ht="18.75" x14ac:dyDescent="0.3">
      <c r="A66" s="74"/>
      <c r="B66" s="74"/>
      <c r="C66" s="74"/>
      <c r="D66" s="74"/>
      <c r="E66" s="74"/>
      <c r="F66" s="74"/>
      <c r="G66" s="74"/>
      <c r="H66" s="74"/>
      <c r="I66" s="74"/>
      <c r="J66" s="74"/>
      <c r="K66" s="74"/>
      <c r="L66" s="74"/>
      <c r="M66" s="74"/>
    </row>
    <row r="67" spans="1:13" ht="18.75" x14ac:dyDescent="0.3">
      <c r="A67" s="74"/>
      <c r="B67" s="74"/>
      <c r="C67" s="74"/>
      <c r="D67" s="74"/>
      <c r="E67" s="74"/>
      <c r="F67" s="74"/>
      <c r="G67" s="74"/>
      <c r="H67" s="74"/>
      <c r="I67" s="74"/>
      <c r="J67" s="74"/>
      <c r="K67" s="74"/>
      <c r="L67" s="74"/>
      <c r="M67" s="74"/>
    </row>
    <row r="68" spans="1:13" ht="18.75" x14ac:dyDescent="0.3">
      <c r="A68" s="74"/>
      <c r="B68" s="74"/>
      <c r="C68" s="74"/>
      <c r="D68" s="74"/>
      <c r="E68" s="74"/>
      <c r="F68" s="74"/>
      <c r="G68" s="74"/>
      <c r="H68" s="74"/>
      <c r="I68" s="74"/>
      <c r="J68" s="74"/>
      <c r="K68" s="74"/>
      <c r="L68" s="74"/>
      <c r="M68" s="74"/>
    </row>
    <row r="69" spans="1:13" ht="18.75" x14ac:dyDescent="0.3">
      <c r="A69" s="74"/>
      <c r="B69" s="74"/>
      <c r="C69" s="74"/>
      <c r="D69" s="74"/>
      <c r="E69" s="74"/>
      <c r="F69" s="74"/>
      <c r="G69" s="74"/>
      <c r="H69" s="74"/>
      <c r="I69" s="74"/>
      <c r="J69" s="74"/>
      <c r="K69" s="74"/>
      <c r="L69" s="74"/>
      <c r="M69" s="74"/>
    </row>
    <row r="70" spans="1:13" ht="18.75" x14ac:dyDescent="0.3">
      <c r="A70" s="74"/>
      <c r="B70" s="74"/>
      <c r="C70" s="74"/>
      <c r="D70" s="74"/>
      <c r="E70" s="74"/>
      <c r="F70" s="74"/>
      <c r="G70" s="74"/>
      <c r="H70" s="74"/>
      <c r="I70" s="74"/>
      <c r="J70" s="74"/>
      <c r="K70" s="74"/>
      <c r="L70" s="74"/>
      <c r="M70" s="74"/>
    </row>
    <row r="71" spans="1:13" ht="18.75" x14ac:dyDescent="0.3">
      <c r="A71" s="74"/>
      <c r="B71" s="74"/>
      <c r="C71" s="74"/>
      <c r="D71" s="74"/>
      <c r="E71" s="74"/>
      <c r="F71" s="74"/>
      <c r="G71" s="74"/>
      <c r="H71" s="74"/>
      <c r="I71" s="74"/>
      <c r="J71" s="74"/>
      <c r="K71" s="74"/>
      <c r="L71" s="74"/>
      <c r="M71" s="74"/>
    </row>
    <row r="72" spans="1:13" ht="18.75" x14ac:dyDescent="0.3">
      <c r="A72" s="74"/>
      <c r="B72" s="74"/>
      <c r="C72" s="74"/>
      <c r="D72" s="74"/>
      <c r="E72" s="74"/>
      <c r="F72" s="74"/>
      <c r="G72" s="74"/>
      <c r="H72" s="74"/>
      <c r="I72" s="74"/>
      <c r="J72" s="74"/>
      <c r="K72" s="74"/>
      <c r="L72" s="74"/>
      <c r="M72" s="74"/>
    </row>
    <row r="73" spans="1:13" ht="18.75" x14ac:dyDescent="0.3">
      <c r="A73" s="74"/>
      <c r="B73" s="74"/>
      <c r="C73" s="74"/>
      <c r="D73" s="74"/>
      <c r="E73" s="74"/>
      <c r="F73" s="74"/>
      <c r="G73" s="74"/>
      <c r="H73" s="74"/>
      <c r="I73" s="74"/>
      <c r="J73" s="74"/>
      <c r="K73" s="74"/>
      <c r="L73" s="74"/>
      <c r="M73" s="74"/>
    </row>
    <row r="74" spans="1:13" ht="18.75" x14ac:dyDescent="0.3">
      <c r="A74" s="74"/>
      <c r="B74" s="74"/>
      <c r="C74" s="74"/>
      <c r="D74" s="74"/>
      <c r="E74" s="74"/>
      <c r="F74" s="74"/>
      <c r="G74" s="74"/>
      <c r="H74" s="74"/>
      <c r="I74" s="74"/>
      <c r="J74" s="74"/>
      <c r="K74" s="74"/>
      <c r="L74" s="74"/>
      <c r="M74" s="74"/>
    </row>
    <row r="75" spans="1:13" ht="18.75" x14ac:dyDescent="0.3">
      <c r="A75" s="74"/>
      <c r="B75" s="74"/>
      <c r="C75" s="74"/>
      <c r="D75" s="74"/>
      <c r="E75" s="74"/>
      <c r="F75" s="74"/>
      <c r="G75" s="74"/>
      <c r="H75" s="74"/>
      <c r="I75" s="74"/>
      <c r="J75" s="74"/>
      <c r="K75" s="74"/>
      <c r="L75" s="74"/>
      <c r="M75" s="74"/>
    </row>
    <row r="76" spans="1:13" ht="18.75" x14ac:dyDescent="0.3">
      <c r="A76" s="74"/>
      <c r="B76" s="74"/>
      <c r="C76" s="74"/>
      <c r="D76" s="74"/>
      <c r="E76" s="74"/>
      <c r="F76" s="74"/>
      <c r="G76" s="74"/>
      <c r="H76" s="74"/>
      <c r="I76" s="74"/>
      <c r="J76" s="74"/>
      <c r="K76" s="74"/>
      <c r="L76" s="74"/>
      <c r="M76" s="74"/>
    </row>
    <row r="77" spans="1:13" ht="18.75" x14ac:dyDescent="0.3">
      <c r="A77" s="74"/>
      <c r="B77" s="74"/>
      <c r="C77" s="74"/>
      <c r="D77" s="74"/>
      <c r="E77" s="74"/>
      <c r="F77" s="74"/>
      <c r="G77" s="74"/>
      <c r="H77" s="74"/>
      <c r="I77" s="74"/>
      <c r="J77" s="74"/>
      <c r="K77" s="74"/>
      <c r="L77" s="74"/>
      <c r="M77" s="74"/>
    </row>
    <row r="78" spans="1:13" ht="18.75" x14ac:dyDescent="0.3">
      <c r="A78" s="74"/>
      <c r="B78" s="74"/>
      <c r="C78" s="74"/>
      <c r="D78" s="74"/>
      <c r="E78" s="74"/>
      <c r="F78" s="74"/>
      <c r="G78" s="74"/>
      <c r="H78" s="74"/>
      <c r="I78" s="74"/>
      <c r="J78" s="74"/>
      <c r="K78" s="74"/>
      <c r="L78" s="74"/>
      <c r="M78" s="74"/>
    </row>
    <row r="79" spans="1:13" ht="18.75" x14ac:dyDescent="0.3">
      <c r="A79" s="74"/>
      <c r="B79" s="74"/>
      <c r="C79" s="74"/>
      <c r="D79" s="74"/>
      <c r="E79" s="74"/>
      <c r="F79" s="74"/>
      <c r="G79" s="74"/>
      <c r="H79" s="74"/>
      <c r="I79" s="74"/>
      <c r="J79" s="74"/>
      <c r="K79" s="74"/>
      <c r="L79" s="74"/>
      <c r="M79" s="74"/>
    </row>
    <row r="80" spans="1:13" ht="18.75" x14ac:dyDescent="0.3">
      <c r="A80" s="74"/>
      <c r="B80" s="74"/>
      <c r="C80" s="74"/>
      <c r="D80" s="74"/>
      <c r="E80" s="74"/>
      <c r="F80" s="74"/>
      <c r="G80" s="74"/>
      <c r="H80" s="74"/>
      <c r="I80" s="74"/>
      <c r="J80" s="74"/>
      <c r="K80" s="74"/>
      <c r="L80" s="74"/>
      <c r="M80" s="74"/>
    </row>
    <row r="81" spans="1:13" ht="18.75" x14ac:dyDescent="0.3">
      <c r="A81" s="74"/>
      <c r="B81" s="74"/>
      <c r="C81" s="74"/>
      <c r="D81" s="74"/>
      <c r="E81" s="74"/>
      <c r="F81" s="74"/>
      <c r="G81" s="74"/>
      <c r="H81" s="74"/>
      <c r="I81" s="74"/>
      <c r="J81" s="74"/>
      <c r="K81" s="74"/>
      <c r="L81" s="74"/>
      <c r="M81" s="74"/>
    </row>
    <row r="82" spans="1:13" ht="18.75" x14ac:dyDescent="0.3">
      <c r="A82" s="74"/>
      <c r="B82" s="74"/>
      <c r="C82" s="74"/>
      <c r="D82" s="74"/>
      <c r="E82" s="74"/>
      <c r="F82" s="74"/>
      <c r="G82" s="74"/>
      <c r="H82" s="74"/>
      <c r="I82" s="74"/>
      <c r="J82" s="74"/>
      <c r="K82" s="74"/>
      <c r="L82" s="74"/>
      <c r="M82" s="74"/>
    </row>
    <row r="83" spans="1:13" ht="18.75" x14ac:dyDescent="0.3">
      <c r="A83" s="74"/>
      <c r="B83" s="74"/>
      <c r="C83" s="74"/>
      <c r="D83" s="74"/>
      <c r="E83" s="74"/>
      <c r="F83" s="74"/>
      <c r="G83" s="74"/>
      <c r="H83" s="74"/>
      <c r="I83" s="74"/>
      <c r="J83" s="74"/>
      <c r="K83" s="74"/>
      <c r="L83" s="74"/>
      <c r="M83" s="74"/>
    </row>
    <row r="84" spans="1:13" ht="18.75" x14ac:dyDescent="0.3">
      <c r="A84" s="74"/>
      <c r="B84" s="74"/>
      <c r="C84" s="74"/>
      <c r="D84" s="74"/>
      <c r="E84" s="74"/>
      <c r="F84" s="74"/>
      <c r="G84" s="74"/>
      <c r="H84" s="74"/>
      <c r="I84" s="74"/>
      <c r="J84" s="74"/>
      <c r="K84" s="74"/>
      <c r="L84" s="74"/>
      <c r="M84" s="74"/>
    </row>
    <row r="85" spans="1:13" ht="18.75" x14ac:dyDescent="0.3">
      <c r="A85" s="74"/>
      <c r="B85" s="74"/>
      <c r="C85" s="74"/>
      <c r="D85" s="74"/>
      <c r="E85" s="74"/>
      <c r="F85" s="74"/>
      <c r="G85" s="74"/>
      <c r="H85" s="74"/>
      <c r="I85" s="74"/>
      <c r="J85" s="74"/>
      <c r="K85" s="74"/>
      <c r="L85" s="74"/>
      <c r="M85" s="74"/>
    </row>
    <row r="86" spans="1:13" ht="18.75" x14ac:dyDescent="0.3">
      <c r="A86" s="74"/>
      <c r="B86" s="74"/>
      <c r="C86" s="74"/>
      <c r="D86" s="74"/>
      <c r="E86" s="74"/>
      <c r="F86" s="74"/>
      <c r="G86" s="74"/>
      <c r="H86" s="74"/>
      <c r="I86" s="74"/>
      <c r="J86" s="74"/>
      <c r="K86" s="74"/>
      <c r="L86" s="74"/>
      <c r="M86" s="74"/>
    </row>
    <row r="87" spans="1:13" ht="18.75" x14ac:dyDescent="0.3">
      <c r="A87" s="74"/>
      <c r="B87" s="74"/>
      <c r="C87" s="74"/>
      <c r="D87" s="74"/>
      <c r="E87" s="74"/>
      <c r="F87" s="74"/>
      <c r="G87" s="74"/>
      <c r="H87" s="74"/>
      <c r="I87" s="74"/>
      <c r="J87" s="74"/>
      <c r="K87" s="74"/>
      <c r="L87" s="74"/>
      <c r="M87" s="74"/>
    </row>
    <row r="88" spans="1:13" ht="18.75" x14ac:dyDescent="0.3">
      <c r="A88" s="74"/>
      <c r="B88" s="74"/>
      <c r="C88" s="74"/>
      <c r="D88" s="74"/>
      <c r="E88" s="74"/>
      <c r="F88" s="74"/>
      <c r="G88" s="74"/>
      <c r="H88" s="74"/>
      <c r="I88" s="74"/>
      <c r="J88" s="74"/>
      <c r="K88" s="74"/>
      <c r="L88" s="74"/>
      <c r="M88" s="74"/>
    </row>
    <row r="89" spans="1:13" ht="18.75" x14ac:dyDescent="0.3">
      <c r="A89" s="74"/>
      <c r="B89" s="74"/>
      <c r="C89" s="74"/>
      <c r="D89" s="74"/>
      <c r="E89" s="74"/>
      <c r="F89" s="74"/>
      <c r="G89" s="74"/>
      <c r="H89" s="74"/>
      <c r="I89" s="74"/>
      <c r="J89" s="74"/>
      <c r="K89" s="74"/>
      <c r="L89" s="74"/>
      <c r="M89" s="74"/>
    </row>
    <row r="90" spans="1:13" ht="18.75" x14ac:dyDescent="0.3">
      <c r="A90" s="74"/>
      <c r="B90" s="74"/>
      <c r="C90" s="74"/>
      <c r="D90" s="74"/>
      <c r="E90" s="74"/>
      <c r="F90" s="74"/>
      <c r="G90" s="74"/>
      <c r="H90" s="74"/>
      <c r="I90" s="74"/>
      <c r="J90" s="74"/>
      <c r="K90" s="74"/>
      <c r="L90" s="74"/>
      <c r="M90" s="74"/>
    </row>
    <row r="91" spans="1:13" ht="18.75" x14ac:dyDescent="0.3">
      <c r="A91" s="74"/>
      <c r="B91" s="74"/>
      <c r="C91" s="74"/>
      <c r="D91" s="74"/>
      <c r="E91" s="74"/>
      <c r="F91" s="74"/>
      <c r="G91" s="74"/>
      <c r="H91" s="74"/>
      <c r="I91" s="74"/>
      <c r="J91" s="74"/>
      <c r="K91" s="74"/>
      <c r="L91" s="74"/>
      <c r="M91" s="74"/>
    </row>
    <row r="92" spans="1:13" ht="18.75" x14ac:dyDescent="0.3">
      <c r="A92" s="74"/>
      <c r="B92" s="74"/>
      <c r="C92" s="74"/>
      <c r="D92" s="74"/>
      <c r="E92" s="74"/>
      <c r="F92" s="74"/>
      <c r="G92" s="74"/>
      <c r="H92" s="74"/>
      <c r="I92" s="74"/>
      <c r="J92" s="74"/>
      <c r="K92" s="74"/>
      <c r="L92" s="74"/>
      <c r="M92" s="74"/>
    </row>
    <row r="93" spans="1:13" ht="18.75" x14ac:dyDescent="0.3">
      <c r="A93" s="74"/>
      <c r="B93" s="74"/>
      <c r="C93" s="74"/>
      <c r="D93" s="74"/>
      <c r="E93" s="74"/>
      <c r="F93" s="74"/>
      <c r="G93" s="74"/>
      <c r="H93" s="74"/>
      <c r="I93" s="74"/>
      <c r="J93" s="74"/>
      <c r="K93" s="74"/>
      <c r="L93" s="74"/>
      <c r="M93" s="74"/>
    </row>
    <row r="94" spans="1:13" ht="18.75" x14ac:dyDescent="0.3">
      <c r="A94" s="74"/>
      <c r="B94" s="74"/>
      <c r="C94" s="74"/>
      <c r="D94" s="74"/>
      <c r="E94" s="74"/>
      <c r="F94" s="74"/>
      <c r="G94" s="74"/>
      <c r="H94" s="74"/>
      <c r="I94" s="74"/>
      <c r="J94" s="74"/>
      <c r="K94" s="74"/>
      <c r="L94" s="74"/>
      <c r="M94" s="74"/>
    </row>
    <row r="95" spans="1:13" ht="18.75" x14ac:dyDescent="0.3">
      <c r="A95" s="74"/>
      <c r="B95" s="74"/>
      <c r="C95" s="74"/>
      <c r="D95" s="74"/>
      <c r="E95" s="74"/>
      <c r="F95" s="74"/>
      <c r="G95" s="74"/>
      <c r="H95" s="74"/>
      <c r="I95" s="74"/>
      <c r="J95" s="74"/>
      <c r="K95" s="74"/>
      <c r="L95" s="74"/>
      <c r="M95" s="74"/>
    </row>
    <row r="96" spans="1:13" ht="18.75" x14ac:dyDescent="0.3">
      <c r="A96" s="74"/>
      <c r="B96" s="74"/>
      <c r="C96" s="74"/>
      <c r="D96" s="74"/>
      <c r="E96" s="74"/>
      <c r="F96" s="74"/>
      <c r="G96" s="74"/>
      <c r="H96" s="74"/>
      <c r="I96" s="74"/>
      <c r="J96" s="74"/>
      <c r="K96" s="74"/>
      <c r="L96" s="74"/>
      <c r="M96" s="74"/>
    </row>
    <row r="97" spans="1:13" ht="18.75" x14ac:dyDescent="0.3">
      <c r="A97" s="74"/>
      <c r="B97" s="74"/>
      <c r="C97" s="74"/>
      <c r="D97" s="74"/>
      <c r="E97" s="74"/>
      <c r="F97" s="74"/>
      <c r="G97" s="74"/>
      <c r="H97" s="74"/>
      <c r="I97" s="74"/>
      <c r="J97" s="74"/>
      <c r="K97" s="74"/>
      <c r="L97" s="74"/>
      <c r="M97" s="74"/>
    </row>
    <row r="98" spans="1:13" ht="18.75" x14ac:dyDescent="0.3">
      <c r="A98" s="74"/>
      <c r="B98" s="74"/>
      <c r="C98" s="74"/>
      <c r="D98" s="74"/>
      <c r="E98" s="74"/>
      <c r="F98" s="74"/>
      <c r="G98" s="74"/>
      <c r="H98" s="74"/>
      <c r="I98" s="74"/>
      <c r="J98" s="74"/>
      <c r="K98" s="74"/>
      <c r="L98" s="74"/>
      <c r="M98" s="74"/>
    </row>
    <row r="99" spans="1:13" ht="18.75" x14ac:dyDescent="0.3">
      <c r="A99" s="74"/>
      <c r="B99" s="74"/>
      <c r="C99" s="74"/>
      <c r="D99" s="74"/>
      <c r="E99" s="74"/>
      <c r="F99" s="74"/>
      <c r="G99" s="74"/>
      <c r="H99" s="74"/>
      <c r="I99" s="74"/>
      <c r="J99" s="74"/>
      <c r="K99" s="74"/>
      <c r="L99" s="74"/>
      <c r="M99" s="74"/>
    </row>
    <row r="100" spans="1:13" ht="18.75" x14ac:dyDescent="0.3">
      <c r="A100" s="74"/>
      <c r="B100" s="74"/>
      <c r="C100" s="74"/>
      <c r="D100" s="74"/>
      <c r="E100" s="74"/>
      <c r="F100" s="74"/>
      <c r="G100" s="74"/>
      <c r="H100" s="74"/>
      <c r="I100" s="74"/>
      <c r="J100" s="74"/>
      <c r="K100" s="74"/>
      <c r="L100" s="74"/>
      <c r="M100" s="74"/>
    </row>
    <row r="101" spans="1:13" ht="18.75" x14ac:dyDescent="0.3">
      <c r="A101" s="74"/>
      <c r="B101" s="74"/>
      <c r="C101" s="74"/>
      <c r="D101" s="74"/>
      <c r="E101" s="74"/>
      <c r="F101" s="74"/>
      <c r="G101" s="74"/>
      <c r="H101" s="74"/>
      <c r="I101" s="74"/>
      <c r="J101" s="74"/>
      <c r="K101" s="74"/>
      <c r="L101" s="74"/>
      <c r="M101" s="74"/>
    </row>
    <row r="102" spans="1:13" ht="18.75" x14ac:dyDescent="0.3">
      <c r="A102" s="74"/>
      <c r="B102" s="74"/>
      <c r="C102" s="74"/>
      <c r="D102" s="74"/>
      <c r="E102" s="74"/>
      <c r="F102" s="74"/>
      <c r="G102" s="74"/>
      <c r="H102" s="74"/>
      <c r="I102" s="74"/>
      <c r="J102" s="74"/>
      <c r="K102" s="74"/>
      <c r="L102" s="74"/>
      <c r="M102" s="74"/>
    </row>
    <row r="103" spans="1:13" ht="18.75" x14ac:dyDescent="0.3">
      <c r="A103" s="74"/>
      <c r="B103" s="74"/>
      <c r="C103" s="74"/>
      <c r="D103" s="74"/>
      <c r="E103" s="74"/>
      <c r="F103" s="74"/>
      <c r="G103" s="74"/>
      <c r="H103" s="74"/>
      <c r="I103" s="74"/>
      <c r="J103" s="74"/>
      <c r="K103" s="74"/>
      <c r="L103" s="74"/>
      <c r="M103" s="74"/>
    </row>
    <row r="104" spans="1:13" ht="18.75" x14ac:dyDescent="0.3">
      <c r="A104" s="74"/>
      <c r="B104" s="74"/>
      <c r="C104" s="74"/>
      <c r="D104" s="74"/>
      <c r="E104" s="74"/>
      <c r="F104" s="74"/>
      <c r="G104" s="74"/>
      <c r="H104" s="74"/>
      <c r="I104" s="74"/>
      <c r="J104" s="74"/>
      <c r="K104" s="74"/>
      <c r="L104" s="74"/>
      <c r="M104" s="74"/>
    </row>
    <row r="105" spans="1:13" ht="18.75" x14ac:dyDescent="0.3">
      <c r="A105" s="74"/>
      <c r="B105" s="74"/>
      <c r="C105" s="74"/>
      <c r="D105" s="74"/>
      <c r="E105" s="74"/>
      <c r="F105" s="74"/>
      <c r="G105" s="74"/>
      <c r="H105" s="74"/>
      <c r="I105" s="74"/>
      <c r="J105" s="74"/>
      <c r="K105" s="74"/>
      <c r="L105" s="74"/>
      <c r="M105" s="74"/>
    </row>
    <row r="106" spans="1:13" ht="18.75" x14ac:dyDescent="0.3">
      <c r="A106" s="74"/>
      <c r="B106" s="74"/>
      <c r="C106" s="74"/>
      <c r="D106" s="74"/>
      <c r="E106" s="74"/>
      <c r="F106" s="74"/>
      <c r="G106" s="74"/>
      <c r="H106" s="74"/>
      <c r="I106" s="74"/>
      <c r="J106" s="74"/>
      <c r="K106" s="74"/>
      <c r="L106" s="74"/>
      <c r="M106" s="74"/>
    </row>
    <row r="107" spans="1:13" ht="18.75" x14ac:dyDescent="0.3">
      <c r="A107" s="74"/>
      <c r="B107" s="74"/>
      <c r="C107" s="74"/>
      <c r="D107" s="74"/>
      <c r="E107" s="74"/>
      <c r="F107" s="74"/>
      <c r="G107" s="74"/>
      <c r="H107" s="74"/>
      <c r="I107" s="74"/>
      <c r="J107" s="74"/>
      <c r="K107" s="74"/>
      <c r="L107" s="74"/>
      <c r="M107" s="74"/>
    </row>
    <row r="108" spans="1:13" ht="18.75" x14ac:dyDescent="0.3">
      <c r="A108" s="74"/>
      <c r="B108" s="74"/>
      <c r="C108" s="74"/>
      <c r="D108" s="74"/>
      <c r="E108" s="74"/>
      <c r="F108" s="74"/>
      <c r="G108" s="74"/>
      <c r="H108" s="74"/>
      <c r="I108" s="74"/>
      <c r="J108" s="74"/>
      <c r="K108" s="74"/>
      <c r="L108" s="74"/>
      <c r="M108" s="74"/>
    </row>
    <row r="109" spans="1:13" ht="18.75" x14ac:dyDescent="0.3">
      <c r="A109" s="74"/>
      <c r="B109" s="74"/>
      <c r="C109" s="74"/>
      <c r="D109" s="74"/>
      <c r="E109" s="74"/>
      <c r="F109" s="74"/>
      <c r="G109" s="74"/>
      <c r="H109" s="74"/>
      <c r="I109" s="74"/>
      <c r="J109" s="74"/>
      <c r="K109" s="74"/>
      <c r="L109" s="74"/>
      <c r="M109" s="74"/>
    </row>
    <row r="110" spans="1:13" ht="18.75" x14ac:dyDescent="0.3">
      <c r="A110" s="74"/>
      <c r="B110" s="74"/>
      <c r="C110" s="74"/>
      <c r="D110" s="74"/>
      <c r="E110" s="74"/>
      <c r="F110" s="74"/>
      <c r="G110" s="74"/>
      <c r="H110" s="74"/>
      <c r="I110" s="74"/>
      <c r="J110" s="74"/>
      <c r="K110" s="74"/>
      <c r="L110" s="74"/>
      <c r="M110" s="74"/>
    </row>
    <row r="111" spans="1:13" ht="18.75" x14ac:dyDescent="0.3">
      <c r="A111" s="74"/>
      <c r="B111" s="74"/>
      <c r="C111" s="74"/>
      <c r="D111" s="74"/>
      <c r="E111" s="74"/>
      <c r="F111" s="74"/>
      <c r="G111" s="74"/>
      <c r="H111" s="74"/>
      <c r="I111" s="74"/>
      <c r="J111" s="74"/>
      <c r="K111" s="74"/>
      <c r="L111" s="74"/>
      <c r="M111" s="74"/>
    </row>
    <row r="112" spans="1:13" ht="18.75" x14ac:dyDescent="0.3">
      <c r="A112" s="74"/>
      <c r="B112" s="74"/>
      <c r="C112" s="74"/>
      <c r="D112" s="74"/>
      <c r="E112" s="74"/>
      <c r="F112" s="74"/>
      <c r="G112" s="74"/>
      <c r="H112" s="74"/>
      <c r="I112" s="74"/>
      <c r="J112" s="74"/>
      <c r="K112" s="74"/>
      <c r="L112" s="74"/>
      <c r="M112" s="74"/>
    </row>
    <row r="113" spans="1:13" ht="18.75" x14ac:dyDescent="0.3">
      <c r="A113" s="74"/>
      <c r="B113" s="74"/>
      <c r="C113" s="74"/>
      <c r="D113" s="74"/>
      <c r="E113" s="74"/>
      <c r="F113" s="74"/>
      <c r="G113" s="74"/>
      <c r="H113" s="74"/>
      <c r="I113" s="74"/>
      <c r="J113" s="74"/>
      <c r="K113" s="74"/>
      <c r="L113" s="74"/>
      <c r="M113" s="74"/>
    </row>
    <row r="114" spans="1:13" ht="18.75" x14ac:dyDescent="0.3">
      <c r="A114" s="74"/>
      <c r="B114" s="74"/>
      <c r="C114" s="74"/>
      <c r="D114" s="74"/>
      <c r="E114" s="74"/>
      <c r="F114" s="74"/>
      <c r="G114" s="74"/>
      <c r="H114" s="74"/>
      <c r="I114" s="74"/>
      <c r="J114" s="74"/>
      <c r="K114" s="74"/>
      <c r="L114" s="74"/>
      <c r="M114" s="74"/>
    </row>
    <row r="115" spans="1:13" ht="18.75" x14ac:dyDescent="0.3">
      <c r="A115" s="74"/>
      <c r="B115" s="74"/>
      <c r="C115" s="74"/>
      <c r="D115" s="74"/>
      <c r="E115" s="74"/>
      <c r="F115" s="74"/>
      <c r="G115" s="74"/>
      <c r="H115" s="74"/>
      <c r="I115" s="74"/>
      <c r="J115" s="74"/>
      <c r="K115" s="74"/>
      <c r="L115" s="74"/>
      <c r="M115" s="74"/>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J92"/>
  <sheetViews>
    <sheetView showGridLines="0" zoomScale="80" zoomScaleNormal="80" workbookViewId="0">
      <pane xSplit="1" ySplit="7" topLeftCell="B8" activePane="bottomRight" state="frozen"/>
      <selection pane="topRight" activeCell="B1" sqref="B1"/>
      <selection pane="bottomLeft" activeCell="A8" sqref="A8"/>
      <selection pane="bottomRight" activeCell="A5" sqref="A5"/>
    </sheetView>
  </sheetViews>
  <sheetFormatPr baseColWidth="10" defaultColWidth="11.42578125" defaultRowHeight="18" x14ac:dyDescent="0.25"/>
  <cols>
    <col min="1" max="1" width="35.7109375" style="81" customWidth="1"/>
    <col min="2" max="2" width="18.28515625" style="81" customWidth="1"/>
    <col min="3" max="3" width="17.7109375" style="81" customWidth="1"/>
    <col min="4" max="4" width="11.7109375" style="81" customWidth="1"/>
    <col min="5" max="5" width="4.7109375" style="81" customWidth="1"/>
    <col min="6" max="7" width="13" style="81" customWidth="1"/>
    <col min="8" max="8" width="11.7109375" style="81" customWidth="1"/>
    <col min="9" max="9" width="12.42578125" style="81" customWidth="1"/>
    <col min="10" max="10" width="11.42578125" style="81"/>
    <col min="11" max="12" width="17.28515625" style="81" bestFit="1" customWidth="1"/>
    <col min="13" max="16384" width="11.42578125" style="81"/>
  </cols>
  <sheetData>
    <row r="1" spans="1:10" ht="18.75" customHeight="1" x14ac:dyDescent="0.3">
      <c r="A1" s="80" t="s">
        <v>76</v>
      </c>
      <c r="B1" s="73" t="s">
        <v>52</v>
      </c>
      <c r="C1" s="80"/>
      <c r="D1" s="80"/>
      <c r="E1" s="80"/>
      <c r="F1" s="74"/>
      <c r="G1" s="74"/>
      <c r="H1" s="74"/>
      <c r="I1" s="74"/>
      <c r="J1" s="74"/>
    </row>
    <row r="2" spans="1:10" ht="20.100000000000001" customHeight="1" x14ac:dyDescent="0.3">
      <c r="A2" s="80" t="s">
        <v>153</v>
      </c>
      <c r="B2" s="80"/>
      <c r="C2" s="80"/>
      <c r="D2" s="80"/>
      <c r="E2" s="80"/>
      <c r="F2" s="74"/>
      <c r="G2" s="74"/>
      <c r="H2" s="74"/>
      <c r="I2" s="74"/>
      <c r="J2" s="74"/>
    </row>
    <row r="3" spans="1:10" ht="20.100000000000001" customHeight="1" x14ac:dyDescent="0.3">
      <c r="A3" s="75"/>
      <c r="B3" s="75"/>
      <c r="C3" s="75"/>
      <c r="D3" s="75"/>
      <c r="E3" s="252"/>
      <c r="F3" s="74"/>
      <c r="G3" s="74"/>
      <c r="H3" s="74"/>
      <c r="I3" s="74"/>
      <c r="J3" s="74"/>
    </row>
    <row r="4" spans="1:10" ht="20.100000000000001" customHeight="1" x14ac:dyDescent="0.3">
      <c r="A4" s="253"/>
      <c r="B4" s="710" t="s">
        <v>154</v>
      </c>
      <c r="C4" s="710"/>
      <c r="D4" s="711"/>
      <c r="E4" s="89"/>
      <c r="F4" s="712" t="s">
        <v>154</v>
      </c>
      <c r="G4" s="710"/>
      <c r="H4" s="711"/>
      <c r="I4" s="74"/>
      <c r="J4" s="74"/>
    </row>
    <row r="5" spans="1:10" ht="18.75" customHeight="1" x14ac:dyDescent="0.3">
      <c r="A5" s="254" t="s">
        <v>425</v>
      </c>
      <c r="B5" s="713" t="s">
        <v>155</v>
      </c>
      <c r="C5" s="714"/>
      <c r="D5" s="715"/>
      <c r="E5" s="255"/>
      <c r="F5" s="716" t="s">
        <v>156</v>
      </c>
      <c r="G5" s="717"/>
      <c r="H5" s="718"/>
      <c r="I5" s="112"/>
      <c r="J5" s="74"/>
    </row>
    <row r="6" spans="1:10" ht="18.75" customHeight="1" x14ac:dyDescent="0.3">
      <c r="A6" s="122"/>
      <c r="B6" s="120"/>
      <c r="C6" s="188"/>
      <c r="D6" s="256" t="s">
        <v>80</v>
      </c>
      <c r="E6" s="256"/>
      <c r="F6" s="123"/>
      <c r="G6" s="124"/>
      <c r="H6" s="94" t="s">
        <v>80</v>
      </c>
      <c r="I6" s="100"/>
      <c r="J6" s="74"/>
    </row>
    <row r="7" spans="1:10" ht="18.75" customHeight="1" x14ac:dyDescent="0.3">
      <c r="A7" s="126"/>
      <c r="B7" s="97">
        <v>2021</v>
      </c>
      <c r="C7" s="97">
        <v>2022</v>
      </c>
      <c r="D7" s="257" t="s">
        <v>82</v>
      </c>
      <c r="E7" s="256"/>
      <c r="F7" s="97">
        <v>2021</v>
      </c>
      <c r="G7" s="127">
        <v>2022</v>
      </c>
      <c r="H7" s="258" t="s">
        <v>82</v>
      </c>
      <c r="I7" s="100"/>
      <c r="J7" s="74"/>
    </row>
    <row r="8" spans="1:10" ht="18.75" customHeight="1" x14ac:dyDescent="0.3">
      <c r="A8" s="101" t="s">
        <v>157</v>
      </c>
      <c r="B8" s="109">
        <f>SUM(B9:B14)</f>
        <v>160225.32424636997</v>
      </c>
      <c r="C8" s="109">
        <f>SUM(C9:C14)</f>
        <v>163921.31661564999</v>
      </c>
      <c r="D8" s="259">
        <f t="shared" ref="D8:D38" si="0">IF(B8=0, "    ---- ", IF(ABS(ROUND(100/B8*C8-100,1))&lt;999,ROUND(100/B8*C8-100,1),IF(ROUND(100/B8*C8-100,1)&gt;999,999,-999)))</f>
        <v>2.2999999999999998</v>
      </c>
      <c r="E8" s="260"/>
      <c r="F8" s="259">
        <f>SUM(F9:F14)</f>
        <v>100</v>
      </c>
      <c r="G8" s="259">
        <f>SUM(G9:G14)</f>
        <v>99.999999999999986</v>
      </c>
      <c r="H8" s="260">
        <f t="shared" ref="H8:H38" si="1">IF(F8=0, "    ---- ", IF(ABS(ROUND(100/F8*G8-100,1))&lt;999,ROUND(100/F8*G8-100,1),IF(ROUND(100/F8*G8-100,1)&gt;999,999,-999)))</f>
        <v>0</v>
      </c>
      <c r="I8" s="104"/>
      <c r="J8" s="74"/>
    </row>
    <row r="9" spans="1:10" ht="18.75" customHeight="1" x14ac:dyDescent="0.3">
      <c r="A9" s="86" t="s">
        <v>158</v>
      </c>
      <c r="B9" s="106">
        <f>'Tabell 6'!AO21</f>
        <v>2795.1769442500004</v>
      </c>
      <c r="C9" s="106">
        <f>'Tabell 6'!AP21</f>
        <v>4101.3062706700002</v>
      </c>
      <c r="D9" s="261">
        <f t="shared" si="0"/>
        <v>46.7</v>
      </c>
      <c r="E9" s="261"/>
      <c r="F9" s="261">
        <f>'Tabell 6'!AO21/'Tabell 6'!AO29*100</f>
        <v>1.7445288111584689</v>
      </c>
      <c r="G9" s="261">
        <f>'Tabell 6'!AP21/'Tabell 6'!AP29*100</f>
        <v>2.5019969064099361</v>
      </c>
      <c r="H9" s="262">
        <f t="shared" si="1"/>
        <v>43.4</v>
      </c>
      <c r="I9" s="104"/>
      <c r="J9" s="77"/>
    </row>
    <row r="10" spans="1:10" ht="18.75" customHeight="1" x14ac:dyDescent="0.3">
      <c r="A10" s="86" t="s">
        <v>159</v>
      </c>
      <c r="B10" s="105">
        <f>'Tabell 6'!AO18+'Tabell 6'!AO22</f>
        <v>78526.345736989999</v>
      </c>
      <c r="C10" s="105">
        <f>'Tabell 6'!AP18+'Tabell 6'!AP22</f>
        <v>76134.39313846</v>
      </c>
      <c r="D10" s="261">
        <f t="shared" si="0"/>
        <v>-3</v>
      </c>
      <c r="E10" s="261"/>
      <c r="F10" s="261">
        <f>('Tabell 6'!AO18+'Tabell 6'!AO22)/'Tabell 6'!AO29*100</f>
        <v>49.009946527706319</v>
      </c>
      <c r="G10" s="261">
        <f>('Tabell 6'!AP18+'Tabell 6'!AP22)/'Tabell 6'!AP29*100</f>
        <v>46.445694013655356</v>
      </c>
      <c r="H10" s="262">
        <f t="shared" si="1"/>
        <v>-5.2</v>
      </c>
      <c r="I10" s="104"/>
      <c r="J10" s="74"/>
    </row>
    <row r="11" spans="1:10" ht="18.75" customHeight="1" x14ac:dyDescent="0.3">
      <c r="A11" s="86" t="s">
        <v>160</v>
      </c>
      <c r="B11" s="105">
        <f>'Tabell 6'!AO14</f>
        <v>998.17499974999998</v>
      </c>
      <c r="C11" s="105">
        <f>'Tabell 6'!AP14</f>
        <v>998.54083375000005</v>
      </c>
      <c r="D11" s="261">
        <f t="shared" si="0"/>
        <v>0</v>
      </c>
      <c r="E11" s="261"/>
      <c r="F11" s="261">
        <f>'Tabell 6'!AO14/'Tabell 6'!AO29*100</f>
        <v>0.62298204384667621</v>
      </c>
      <c r="G11" s="261">
        <f>'Tabell 6'!AP14/'Tabell 6'!AP29*100</f>
        <v>0.60915862217682226</v>
      </c>
      <c r="H11" s="262">
        <f t="shared" si="1"/>
        <v>-2.2000000000000002</v>
      </c>
      <c r="I11" s="104"/>
      <c r="J11" s="74"/>
    </row>
    <row r="12" spans="1:10" ht="18.75" customHeight="1" x14ac:dyDescent="0.3">
      <c r="A12" s="108" t="s">
        <v>161</v>
      </c>
      <c r="B12" s="105">
        <f>'Tabell 6'!AO15</f>
        <v>25380.544051860001</v>
      </c>
      <c r="C12" s="105">
        <f>'Tabell 6'!AP15</f>
        <v>25200.727796359999</v>
      </c>
      <c r="D12" s="263">
        <f t="shared" si="0"/>
        <v>-0.7</v>
      </c>
      <c r="E12" s="263"/>
      <c r="F12" s="261">
        <f>'Tabell 6'!AO15/'Tabell 6'!AO29*100</f>
        <v>15.840532182561654</v>
      </c>
      <c r="G12" s="261">
        <f>'Tabell 6'!AP15/'Tabell 6'!AP29*100</f>
        <v>15.373673367600327</v>
      </c>
      <c r="H12" s="262">
        <f t="shared" si="1"/>
        <v>-2.9</v>
      </c>
      <c r="I12" s="104"/>
      <c r="J12" s="74"/>
    </row>
    <row r="13" spans="1:10" ht="18.75" customHeight="1" x14ac:dyDescent="0.3">
      <c r="A13" s="86" t="s">
        <v>162</v>
      </c>
      <c r="B13" s="105">
        <f>'Tabell 6'!AO19+'Tabell 6'!AO23</f>
        <v>32662.573050849998</v>
      </c>
      <c r="C13" s="105">
        <f>'Tabell 6'!AP19+'Tabell 6'!AP23</f>
        <v>35473.346633469999</v>
      </c>
      <c r="D13" s="261">
        <f t="shared" si="0"/>
        <v>8.6</v>
      </c>
      <c r="E13" s="261"/>
      <c r="F13" s="261">
        <f>('Tabell 6'!AO19+'Tabell 6'!AO23)/'Tabell 6'!AO29*100</f>
        <v>20.385399876380646</v>
      </c>
      <c r="G13" s="261">
        <f>('Tabell 6'!AP19+'Tabell 6'!AP23)/'Tabell 6'!AP29*100</f>
        <v>21.640472005630084</v>
      </c>
      <c r="H13" s="262">
        <f t="shared" si="1"/>
        <v>6.2</v>
      </c>
      <c r="I13" s="104"/>
      <c r="J13" s="74"/>
    </row>
    <row r="14" spans="1:10" ht="18.75" customHeight="1" x14ac:dyDescent="0.3">
      <c r="A14" s="86" t="s">
        <v>163</v>
      </c>
      <c r="B14" s="175">
        <f>'Tabell 6'!AO17-'Tabell 6'!AO18+'Tabell 6'!AO24+'Tabell 6'!AO25+'Tabell 6'!AO26+'Tabell 6'!AO28</f>
        <v>19862.509462669994</v>
      </c>
      <c r="C14" s="175">
        <f>'Tabell 6'!AP17-'Tabell 6'!AP18+'Tabell 6'!AP24+'Tabell 6'!AP25+'Tabell 6'!AP26+'Tabell 6'!AP28</f>
        <v>22013.001942939998</v>
      </c>
      <c r="D14" s="261">
        <f t="shared" si="0"/>
        <v>10.8</v>
      </c>
      <c r="E14" s="261"/>
      <c r="F14" s="261">
        <f>('Tabell 6'!AO17-'Tabell 6'!AO18+'Tabell 6'!AO24+'Tabell 6'!AO25+'Tabell 6'!AO26+'Tabell 6'!AO28)/'Tabell 6'!AO29*100</f>
        <v>12.396610558346236</v>
      </c>
      <c r="G14" s="261">
        <f>('Tabell 6'!AP17-'Tabell 6'!AP18+'Tabell 6'!AP24+'Tabell 6'!AP25+'Tabell 6'!AP26+'Tabell 6'!AP28)/'Tabell 6'!AP29*100</f>
        <v>13.429005084527459</v>
      </c>
      <c r="H14" s="262">
        <f t="shared" si="1"/>
        <v>8.3000000000000007</v>
      </c>
      <c r="I14" s="104"/>
      <c r="J14" s="74"/>
    </row>
    <row r="15" spans="1:10" ht="18.75" customHeight="1" x14ac:dyDescent="0.3">
      <c r="A15" s="189"/>
      <c r="B15" s="103"/>
      <c r="C15" s="175"/>
      <c r="D15" s="262"/>
      <c r="E15" s="262"/>
      <c r="F15" s="262"/>
      <c r="G15" s="261"/>
      <c r="H15" s="262"/>
      <c r="I15" s="104"/>
      <c r="J15" s="74"/>
    </row>
    <row r="16" spans="1:10" s="135" customFormat="1" ht="18.75" customHeight="1" x14ac:dyDescent="0.3">
      <c r="A16" s="101" t="s">
        <v>164</v>
      </c>
      <c r="B16" s="109">
        <f>SUM(B17:B22)</f>
        <v>1210645.72274704</v>
      </c>
      <c r="C16" s="109">
        <f>SUM(C17:C22)</f>
        <v>1283266.02118129</v>
      </c>
      <c r="D16" s="259">
        <f t="shared" si="0"/>
        <v>6</v>
      </c>
      <c r="E16" s="259"/>
      <c r="F16" s="259">
        <f>SUM(F17:F22)</f>
        <v>100.00000000000003</v>
      </c>
      <c r="G16" s="259">
        <f>SUM(G17:G22)</f>
        <v>100</v>
      </c>
      <c r="H16" s="260">
        <f t="shared" si="1"/>
        <v>0</v>
      </c>
      <c r="I16" s="110"/>
      <c r="J16" s="75"/>
    </row>
    <row r="17" spans="1:10" ht="18.75" customHeight="1" x14ac:dyDescent="0.3">
      <c r="A17" s="86" t="s">
        <v>158</v>
      </c>
      <c r="B17" s="103">
        <f>'Tabell 6'!AO40</f>
        <v>222393.37325842999</v>
      </c>
      <c r="C17" s="103">
        <f>'Tabell 6'!AP40</f>
        <v>266204.05551735999</v>
      </c>
      <c r="D17" s="261">
        <f t="shared" si="0"/>
        <v>19.7</v>
      </c>
      <c r="E17" s="261"/>
      <c r="F17" s="261">
        <f>'Tabell 6'!AO40/('Tabell 6'!AO45+'Tabell 6'!AO46)*100</f>
        <v>18.369814478326813</v>
      </c>
      <c r="G17" s="261">
        <f>'Tabell 6'!AP40/('Tabell 6'!AP45+'Tabell 6'!AP46)*100</f>
        <v>20.744261215013712</v>
      </c>
      <c r="H17" s="262">
        <f t="shared" si="1"/>
        <v>12.9</v>
      </c>
      <c r="I17" s="104"/>
      <c r="J17" s="74"/>
    </row>
    <row r="18" spans="1:10" ht="18.75" customHeight="1" x14ac:dyDescent="0.3">
      <c r="A18" s="86" t="s">
        <v>159</v>
      </c>
      <c r="B18" s="103">
        <f>'Tabell 6'!AO37+'Tabell 6'!AO41</f>
        <v>342927.30255259998</v>
      </c>
      <c r="C18" s="103">
        <f>'Tabell 6'!AP37+'Tabell 6'!AP41</f>
        <v>331805.34859251999</v>
      </c>
      <c r="D18" s="261">
        <f t="shared" si="0"/>
        <v>-3.2</v>
      </c>
      <c r="E18" s="261"/>
      <c r="F18" s="261">
        <f>('Tabell 6'!AO37+'Tabell 6'!AO41)/('Tabell 6'!AO45+'Tabell 6'!AO46)*100</f>
        <v>28.325983077400547</v>
      </c>
      <c r="G18" s="261">
        <f>('Tabell 6'!AP37+'Tabell 6'!AP41)/('Tabell 6'!AP45+'Tabell 6'!AP46)*100</f>
        <v>25.856318418458695</v>
      </c>
      <c r="H18" s="262">
        <f t="shared" si="1"/>
        <v>-8.6999999999999993</v>
      </c>
      <c r="I18" s="104"/>
      <c r="J18" s="74"/>
    </row>
    <row r="19" spans="1:10" ht="18.75" customHeight="1" x14ac:dyDescent="0.3">
      <c r="A19" s="86" t="s">
        <v>160</v>
      </c>
      <c r="B19" s="103">
        <f>'Tabell 6'!AO33</f>
        <v>19.31040771</v>
      </c>
      <c r="C19" s="103">
        <f>'Tabell 6'!AP33</f>
        <v>19.31040771</v>
      </c>
      <c r="D19" s="261">
        <f t="shared" si="0"/>
        <v>0</v>
      </c>
      <c r="E19" s="261"/>
      <c r="F19" s="261">
        <f>'Tabell 6'!AO33/('Tabell 6'!AO45+'Tabell 6'!AO46)*100</f>
        <v>1.5950502568318117E-3</v>
      </c>
      <c r="G19" s="261">
        <f>'Tabell 6'!AP33/('Tabell 6'!AP45+'Tabell 6'!AP46)*100</f>
        <v>1.504786021858828E-3</v>
      </c>
      <c r="H19" s="262">
        <f t="shared" si="1"/>
        <v>-5.7</v>
      </c>
      <c r="I19" s="104"/>
      <c r="J19" s="74"/>
    </row>
    <row r="20" spans="1:10" ht="18.75" customHeight="1" x14ac:dyDescent="0.3">
      <c r="A20" s="108" t="s">
        <v>161</v>
      </c>
      <c r="B20" s="105">
        <f>'Tabell 6'!AO34</f>
        <v>161914.86085854002</v>
      </c>
      <c r="C20" s="105">
        <f>'Tabell 6'!AP34</f>
        <v>177839.99760766001</v>
      </c>
      <c r="D20" s="263">
        <f t="shared" si="0"/>
        <v>9.8000000000000007</v>
      </c>
      <c r="E20" s="263"/>
      <c r="F20" s="261">
        <f>'Tabell 6'!AO34/('Tabell 6'!AO45+'Tabell 6'!AO46)*100</f>
        <v>13.374256218503286</v>
      </c>
      <c r="G20" s="261">
        <f>'Tabell 6'!AP34/('Tabell 6'!AP45+'Tabell 6'!AP46)*100</f>
        <v>13.858389037991689</v>
      </c>
      <c r="H20" s="262">
        <f t="shared" si="1"/>
        <v>3.6</v>
      </c>
      <c r="I20" s="104"/>
      <c r="J20" s="74"/>
    </row>
    <row r="21" spans="1:10" ht="18.75" customHeight="1" x14ac:dyDescent="0.3">
      <c r="A21" s="86" t="s">
        <v>162</v>
      </c>
      <c r="B21" s="103">
        <f>'Tabell 6'!AO38+'Tabell 6'!AO42</f>
        <v>468588.68990066997</v>
      </c>
      <c r="C21" s="103">
        <f>'Tabell 6'!AP38+'Tabell 6'!AP42</f>
        <v>484625.80456870998</v>
      </c>
      <c r="D21" s="261">
        <f t="shared" si="0"/>
        <v>3.4</v>
      </c>
      <c r="E21" s="261"/>
      <c r="F21" s="261">
        <f>('Tabell 6'!AO38+'Tabell 6'!AO42)/('Tabell 6'!AO45+'Tabell 6'!AO46)*100</f>
        <v>38.705682521011141</v>
      </c>
      <c r="G21" s="261">
        <f>('Tabell 6'!AP38+'Tabell 6'!AP42)/('Tabell 6'!AP45+'Tabell 6'!AP46)*100</f>
        <v>37.76503052130964</v>
      </c>
      <c r="H21" s="262">
        <f t="shared" si="1"/>
        <v>-2.4</v>
      </c>
      <c r="I21" s="104"/>
      <c r="J21" s="74"/>
    </row>
    <row r="22" spans="1:10" ht="18.75" customHeight="1" x14ac:dyDescent="0.3">
      <c r="A22" s="189" t="s">
        <v>163</v>
      </c>
      <c r="B22" s="103">
        <f>'Tabell 6'!AO36-'Tabell 6'!AO37+'Tabell 6'!AO43+'Tabell 6'!AO44+'Tabell 6'!AO46</f>
        <v>14802.18576908998</v>
      </c>
      <c r="C22" s="103">
        <f>'Tabell 6'!AP36-'Tabell 6'!AP37+'Tabell 6'!AP43+'Tabell 6'!AP44+'Tabell 6'!AP46</f>
        <v>22771.504487330007</v>
      </c>
      <c r="D22" s="261">
        <f t="shared" si="0"/>
        <v>53.8</v>
      </c>
      <c r="E22" s="261"/>
      <c r="F22" s="262">
        <f>('Tabell 6'!AO36-'Tabell 6'!AO37+'Tabell 6'!AO43+'Tabell 6'!AO44+'Tabell 6'!AO46)/('Tabell 6'!AO45+'Tabell 6'!AO46)*100</f>
        <v>1.2226686545014001</v>
      </c>
      <c r="G22" s="262">
        <f>('Tabell 6'!AP36-'Tabell 6'!AP37+'Tabell 6'!AP43+'Tabell 6'!AP44+'Tabell 6'!AP46)/('Tabell 6'!AP45+'Tabell 6'!AP46)*100</f>
        <v>1.7744960212044001</v>
      </c>
      <c r="H22" s="262">
        <f t="shared" si="1"/>
        <v>45.1</v>
      </c>
      <c r="I22" s="104"/>
      <c r="J22" s="74"/>
    </row>
    <row r="23" spans="1:10" ht="18.75" customHeight="1" x14ac:dyDescent="0.3">
      <c r="A23" s="86"/>
      <c r="B23" s="175"/>
      <c r="C23" s="175"/>
      <c r="D23" s="262"/>
      <c r="E23" s="261"/>
      <c r="F23" s="261"/>
      <c r="G23" s="262"/>
      <c r="H23" s="262"/>
      <c r="I23" s="180"/>
      <c r="J23" s="74"/>
    </row>
    <row r="24" spans="1:10" ht="18.75" customHeight="1" x14ac:dyDescent="0.3">
      <c r="A24" s="137" t="s">
        <v>165</v>
      </c>
      <c r="B24" s="109">
        <f>SUM(B25:B30)</f>
        <v>486248.78572314</v>
      </c>
      <c r="C24" s="109">
        <f>SUM(C25:C30)</f>
        <v>545991.53881981003</v>
      </c>
      <c r="D24" s="259">
        <f t="shared" si="0"/>
        <v>12.3</v>
      </c>
      <c r="E24" s="259"/>
      <c r="F24" s="260">
        <f>SUM(F25:F30)</f>
        <v>99.999999999999972</v>
      </c>
      <c r="G24" s="260">
        <f>SUM(G25:G30)</f>
        <v>100</v>
      </c>
      <c r="H24" s="262">
        <f t="shared" si="1"/>
        <v>0</v>
      </c>
      <c r="I24" s="180"/>
      <c r="J24" s="74"/>
    </row>
    <row r="25" spans="1:10" ht="18.75" customHeight="1" x14ac:dyDescent="0.3">
      <c r="A25" s="189" t="s">
        <v>158</v>
      </c>
      <c r="B25" s="103">
        <f>'Tabell 6'!AO55</f>
        <v>311829.69118750998</v>
      </c>
      <c r="C25" s="103">
        <f>'Tabell 6'!AP55</f>
        <v>356995.28271094698</v>
      </c>
      <c r="D25" s="261">
        <f t="shared" si="0"/>
        <v>14.5</v>
      </c>
      <c r="E25" s="261"/>
      <c r="F25" s="261">
        <f>'Tabell 6'!AO55/('Tabell 6'!AO60+'Tabell 6'!AO61)*100</f>
        <v>64.129659619357753</v>
      </c>
      <c r="G25" s="261">
        <f>'Tabell 6'!AP55/('Tabell 6'!AP60+'Tabell 6'!AP61)*100</f>
        <v>65.384764658187095</v>
      </c>
      <c r="H25" s="262">
        <f t="shared" si="1"/>
        <v>2</v>
      </c>
      <c r="I25" s="180"/>
      <c r="J25" s="74"/>
    </row>
    <row r="26" spans="1:10" ht="18.75" customHeight="1" x14ac:dyDescent="0.3">
      <c r="A26" s="189" t="s">
        <v>159</v>
      </c>
      <c r="B26" s="103">
        <f>'Tabell 6'!AO52+'Tabell 6'!AO56</f>
        <v>160742.71877422</v>
      </c>
      <c r="C26" s="103">
        <f>'Tabell 6'!AP52+'Tabell 6'!AP56</f>
        <v>163952.53728483</v>
      </c>
      <c r="D26" s="261">
        <f t="shared" si="0"/>
        <v>2</v>
      </c>
      <c r="E26" s="261"/>
      <c r="F26" s="261">
        <f>('Tabell 6'!AO52+'Tabell 6'!AO56)/('Tabell 6'!AO60+'Tabell 6'!AO61)*100</f>
        <v>33.057711092309766</v>
      </c>
      <c r="G26" s="261">
        <f>('Tabell 6'!AP52+'Tabell 6'!AP56)/('Tabell 6'!AP60+'Tabell 6'!AP61)*100</f>
        <v>30.028402571809487</v>
      </c>
      <c r="H26" s="262">
        <f t="shared" si="1"/>
        <v>-9.1999999999999993</v>
      </c>
      <c r="I26" s="180"/>
      <c r="J26" s="74"/>
    </row>
    <row r="27" spans="1:10" ht="18.75" customHeight="1" x14ac:dyDescent="0.3">
      <c r="A27" s="189" t="s">
        <v>160</v>
      </c>
      <c r="B27" s="103">
        <f>'Tabell 6'!AO48</f>
        <v>0</v>
      </c>
      <c r="C27" s="103">
        <f>'Tabell 6'!AP48</f>
        <v>0</v>
      </c>
      <c r="D27" s="261" t="str">
        <f t="shared" si="0"/>
        <v xml:space="preserve">    ---- </v>
      </c>
      <c r="E27" s="261"/>
      <c r="F27" s="261">
        <f>'Tabell 6'!AO48/('Tabell 6'!AO60+'Tabell 6'!AO61)*100</f>
        <v>0</v>
      </c>
      <c r="G27" s="261">
        <f>'Tabell 6'!AP48/('Tabell 6'!AP60+'Tabell 6'!AP61)*100</f>
        <v>0</v>
      </c>
      <c r="H27" s="262" t="str">
        <f t="shared" si="1"/>
        <v xml:space="preserve">    ---- </v>
      </c>
      <c r="I27" s="180"/>
      <c r="J27" s="74"/>
    </row>
    <row r="28" spans="1:10" ht="18.75" customHeight="1" x14ac:dyDescent="0.3">
      <c r="A28" s="108" t="s">
        <v>161</v>
      </c>
      <c r="B28" s="105">
        <f>'Tabell 6'!AO49</f>
        <v>7904.9752658799998</v>
      </c>
      <c r="C28" s="105">
        <f>'Tabell 6'!AP49</f>
        <v>17366.244630042998</v>
      </c>
      <c r="D28" s="263">
        <f t="shared" si="0"/>
        <v>119.7</v>
      </c>
      <c r="E28" s="263"/>
      <c r="F28" s="261">
        <f>'Tabell 6'!AO49/('Tabell 6'!AO60+'Tabell 6'!AO61)*100</f>
        <v>1.6257059139230281</v>
      </c>
      <c r="G28" s="261">
        <f>'Tabell 6'!AP49/('Tabell 6'!AP60+'Tabell 6'!AP61)*100</f>
        <v>3.1806801745648055</v>
      </c>
      <c r="H28" s="262">
        <f t="shared" si="1"/>
        <v>95.6</v>
      </c>
      <c r="I28" s="180"/>
      <c r="J28" s="74"/>
    </row>
    <row r="29" spans="1:10" ht="18.75" customHeight="1" x14ac:dyDescent="0.3">
      <c r="A29" s="189" t="s">
        <v>162</v>
      </c>
      <c r="B29" s="103">
        <f>'Tabell 6'!AO53+'Tabell 6'!AO57</f>
        <v>3852.8408391299999</v>
      </c>
      <c r="C29" s="103">
        <f>'Tabell 6'!AP53+'Tabell 6'!AP57</f>
        <v>4697.1503878799995</v>
      </c>
      <c r="D29" s="261">
        <f t="shared" si="0"/>
        <v>21.9</v>
      </c>
      <c r="E29" s="261"/>
      <c r="F29" s="261">
        <f>('Tabell 6'!AO53+'Tabell 6'!AO57)/('Tabell 6'!AO60+'Tabell 6'!AO61)*100</f>
        <v>0.79235999189183126</v>
      </c>
      <c r="G29" s="261">
        <f>('Tabell 6'!AP53+'Tabell 6'!AP57)/('Tabell 6'!AP60+'Tabell 6'!AP61)*100</f>
        <v>0.86029728556474383</v>
      </c>
      <c r="H29" s="262">
        <f t="shared" si="1"/>
        <v>8.6</v>
      </c>
      <c r="I29" s="180"/>
      <c r="J29" s="74"/>
    </row>
    <row r="30" spans="1:10" ht="18.75" customHeight="1" x14ac:dyDescent="0.3">
      <c r="A30" s="86" t="s">
        <v>163</v>
      </c>
      <c r="B30" s="103">
        <f>'Tabell 6'!AO51-'Tabell 6'!AO52+'Tabell 6'!AO58+'Tabell 6'!AO59+'Tabell 6'!AO61</f>
        <v>1918.5596564</v>
      </c>
      <c r="C30" s="103">
        <f>'Tabell 6'!AP51-'Tabell 6'!AP52+'Tabell 6'!AP58+'Tabell 6'!AP59+'Tabell 6'!AP61</f>
        <v>2980.3238061100001</v>
      </c>
      <c r="D30" s="262">
        <f t="shared" si="0"/>
        <v>55.3</v>
      </c>
      <c r="E30" s="262"/>
      <c r="F30" s="262">
        <f>('Tabell 6'!AO51-'Tabell 6'!AO52+'Tabell 6'!AO58+'Tabell 6'!AO59+'Tabell 6'!AO61)/('Tabell 6'!AO60+'Tabell 6'!AO61)*100</f>
        <v>0.39456338251760453</v>
      </c>
      <c r="G30" s="262">
        <f>('Tabell 6'!AP51-'Tabell 6'!AP52+'Tabell 6'!AP58+'Tabell 6'!AP59+'Tabell 6'!AP61)/('Tabell 6'!AP60+'Tabell 6'!AP61)*100</f>
        <v>0.54585530987387287</v>
      </c>
      <c r="H30" s="262">
        <f t="shared" si="1"/>
        <v>38.299999999999997</v>
      </c>
      <c r="I30" s="180"/>
      <c r="J30" s="74"/>
    </row>
    <row r="31" spans="1:10" ht="18.75" customHeight="1" x14ac:dyDescent="0.3">
      <c r="A31" s="189"/>
      <c r="B31" s="175"/>
      <c r="C31" s="175"/>
      <c r="D31" s="261"/>
      <c r="E31" s="261"/>
      <c r="F31" s="261"/>
      <c r="G31" s="262"/>
      <c r="H31" s="262"/>
      <c r="I31" s="180"/>
      <c r="J31" s="74"/>
    </row>
    <row r="32" spans="1:10" ht="18.75" customHeight="1" x14ac:dyDescent="0.3">
      <c r="A32" s="137" t="s">
        <v>2</v>
      </c>
      <c r="B32" s="109">
        <f>SUM(B33:B38)</f>
        <v>1857119.8327165497</v>
      </c>
      <c r="C32" s="109">
        <f>SUM(C33:C38)</f>
        <v>1993178.8766167504</v>
      </c>
      <c r="D32" s="259">
        <f t="shared" si="0"/>
        <v>7.3</v>
      </c>
      <c r="E32" s="259"/>
      <c r="F32" s="259">
        <f>SUM(F33:F38)</f>
        <v>100.00000000000001</v>
      </c>
      <c r="G32" s="259">
        <f>SUM(G33:G38)</f>
        <v>99.999999999999986</v>
      </c>
      <c r="H32" s="260">
        <f t="shared" si="1"/>
        <v>0</v>
      </c>
      <c r="I32" s="180"/>
      <c r="J32" s="74"/>
    </row>
    <row r="33" spans="1:10" ht="18.75" customHeight="1" x14ac:dyDescent="0.3">
      <c r="A33" s="189" t="s">
        <v>158</v>
      </c>
      <c r="B33" s="103">
        <f t="shared" ref="B33:C38" si="2">B9+B17+B25</f>
        <v>537018.24139018997</v>
      </c>
      <c r="C33" s="103">
        <f t="shared" si="2"/>
        <v>627300.644498977</v>
      </c>
      <c r="D33" s="261">
        <f t="shared" si="0"/>
        <v>16.8</v>
      </c>
      <c r="E33" s="261"/>
      <c r="F33" s="261">
        <f>B33/B32*100</f>
        <v>28.916725346939661</v>
      </c>
      <c r="G33" s="261">
        <f>C33/C32*100</f>
        <v>31.472370686757721</v>
      </c>
      <c r="H33" s="262">
        <f t="shared" si="1"/>
        <v>8.8000000000000007</v>
      </c>
      <c r="I33" s="180"/>
      <c r="J33" s="74"/>
    </row>
    <row r="34" spans="1:10" ht="18.75" customHeight="1" x14ac:dyDescent="0.3">
      <c r="A34" s="189" t="s">
        <v>159</v>
      </c>
      <c r="B34" s="103">
        <f t="shared" si="2"/>
        <v>582196.36706381</v>
      </c>
      <c r="C34" s="103">
        <f t="shared" si="2"/>
        <v>571892.27901581</v>
      </c>
      <c r="D34" s="261">
        <f t="shared" si="0"/>
        <v>-1.8</v>
      </c>
      <c r="E34" s="261"/>
      <c r="F34" s="261">
        <f>B34/B32*100</f>
        <v>31.349423812473496</v>
      </c>
      <c r="G34" s="261">
        <f>C34/C32*100</f>
        <v>28.692471394566848</v>
      </c>
      <c r="H34" s="262">
        <f t="shared" si="1"/>
        <v>-8.5</v>
      </c>
      <c r="I34" s="180"/>
      <c r="J34" s="74"/>
    </row>
    <row r="35" spans="1:10" ht="18.75" customHeight="1" x14ac:dyDescent="0.3">
      <c r="A35" s="189" t="s">
        <v>160</v>
      </c>
      <c r="B35" s="103">
        <f t="shared" si="2"/>
        <v>1017.48540746</v>
      </c>
      <c r="C35" s="103">
        <f t="shared" si="2"/>
        <v>1017.8512414600001</v>
      </c>
      <c r="D35" s="261">
        <f t="shared" si="0"/>
        <v>0</v>
      </c>
      <c r="E35" s="261"/>
      <c r="F35" s="261">
        <f>B35/B32*100</f>
        <v>5.4788355039623218E-2</v>
      </c>
      <c r="G35" s="261">
        <f>C35/C32*100</f>
        <v>5.1066728300257477E-2</v>
      </c>
      <c r="H35" s="262">
        <f t="shared" si="1"/>
        <v>-6.8</v>
      </c>
      <c r="I35" s="180"/>
      <c r="J35" s="74"/>
    </row>
    <row r="36" spans="1:10" ht="18.75" customHeight="1" x14ac:dyDescent="0.3">
      <c r="A36" s="108" t="s">
        <v>161</v>
      </c>
      <c r="B36" s="105">
        <f t="shared" si="2"/>
        <v>195200.38017628001</v>
      </c>
      <c r="C36" s="105">
        <f t="shared" si="2"/>
        <v>220406.97003406301</v>
      </c>
      <c r="D36" s="263">
        <f t="shared" si="0"/>
        <v>12.9</v>
      </c>
      <c r="E36" s="263"/>
      <c r="F36" s="261">
        <f>B36/B32*100</f>
        <v>10.510920013747613</v>
      </c>
      <c r="G36" s="261">
        <f>C36/C32*100</f>
        <v>11.058062706754392</v>
      </c>
      <c r="H36" s="262">
        <f t="shared" si="1"/>
        <v>5.2</v>
      </c>
      <c r="I36" s="180"/>
      <c r="J36" s="74"/>
    </row>
    <row r="37" spans="1:10" ht="18.75" customHeight="1" x14ac:dyDescent="0.3">
      <c r="A37" s="189" t="s">
        <v>162</v>
      </c>
      <c r="B37" s="103">
        <f t="shared" si="2"/>
        <v>505104.10379064997</v>
      </c>
      <c r="C37" s="103">
        <f t="shared" si="2"/>
        <v>524796.30159006</v>
      </c>
      <c r="D37" s="261">
        <f t="shared" si="0"/>
        <v>3.9</v>
      </c>
      <c r="E37" s="261"/>
      <c r="F37" s="261">
        <f>B37/B32*100</f>
        <v>27.198250478634755</v>
      </c>
      <c r="G37" s="261">
        <f>C37/C32*100</f>
        <v>26.329613851861431</v>
      </c>
      <c r="H37" s="262">
        <f t="shared" si="1"/>
        <v>-3.2</v>
      </c>
      <c r="I37" s="180"/>
      <c r="J37" s="74"/>
    </row>
    <row r="38" spans="1:10" ht="18.75" customHeight="1" x14ac:dyDescent="0.3">
      <c r="A38" s="264" t="s">
        <v>163</v>
      </c>
      <c r="B38" s="265">
        <f t="shared" si="2"/>
        <v>36583.254888159972</v>
      </c>
      <c r="C38" s="265">
        <f t="shared" si="2"/>
        <v>47764.830236380003</v>
      </c>
      <c r="D38" s="266">
        <f t="shared" si="0"/>
        <v>30.6</v>
      </c>
      <c r="E38" s="261"/>
      <c r="F38" s="266">
        <f>B38/B32*100</f>
        <v>1.9698919931648609</v>
      </c>
      <c r="G38" s="266">
        <f>C38/C32*100</f>
        <v>2.3964146317593276</v>
      </c>
      <c r="H38" s="267">
        <f t="shared" si="1"/>
        <v>21.7</v>
      </c>
      <c r="I38" s="180"/>
      <c r="J38" s="74"/>
    </row>
    <row r="39" spans="1:10" ht="18.75" customHeight="1" x14ac:dyDescent="0.3">
      <c r="A39" s="112"/>
      <c r="B39" s="112"/>
      <c r="C39" s="112"/>
      <c r="D39" s="112"/>
      <c r="E39" s="112"/>
      <c r="F39" s="180"/>
      <c r="G39" s="180"/>
      <c r="H39" s="180"/>
      <c r="I39" s="180"/>
      <c r="J39" s="74"/>
    </row>
    <row r="40" spans="1:10" ht="18.75" customHeight="1" x14ac:dyDescent="0.3">
      <c r="A40" s="112" t="s">
        <v>166</v>
      </c>
      <c r="B40" s="112"/>
      <c r="C40" s="112"/>
      <c r="D40" s="112"/>
      <c r="E40" s="112"/>
      <c r="F40" s="180"/>
      <c r="G40" s="180"/>
      <c r="H40" s="180"/>
      <c r="I40" s="180"/>
      <c r="J40" s="74"/>
    </row>
    <row r="41" spans="1:10" ht="18.75" x14ac:dyDescent="0.3">
      <c r="A41" s="112" t="s">
        <v>101</v>
      </c>
      <c r="B41" s="112"/>
      <c r="C41" s="112"/>
      <c r="D41" s="112"/>
      <c r="E41" s="112"/>
      <c r="F41" s="74"/>
      <c r="G41" s="74"/>
      <c r="H41" s="74"/>
      <c r="I41" s="74"/>
      <c r="J41" s="74"/>
    </row>
    <row r="42" spans="1:10" ht="18.75" x14ac:dyDescent="0.3">
      <c r="A42" s="74"/>
      <c r="B42" s="74"/>
      <c r="C42" s="74"/>
      <c r="D42" s="74"/>
      <c r="E42" s="74"/>
      <c r="G42" s="74"/>
      <c r="H42" s="74"/>
      <c r="I42" s="74"/>
      <c r="J42" s="74"/>
    </row>
    <row r="43" spans="1:10" ht="18.75" x14ac:dyDescent="0.3">
      <c r="A43" s="74"/>
      <c r="B43" s="74"/>
      <c r="C43" s="74"/>
      <c r="D43" s="74"/>
      <c r="E43" s="74"/>
      <c r="F43" s="74"/>
      <c r="G43" s="74"/>
      <c r="H43" s="74"/>
      <c r="I43" s="74"/>
      <c r="J43" s="74"/>
    </row>
    <row r="44" spans="1:10" ht="18.75" x14ac:dyDescent="0.3">
      <c r="A44" s="74"/>
      <c r="B44" s="74"/>
      <c r="C44" s="74"/>
      <c r="D44" s="74"/>
      <c r="E44" s="74"/>
      <c r="F44" s="74"/>
      <c r="G44" s="74"/>
      <c r="H44" s="74"/>
      <c r="I44" s="74"/>
      <c r="J44" s="74"/>
    </row>
    <row r="45" spans="1:10" ht="18.75" x14ac:dyDescent="0.3">
      <c r="A45" s="74"/>
      <c r="B45" s="74"/>
      <c r="C45" s="74"/>
      <c r="D45" s="74"/>
      <c r="E45" s="74"/>
      <c r="F45" s="74"/>
      <c r="G45" s="74"/>
      <c r="H45" s="74"/>
      <c r="I45" s="74"/>
      <c r="J45" s="74"/>
    </row>
    <row r="46" spans="1:10" ht="18.75" x14ac:dyDescent="0.3">
      <c r="A46" s="74"/>
      <c r="B46" s="74"/>
      <c r="C46" s="74"/>
      <c r="D46" s="74"/>
      <c r="E46" s="74"/>
      <c r="F46" s="74"/>
      <c r="G46" s="74"/>
      <c r="H46" s="74"/>
      <c r="I46" s="74"/>
      <c r="J46" s="74"/>
    </row>
    <row r="47" spans="1:10" ht="18.75" x14ac:dyDescent="0.3">
      <c r="A47" s="74"/>
      <c r="B47" s="74"/>
      <c r="C47" s="74"/>
      <c r="D47" s="74"/>
      <c r="E47" s="74"/>
      <c r="F47" s="74"/>
      <c r="G47" s="74"/>
      <c r="H47" s="74"/>
      <c r="I47" s="74"/>
      <c r="J47" s="74"/>
    </row>
    <row r="48" spans="1:10" ht="18.75" x14ac:dyDescent="0.3">
      <c r="A48" s="74"/>
      <c r="B48" s="74"/>
      <c r="C48" s="74"/>
      <c r="D48" s="74"/>
      <c r="E48" s="74"/>
      <c r="F48" s="74"/>
      <c r="G48" s="74"/>
      <c r="H48" s="74"/>
      <c r="I48" s="74"/>
      <c r="J48" s="74"/>
    </row>
    <row r="49" spans="1:10" ht="18.75" x14ac:dyDescent="0.3">
      <c r="A49" s="74"/>
      <c r="B49" s="74"/>
      <c r="C49" s="74"/>
      <c r="D49" s="74"/>
      <c r="E49" s="74"/>
      <c r="F49" s="74"/>
      <c r="G49" s="74"/>
      <c r="H49" s="74"/>
      <c r="I49" s="74"/>
      <c r="J49" s="74"/>
    </row>
    <row r="50" spans="1:10" ht="18.75" x14ac:dyDescent="0.3">
      <c r="A50" s="74"/>
      <c r="B50" s="74"/>
      <c r="C50" s="74"/>
      <c r="D50" s="74"/>
      <c r="E50" s="74"/>
      <c r="F50" s="74"/>
      <c r="G50" s="74"/>
      <c r="H50" s="74"/>
      <c r="I50" s="74"/>
      <c r="J50" s="74"/>
    </row>
    <row r="51" spans="1:10" ht="18.75" x14ac:dyDescent="0.3">
      <c r="A51" s="74"/>
      <c r="B51" s="74"/>
      <c r="C51" s="74"/>
      <c r="D51" s="74"/>
      <c r="E51" s="74"/>
      <c r="F51" s="74"/>
      <c r="G51" s="74"/>
      <c r="H51" s="74"/>
      <c r="I51" s="74"/>
      <c r="J51" s="74"/>
    </row>
    <row r="52" spans="1:10" ht="18.75" x14ac:dyDescent="0.3">
      <c r="A52" s="74"/>
      <c r="B52" s="74"/>
      <c r="C52" s="74"/>
      <c r="D52" s="74"/>
      <c r="E52" s="74"/>
      <c r="F52" s="74"/>
      <c r="G52" s="74"/>
      <c r="H52" s="74"/>
      <c r="I52" s="74"/>
      <c r="J52" s="74"/>
    </row>
    <row r="53" spans="1:10" ht="18.75" x14ac:dyDescent="0.3">
      <c r="A53" s="74"/>
      <c r="B53" s="74"/>
      <c r="C53" s="74"/>
      <c r="D53" s="74"/>
      <c r="E53" s="74"/>
      <c r="F53" s="74"/>
      <c r="G53" s="74"/>
      <c r="H53" s="74"/>
      <c r="I53" s="74"/>
      <c r="J53" s="74"/>
    </row>
    <row r="54" spans="1:10" ht="18.75" x14ac:dyDescent="0.3">
      <c r="A54" s="74"/>
      <c r="B54" s="74"/>
      <c r="C54" s="74"/>
      <c r="D54" s="74"/>
      <c r="E54" s="74"/>
      <c r="F54" s="74"/>
      <c r="G54" s="74"/>
      <c r="H54" s="74"/>
      <c r="I54" s="74"/>
      <c r="J54" s="74"/>
    </row>
    <row r="55" spans="1:10" ht="18.75" x14ac:dyDescent="0.3">
      <c r="A55" s="74"/>
      <c r="B55" s="74"/>
      <c r="C55" s="74"/>
      <c r="D55" s="74"/>
      <c r="E55" s="74"/>
      <c r="F55" s="74"/>
      <c r="G55" s="74"/>
      <c r="H55" s="74"/>
      <c r="I55" s="74"/>
      <c r="J55" s="74"/>
    </row>
    <row r="56" spans="1:10" ht="18.75" x14ac:dyDescent="0.3">
      <c r="A56" s="74"/>
      <c r="B56" s="74"/>
      <c r="C56" s="74"/>
      <c r="D56" s="74"/>
      <c r="E56" s="74"/>
      <c r="F56" s="74"/>
      <c r="G56" s="74"/>
      <c r="H56" s="74"/>
      <c r="I56" s="74"/>
      <c r="J56" s="74"/>
    </row>
    <row r="57" spans="1:10" ht="18.75" x14ac:dyDescent="0.3">
      <c r="A57" s="74"/>
      <c r="B57" s="74"/>
      <c r="C57" s="74"/>
      <c r="D57" s="74"/>
      <c r="E57" s="74"/>
      <c r="F57" s="74"/>
      <c r="G57" s="74"/>
      <c r="H57" s="74"/>
      <c r="I57" s="74"/>
      <c r="J57" s="74"/>
    </row>
    <row r="58" spans="1:10" ht="18.75" x14ac:dyDescent="0.3">
      <c r="A58" s="74"/>
      <c r="B58" s="74"/>
      <c r="C58" s="74"/>
      <c r="D58" s="74"/>
      <c r="E58" s="74"/>
      <c r="F58" s="74"/>
      <c r="G58" s="74"/>
      <c r="H58" s="74"/>
      <c r="I58" s="74"/>
      <c r="J58" s="74"/>
    </row>
    <row r="59" spans="1:10" ht="18.75" x14ac:dyDescent="0.3">
      <c r="A59" s="74"/>
      <c r="B59" s="74"/>
      <c r="C59" s="74"/>
      <c r="D59" s="74"/>
      <c r="E59" s="74"/>
      <c r="F59" s="74"/>
      <c r="G59" s="74"/>
      <c r="H59" s="74"/>
      <c r="I59" s="74"/>
      <c r="J59" s="74"/>
    </row>
    <row r="60" spans="1:10" ht="18.75" x14ac:dyDescent="0.3">
      <c r="A60" s="74"/>
      <c r="B60" s="74"/>
      <c r="C60" s="74"/>
      <c r="D60" s="74"/>
      <c r="E60" s="74"/>
      <c r="F60" s="74"/>
      <c r="G60" s="74"/>
      <c r="H60" s="74"/>
      <c r="I60" s="74"/>
      <c r="J60" s="74"/>
    </row>
    <row r="61" spans="1:10" ht="18.75" x14ac:dyDescent="0.3">
      <c r="A61" s="74"/>
      <c r="B61" s="74"/>
      <c r="C61" s="74"/>
      <c r="D61" s="74"/>
      <c r="E61" s="74"/>
      <c r="F61" s="74"/>
      <c r="G61" s="74"/>
      <c r="H61" s="74"/>
      <c r="I61" s="74"/>
      <c r="J61" s="74"/>
    </row>
    <row r="62" spans="1:10" ht="18.75" x14ac:dyDescent="0.3">
      <c r="A62" s="74"/>
      <c r="B62" s="74"/>
      <c r="C62" s="74"/>
      <c r="D62" s="74"/>
      <c r="E62" s="74"/>
      <c r="F62" s="74"/>
      <c r="G62" s="74"/>
      <c r="H62" s="74"/>
      <c r="I62" s="74"/>
      <c r="J62" s="74"/>
    </row>
    <row r="63" spans="1:10" ht="18.75" x14ac:dyDescent="0.3">
      <c r="A63" s="74"/>
      <c r="B63" s="74"/>
      <c r="C63" s="74"/>
      <c r="D63" s="74"/>
      <c r="E63" s="74"/>
      <c r="F63" s="74"/>
      <c r="G63" s="74"/>
      <c r="H63" s="74"/>
      <c r="I63" s="74"/>
      <c r="J63" s="74"/>
    </row>
    <row r="64" spans="1:10" ht="18.75" x14ac:dyDescent="0.3">
      <c r="A64" s="74"/>
      <c r="B64" s="74"/>
      <c r="C64" s="74"/>
      <c r="D64" s="74"/>
      <c r="E64" s="74"/>
      <c r="F64" s="74"/>
      <c r="G64" s="74"/>
      <c r="H64" s="74"/>
      <c r="I64" s="74"/>
      <c r="J64" s="74"/>
    </row>
    <row r="65" spans="1:10" ht="18.75" x14ac:dyDescent="0.3">
      <c r="A65" s="74"/>
      <c r="B65" s="74"/>
      <c r="C65" s="74"/>
      <c r="D65" s="74"/>
      <c r="E65" s="74"/>
      <c r="F65" s="74"/>
      <c r="G65" s="74"/>
      <c r="H65" s="74"/>
      <c r="I65" s="74"/>
      <c r="J65" s="74"/>
    </row>
    <row r="66" spans="1:10" ht="18.75" x14ac:dyDescent="0.3">
      <c r="A66" s="74"/>
      <c r="B66" s="74"/>
      <c r="C66" s="74"/>
      <c r="D66" s="74"/>
      <c r="E66" s="74"/>
      <c r="F66" s="74"/>
      <c r="G66" s="74"/>
      <c r="H66" s="74"/>
      <c r="I66" s="74"/>
      <c r="J66" s="74"/>
    </row>
    <row r="67" spans="1:10" ht="18.75" x14ac:dyDescent="0.3">
      <c r="A67" s="74"/>
      <c r="B67" s="74"/>
      <c r="C67" s="74"/>
      <c r="D67" s="74"/>
      <c r="E67" s="74"/>
      <c r="F67" s="74"/>
      <c r="G67" s="74"/>
      <c r="H67" s="74"/>
      <c r="I67" s="74"/>
      <c r="J67" s="74"/>
    </row>
    <row r="68" spans="1:10" ht="18.75" x14ac:dyDescent="0.3">
      <c r="A68" s="74"/>
      <c r="B68" s="74"/>
      <c r="C68" s="74"/>
      <c r="D68" s="74"/>
      <c r="E68" s="74"/>
      <c r="F68" s="74"/>
      <c r="G68" s="74"/>
      <c r="H68" s="74"/>
      <c r="I68" s="74"/>
      <c r="J68" s="74"/>
    </row>
    <row r="69" spans="1:10" ht="18.75" x14ac:dyDescent="0.3">
      <c r="A69" s="74"/>
      <c r="B69" s="74"/>
      <c r="C69" s="74"/>
      <c r="D69" s="74"/>
      <c r="E69" s="74"/>
      <c r="F69" s="74"/>
      <c r="G69" s="74"/>
      <c r="H69" s="74"/>
      <c r="I69" s="74"/>
      <c r="J69" s="74"/>
    </row>
    <row r="70" spans="1:10" ht="18.75" x14ac:dyDescent="0.3">
      <c r="A70" s="74"/>
      <c r="B70" s="74"/>
      <c r="C70" s="74"/>
      <c r="D70" s="74"/>
      <c r="E70" s="74"/>
      <c r="F70" s="74"/>
      <c r="G70" s="74"/>
      <c r="H70" s="74"/>
      <c r="I70" s="74"/>
      <c r="J70" s="74"/>
    </row>
    <row r="71" spans="1:10" ht="18.75" x14ac:dyDescent="0.3">
      <c r="A71" s="74"/>
      <c r="B71" s="74"/>
      <c r="C71" s="74"/>
      <c r="D71" s="74"/>
      <c r="E71" s="74"/>
      <c r="F71" s="74"/>
      <c r="G71" s="74"/>
      <c r="H71" s="74"/>
      <c r="I71" s="74"/>
      <c r="J71" s="74"/>
    </row>
    <row r="72" spans="1:10" ht="18.75" x14ac:dyDescent="0.3">
      <c r="A72" s="74"/>
      <c r="B72" s="74"/>
      <c r="C72" s="74"/>
      <c r="D72" s="74"/>
      <c r="E72" s="74"/>
      <c r="F72" s="74"/>
      <c r="G72" s="74"/>
      <c r="H72" s="74"/>
      <c r="I72" s="74"/>
      <c r="J72" s="74"/>
    </row>
    <row r="73" spans="1:10" ht="18.75" x14ac:dyDescent="0.3">
      <c r="A73" s="74"/>
      <c r="B73" s="74"/>
      <c r="C73" s="74"/>
      <c r="D73" s="74"/>
      <c r="E73" s="74"/>
      <c r="F73" s="74"/>
      <c r="G73" s="74"/>
      <c r="H73" s="74"/>
      <c r="I73" s="74"/>
      <c r="J73" s="74"/>
    </row>
    <row r="74" spans="1:10" ht="18.75" x14ac:dyDescent="0.3">
      <c r="A74" s="74"/>
      <c r="B74" s="74"/>
      <c r="C74" s="74"/>
      <c r="D74" s="74"/>
      <c r="E74" s="74"/>
      <c r="F74" s="74"/>
      <c r="G74" s="74"/>
      <c r="H74" s="74"/>
      <c r="I74" s="74"/>
      <c r="J74" s="74"/>
    </row>
    <row r="75" spans="1:10" ht="18.75" x14ac:dyDescent="0.3">
      <c r="A75" s="74"/>
      <c r="B75" s="74"/>
      <c r="C75" s="74"/>
      <c r="D75" s="74"/>
      <c r="E75" s="74"/>
      <c r="F75" s="74"/>
      <c r="G75" s="74"/>
      <c r="H75" s="74"/>
      <c r="I75" s="74"/>
      <c r="J75" s="74"/>
    </row>
    <row r="76" spans="1:10" ht="18.75" x14ac:dyDescent="0.3">
      <c r="A76" s="74"/>
      <c r="B76" s="74"/>
      <c r="C76" s="74"/>
      <c r="D76" s="74"/>
      <c r="E76" s="74"/>
      <c r="F76" s="74"/>
      <c r="G76" s="74"/>
      <c r="H76" s="74"/>
      <c r="I76" s="74"/>
      <c r="J76" s="74"/>
    </row>
    <row r="77" spans="1:10" ht="18.75" x14ac:dyDescent="0.3">
      <c r="A77" s="74"/>
      <c r="B77" s="74"/>
      <c r="C77" s="74"/>
      <c r="D77" s="74"/>
      <c r="E77" s="74"/>
      <c r="F77" s="74"/>
      <c r="G77" s="74"/>
      <c r="H77" s="74"/>
      <c r="I77" s="74"/>
      <c r="J77" s="74"/>
    </row>
    <row r="78" spans="1:10" ht="18.75" x14ac:dyDescent="0.3">
      <c r="A78" s="74"/>
      <c r="B78" s="74"/>
      <c r="C78" s="74"/>
      <c r="D78" s="74"/>
      <c r="E78" s="74"/>
      <c r="F78" s="74"/>
      <c r="G78" s="74"/>
      <c r="H78" s="74"/>
      <c r="I78" s="74"/>
      <c r="J78" s="74"/>
    </row>
    <row r="79" spans="1:10" ht="18.75" x14ac:dyDescent="0.3">
      <c r="A79" s="74"/>
      <c r="B79" s="74"/>
      <c r="C79" s="74"/>
      <c r="D79" s="74"/>
      <c r="E79" s="74"/>
      <c r="F79" s="74"/>
      <c r="G79" s="74"/>
      <c r="H79" s="74"/>
      <c r="I79" s="74"/>
      <c r="J79" s="74"/>
    </row>
    <row r="80" spans="1:10" ht="18.75" x14ac:dyDescent="0.3">
      <c r="A80" s="74"/>
      <c r="B80" s="74"/>
      <c r="C80" s="74"/>
      <c r="D80" s="74"/>
      <c r="E80" s="74"/>
      <c r="F80" s="74"/>
      <c r="G80" s="74"/>
      <c r="H80" s="74"/>
      <c r="I80" s="74"/>
      <c r="J80" s="74"/>
    </row>
    <row r="81" spans="1:10" ht="18.75" x14ac:dyDescent="0.3">
      <c r="A81" s="74"/>
      <c r="B81" s="74"/>
      <c r="C81" s="74"/>
      <c r="D81" s="74"/>
      <c r="E81" s="74"/>
      <c r="F81" s="74"/>
      <c r="G81" s="74"/>
      <c r="H81" s="74"/>
      <c r="I81" s="74"/>
      <c r="J81" s="74"/>
    </row>
    <row r="82" spans="1:10" ht="18.75" x14ac:dyDescent="0.3">
      <c r="A82" s="74"/>
      <c r="B82" s="74"/>
      <c r="C82" s="74"/>
      <c r="D82" s="74"/>
      <c r="E82" s="74"/>
      <c r="F82" s="74"/>
      <c r="G82" s="74"/>
      <c r="H82" s="74"/>
      <c r="I82" s="74"/>
      <c r="J82" s="74"/>
    </row>
    <row r="83" spans="1:10" ht="18.75" x14ac:dyDescent="0.3">
      <c r="A83" s="74"/>
      <c r="B83" s="74"/>
      <c r="C83" s="74"/>
      <c r="D83" s="74"/>
      <c r="E83" s="74"/>
      <c r="F83" s="74"/>
      <c r="G83" s="74"/>
      <c r="H83" s="74"/>
      <c r="I83" s="74"/>
      <c r="J83" s="74"/>
    </row>
    <row r="84" spans="1:10" ht="18.75" x14ac:dyDescent="0.3">
      <c r="A84" s="74"/>
      <c r="B84" s="74"/>
      <c r="C84" s="74"/>
      <c r="D84" s="74"/>
      <c r="E84" s="74"/>
      <c r="F84" s="74"/>
      <c r="G84" s="74"/>
      <c r="H84" s="74"/>
      <c r="I84" s="74"/>
      <c r="J84" s="74"/>
    </row>
    <row r="85" spans="1:10" ht="18.75" x14ac:dyDescent="0.3">
      <c r="A85" s="74"/>
      <c r="B85" s="74"/>
      <c r="C85" s="74"/>
      <c r="D85" s="74"/>
      <c r="E85" s="74"/>
      <c r="F85" s="74"/>
      <c r="G85" s="74"/>
      <c r="H85" s="74"/>
      <c r="I85" s="74"/>
      <c r="J85" s="74"/>
    </row>
    <row r="86" spans="1:10" ht="18.75" x14ac:dyDescent="0.3">
      <c r="A86" s="74"/>
      <c r="B86" s="74"/>
      <c r="C86" s="74"/>
      <c r="D86" s="74"/>
      <c r="E86" s="74"/>
      <c r="F86" s="74"/>
      <c r="G86" s="74"/>
      <c r="H86" s="74"/>
      <c r="I86" s="74"/>
      <c r="J86" s="74"/>
    </row>
    <row r="87" spans="1:10" ht="18.75" x14ac:dyDescent="0.3">
      <c r="A87" s="74"/>
      <c r="B87" s="74"/>
      <c r="C87" s="74"/>
      <c r="D87" s="74"/>
      <c r="E87" s="74"/>
      <c r="F87" s="74"/>
      <c r="G87" s="74"/>
      <c r="H87" s="74"/>
      <c r="I87" s="74"/>
      <c r="J87" s="74"/>
    </row>
    <row r="88" spans="1:10" ht="18.75" x14ac:dyDescent="0.3">
      <c r="A88" s="74"/>
      <c r="B88" s="74"/>
      <c r="C88" s="74"/>
      <c r="D88" s="74"/>
      <c r="E88" s="74"/>
      <c r="F88" s="74"/>
      <c r="G88" s="74"/>
      <c r="H88" s="74"/>
      <c r="I88" s="74"/>
      <c r="J88" s="74"/>
    </row>
    <row r="89" spans="1:10" ht="18.75" x14ac:dyDescent="0.3">
      <c r="A89" s="74"/>
      <c r="B89" s="74"/>
      <c r="C89" s="74"/>
      <c r="D89" s="74"/>
      <c r="E89" s="74"/>
      <c r="F89" s="74"/>
      <c r="G89" s="74"/>
      <c r="H89" s="74"/>
      <c r="I89" s="74"/>
      <c r="J89" s="74"/>
    </row>
    <row r="90" spans="1:10" ht="18.75" x14ac:dyDescent="0.3">
      <c r="A90" s="74"/>
      <c r="B90" s="74"/>
      <c r="C90" s="74"/>
      <c r="D90" s="74"/>
      <c r="E90" s="74"/>
      <c r="F90" s="74"/>
      <c r="G90" s="74"/>
      <c r="H90" s="74"/>
      <c r="I90" s="74"/>
      <c r="J90" s="74"/>
    </row>
    <row r="91" spans="1:10" ht="18.75" x14ac:dyDescent="0.3">
      <c r="A91" s="74"/>
      <c r="B91" s="74"/>
      <c r="C91" s="74"/>
      <c r="D91" s="74"/>
      <c r="E91" s="74"/>
      <c r="F91" s="74"/>
      <c r="G91" s="74"/>
      <c r="H91" s="74"/>
      <c r="I91" s="74"/>
      <c r="J91" s="74"/>
    </row>
    <row r="92" spans="1:10" ht="18.75" x14ac:dyDescent="0.3">
      <c r="A92" s="74"/>
      <c r="B92" s="74"/>
      <c r="C92" s="74"/>
      <c r="D92" s="74"/>
      <c r="E92" s="74"/>
      <c r="F92" s="74"/>
      <c r="G92" s="74"/>
      <c r="H92" s="74"/>
      <c r="I92" s="74"/>
      <c r="J92" s="74"/>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P303"/>
  <sheetViews>
    <sheetView showGridLines="0" showZeros="0" zoomScale="90" zoomScaleNormal="90" zoomScaleSheetLayoutView="80" workbookViewId="0">
      <pane xSplit="1" ySplit="1" topLeftCell="B2" activePane="bottomRight" state="frozen"/>
      <selection activeCell="J44" sqref="J44"/>
      <selection pane="topRight" activeCell="J44" sqref="J44"/>
      <selection pane="bottomLeft" activeCell="J44" sqref="J44"/>
      <selection pane="bottomRight"/>
    </sheetView>
  </sheetViews>
  <sheetFormatPr baseColWidth="10" defaultColWidth="11.42578125" defaultRowHeight="12.75" x14ac:dyDescent="0.2"/>
  <cols>
    <col min="1" max="1" width="57.28515625" style="1" customWidth="1"/>
    <col min="2" max="3" width="10.7109375" style="1" customWidth="1"/>
    <col min="4" max="4" width="8.7109375" style="1" customWidth="1"/>
    <col min="5" max="6" width="10.7109375" style="1" customWidth="1"/>
    <col min="7" max="7" width="8.7109375" style="1" customWidth="1"/>
    <col min="8" max="9" width="10.7109375" style="1" customWidth="1"/>
    <col min="10" max="10" width="8.7109375" style="1" customWidth="1"/>
    <col min="11" max="16384" width="11.42578125" style="1"/>
  </cols>
  <sheetData>
    <row r="1" spans="1:14" ht="15.75" customHeight="1" x14ac:dyDescent="0.2">
      <c r="A1" s="341">
        <v>4</v>
      </c>
      <c r="B1" s="4"/>
      <c r="C1" s="4"/>
      <c r="D1" s="4"/>
      <c r="E1" s="4"/>
      <c r="F1" s="4"/>
      <c r="G1" s="4"/>
      <c r="H1" s="4"/>
      <c r="I1" s="4"/>
      <c r="J1" s="4"/>
    </row>
    <row r="2" spans="1:14" ht="15.75" customHeight="1" x14ac:dyDescent="0.25">
      <c r="A2" s="164" t="s">
        <v>28</v>
      </c>
      <c r="B2" s="719"/>
      <c r="C2" s="719"/>
      <c r="D2" s="719"/>
      <c r="E2" s="719"/>
      <c r="F2" s="719"/>
      <c r="G2" s="719"/>
      <c r="H2" s="719"/>
      <c r="I2" s="719"/>
      <c r="J2" s="719"/>
    </row>
    <row r="3" spans="1:14" ht="15.75" customHeight="1" x14ac:dyDescent="0.25">
      <c r="A3" s="162"/>
      <c r="B3" s="290"/>
      <c r="C3" s="290"/>
      <c r="D3" s="290"/>
      <c r="E3" s="290"/>
      <c r="F3" s="290"/>
      <c r="G3" s="290"/>
      <c r="H3" s="290"/>
      <c r="I3" s="290"/>
      <c r="J3" s="290"/>
    </row>
    <row r="4" spans="1:14" ht="15.75" customHeight="1" x14ac:dyDescent="0.2">
      <c r="A4" s="144"/>
      <c r="B4" s="720" t="s">
        <v>0</v>
      </c>
      <c r="C4" s="721"/>
      <c r="D4" s="721"/>
      <c r="E4" s="720" t="s">
        <v>1</v>
      </c>
      <c r="F4" s="721"/>
      <c r="G4" s="721"/>
      <c r="H4" s="720" t="s">
        <v>2</v>
      </c>
      <c r="I4" s="721"/>
      <c r="J4" s="722"/>
    </row>
    <row r="5" spans="1:14" ht="15.75" customHeight="1" x14ac:dyDescent="0.2">
      <c r="A5" s="157"/>
      <c r="B5" s="20">
        <v>44286</v>
      </c>
      <c r="C5" s="20">
        <v>44651</v>
      </c>
      <c r="D5" s="245" t="s">
        <v>3</v>
      </c>
      <c r="E5" s="20">
        <v>44286</v>
      </c>
      <c r="F5" s="20">
        <v>44651</v>
      </c>
      <c r="G5" s="245" t="s">
        <v>3</v>
      </c>
      <c r="H5" s="20">
        <v>44286</v>
      </c>
      <c r="I5" s="20">
        <v>44651</v>
      </c>
      <c r="J5" s="245" t="s">
        <v>3</v>
      </c>
      <c r="M5" s="3"/>
      <c r="N5" s="3"/>
    </row>
    <row r="6" spans="1:14" ht="15.75" customHeight="1" x14ac:dyDescent="0.2">
      <c r="A6" s="700"/>
      <c r="B6" s="15"/>
      <c r="C6" s="15"/>
      <c r="D6" s="17" t="s">
        <v>4</v>
      </c>
      <c r="E6" s="16"/>
      <c r="F6" s="16"/>
      <c r="G6" s="15" t="s">
        <v>4</v>
      </c>
      <c r="H6" s="16"/>
      <c r="I6" s="16"/>
      <c r="J6" s="15" t="s">
        <v>4</v>
      </c>
      <c r="M6" s="320"/>
      <c r="N6" s="3"/>
    </row>
    <row r="7" spans="1:14" s="43" customFormat="1" ht="15.75" customHeight="1" x14ac:dyDescent="0.2">
      <c r="A7" s="14" t="s">
        <v>23</v>
      </c>
      <c r="B7" s="232">
        <f>'Fremtind Livsforsikring'!B7+'Danica Pensjonsforsikring'!B7+'DNB Livsforsikring'!B7+'Eika Forsikring AS'!B7+'Frende Livsforsikring'!B7+'Frende Skadeforsikring'!B7+'Gjensidige Forsikring'!B7+'Gjensidige Pensjon'!B7+'Handelsbanken Liv'!B7+'If Skadeforsikring NUF'!B7+KLP!B7+'KLP Skadeforsikring AS'!B7+'Landkreditt Forsikring'!B7+Insr!B7+'Nordea Liv '!B7+'Oslo Pensjonsforsikring'!B7+'Protector Forsikring'!B7+'SHB Liv'!B7+'Sparebank 1'!B7+'Storebrand Livsforsikring'!B7+'Telenor Forsikring'!B7+'Tryg Forsikring'!B7+'WaterCircles F'!B7+'Codan Forsikring'!B7+'Euro Accident'!B7+'Youplus Livsforsikring'!B7</f>
        <v>1685097.9866931401</v>
      </c>
      <c r="C7" s="232">
        <f>'Fremtind Livsforsikring'!C7+'Danica Pensjonsforsikring'!C7+'DNB Livsforsikring'!C7+'Eika Forsikring AS'!C7+'Frende Livsforsikring'!C7+'Frende Skadeforsikring'!C7+'Gjensidige Forsikring'!C7+'Gjensidige Pensjon'!C7+'Handelsbanken Liv'!C7+'If Skadeforsikring NUF'!C7+KLP!C7+'KLP Skadeforsikring AS'!C7+'Landkreditt Forsikring'!C7+Insr!C7+'Nordea Liv '!C7+'Oslo Pensjonsforsikring'!C7+'Protector Forsikring'!C7+'SHB Liv'!C7+'Sparebank 1'!C7+'Storebrand Livsforsikring'!C7+'Telenor Forsikring'!C7+'Tryg Forsikring'!C7+'WaterCircles F'!C7+'Codan Forsikring'!C7+'Euro Accident'!C7+'Youplus Livsforsikring'!C7</f>
        <v>1733602.9790164691</v>
      </c>
      <c r="D7" s="159">
        <f t="shared" ref="D7:D12" si="0">IF(B7=0, "    ---- ", IF(ABS(ROUND(100/B7*C7-100,1))&lt;999,ROUND(100/B7*C7-100,1),IF(ROUND(100/B7*C7-100,1)&gt;999,999,-999)))</f>
        <v>2.9</v>
      </c>
      <c r="E7" s="232">
        <f>'Fremtind Livsforsikring'!F7+'Danica Pensjonsforsikring'!F7+'DNB Livsforsikring'!F7+'Eika Forsikring AS'!F7+'Frende Livsforsikring'!F7+'Frende Skadeforsikring'!F7+'Gjensidige Forsikring'!F7+'Gjensidige Pensjon'!F7+'Handelsbanken Liv'!F7+'If Skadeforsikring NUF'!F7+KLP!F7+'KLP Skadeforsikring AS'!F7+'Landkreditt Forsikring'!F7+Insr!F7+'Nordea Liv '!F7+'Oslo Pensjonsforsikring'!F7+'Protector Forsikring'!F7+'SHB Liv'!F7+'Sparebank 1'!F7+'Storebrand Livsforsikring'!F7+'Telenor Forsikring'!F7+'Tryg Forsikring'!F7+'WaterCircles F'!F7+'Codan Forsikring'!F7+'Euro Accident'!F7+'Youplus Livsforsikring'!F7</f>
        <v>3902556.8295499999</v>
      </c>
      <c r="F7" s="232">
        <f>'Fremtind Livsforsikring'!G7+'Danica Pensjonsforsikring'!G7+'DNB Livsforsikring'!G7+'Eika Forsikring AS'!G7+'Frende Livsforsikring'!G7+'Frende Skadeforsikring'!G7+'Gjensidige Forsikring'!G7+'Gjensidige Pensjon'!G7+'Handelsbanken Liv'!G7+'If Skadeforsikring NUF'!G7+KLP!G7+'KLP Skadeforsikring AS'!G7+'Landkreditt Forsikring'!G7+Insr!G7+'Nordea Liv '!G7+'Oslo Pensjonsforsikring'!G7+'Protector Forsikring'!G7+'SHB Liv'!G7+'Sparebank 1'!G7+'Storebrand Livsforsikring'!G7+'Telenor Forsikring'!G7+'Tryg Forsikring'!G7+'WaterCircles F'!G7+'Codan Forsikring'!G7+'Euro Accident'!G7+'Youplus Livsforsikring'!G7</f>
        <v>3435021.29073</v>
      </c>
      <c r="G7" s="159">
        <f t="shared" ref="G7:G12" si="1">IF(E7=0, "    ---- ", IF(ABS(ROUND(100/E7*F7-100,1))&lt;999,ROUND(100/E7*F7-100,1),IF(ROUND(100/E7*F7-100,1)&gt;999,999,-999)))</f>
        <v>-12</v>
      </c>
      <c r="H7" s="273">
        <f t="shared" ref="H7:H12" si="2">B7+E7</f>
        <v>5587654.81624314</v>
      </c>
      <c r="I7" s="274">
        <f t="shared" ref="I7:I12" si="3">C7+F7</f>
        <v>5168624.2697464693</v>
      </c>
      <c r="J7" s="170">
        <f t="shared" ref="J7:J12" si="4">IF(H7=0, "    ---- ", IF(ABS(ROUND(100/H7*I7-100,1))&lt;999,ROUND(100/H7*I7-100,1),IF(ROUND(100/H7*I7-100,1)&gt;999,999,-999)))</f>
        <v>-7.5</v>
      </c>
      <c r="M7" s="406"/>
      <c r="N7" s="406"/>
    </row>
    <row r="8" spans="1:14" ht="15.75" customHeight="1" x14ac:dyDescent="0.2">
      <c r="A8" s="21" t="s">
        <v>25</v>
      </c>
      <c r="B8" s="44">
        <f>'Fremtind Livsforsikring'!B8+'Danica Pensjonsforsikring'!B8+'DNB Livsforsikring'!B8+'Eika Forsikring AS'!B8+'Frende Livsforsikring'!B8+'Frende Skadeforsikring'!B8+'Gjensidige Forsikring'!B8+'Gjensidige Pensjon'!B8+'Handelsbanken Liv'!B8+'If Skadeforsikring NUF'!B8+KLP!B8+'KLP Skadeforsikring AS'!B8+'Landkreditt Forsikring'!B8+Insr!B8+'Nordea Liv '!B8+'Oslo Pensjonsforsikring'!B8+'Protector Forsikring'!B8+'SHB Liv'!B8+'Sparebank 1'!B8+'Storebrand Livsforsikring'!B8+'Telenor Forsikring'!B8+'Tryg Forsikring'!B8+'WaterCircles F'!B8+'Codan Forsikring'!B8+'Euro Accident'!B8+'Youplus Livsforsikring'!B8</f>
        <v>1140243.3580904794</v>
      </c>
      <c r="C8" s="44">
        <f>'Fremtind Livsforsikring'!C8+'Danica Pensjonsforsikring'!C8+'DNB Livsforsikring'!C8+'Eika Forsikring AS'!C8+'Frende Livsforsikring'!C8+'Frende Skadeforsikring'!C8+'Gjensidige Forsikring'!C8+'Gjensidige Pensjon'!C8+'Handelsbanken Liv'!C8+'If Skadeforsikring NUF'!C8+KLP!C8+'KLP Skadeforsikring AS'!C8+'Landkreditt Forsikring'!C8+Insr!C8+'Nordea Liv '!C8+'Oslo Pensjonsforsikring'!C8+'Protector Forsikring'!C8+'SHB Liv'!C8+'Sparebank 1'!C8+'Storebrand Livsforsikring'!C8+'Telenor Forsikring'!C8+'Tryg Forsikring'!C8+'WaterCircles F'!C8+'Codan Forsikring'!C8+'Euro Accident'!C8+'Youplus Livsforsikring'!C8</f>
        <v>1162996.7122881413</v>
      </c>
      <c r="D8" s="165">
        <f t="shared" si="0"/>
        <v>2</v>
      </c>
      <c r="E8" s="281"/>
      <c r="F8" s="281"/>
      <c r="G8" s="174"/>
      <c r="H8" s="186">
        <f t="shared" si="2"/>
        <v>1140243.3580904794</v>
      </c>
      <c r="I8" s="187">
        <f t="shared" si="3"/>
        <v>1162996.7122881413</v>
      </c>
      <c r="J8" s="170">
        <f t="shared" si="4"/>
        <v>2</v>
      </c>
    </row>
    <row r="9" spans="1:14" ht="15.75" customHeight="1" x14ac:dyDescent="0.2">
      <c r="A9" s="21" t="s">
        <v>24</v>
      </c>
      <c r="B9" s="44">
        <f>'Fremtind Livsforsikring'!B9+'Danica Pensjonsforsikring'!B9+'DNB Livsforsikring'!B9+'Eika Forsikring AS'!B9+'Frende Livsforsikring'!B9+'Frende Skadeforsikring'!B9+'Gjensidige Forsikring'!B9+'Gjensidige Pensjon'!B9+'Handelsbanken Liv'!B9+'If Skadeforsikring NUF'!B9+KLP!B9+'KLP Skadeforsikring AS'!B9+'Landkreditt Forsikring'!B9+Insr!B9+'Nordea Liv '!B9+'Oslo Pensjonsforsikring'!B9+'Protector Forsikring'!B9+'SHB Liv'!B9+'Sparebank 1'!B9+'Storebrand Livsforsikring'!B9+'Telenor Forsikring'!B9+'Tryg Forsikring'!B9+'WaterCircles F'!B9+'Codan Forsikring'!B9+'Euro Accident'!B9+'Youplus Livsforsikring'!B9</f>
        <v>356666.77619966032</v>
      </c>
      <c r="C9" s="44">
        <f>'Fremtind Livsforsikring'!C9+'Danica Pensjonsforsikring'!C9+'DNB Livsforsikring'!C9+'Eika Forsikring AS'!C9+'Frende Livsforsikring'!C9+'Frende Skadeforsikring'!C9+'Gjensidige Forsikring'!C9+'Gjensidige Pensjon'!C9+'Handelsbanken Liv'!C9+'If Skadeforsikring NUF'!C9+KLP!C9+'KLP Skadeforsikring AS'!C9+'Landkreditt Forsikring'!C9+Insr!C9+'Nordea Liv '!C9+'Oslo Pensjonsforsikring'!C9+'Protector Forsikring'!C9+'SHB Liv'!C9+'Sparebank 1'!C9+'Storebrand Livsforsikring'!C9+'Telenor Forsikring'!C9+'Tryg Forsikring'!C9+'WaterCircles F'!C9+'Codan Forsikring'!C9+'Euro Accident'!C9+'Youplus Livsforsikring'!C9</f>
        <v>361663.06589123519</v>
      </c>
      <c r="D9" s="174">
        <f t="shared" si="0"/>
        <v>1.4</v>
      </c>
      <c r="E9" s="281"/>
      <c r="F9" s="281"/>
      <c r="G9" s="174"/>
      <c r="H9" s="186">
        <f t="shared" si="2"/>
        <v>356666.77619966032</v>
      </c>
      <c r="I9" s="187">
        <f t="shared" si="3"/>
        <v>361663.06589123519</v>
      </c>
      <c r="J9" s="170">
        <f t="shared" si="4"/>
        <v>1.4</v>
      </c>
    </row>
    <row r="10" spans="1:14" s="43" customFormat="1" ht="15.75" customHeight="1" x14ac:dyDescent="0.2">
      <c r="A10" s="39" t="s">
        <v>359</v>
      </c>
      <c r="B10" s="232">
        <f>'Fremtind Livsforsikring'!B10+'Danica Pensjonsforsikring'!B10+'DNB Livsforsikring'!B10+'Eika Forsikring AS'!B10+'Frende Livsforsikring'!B10+'Frende Skadeforsikring'!B10+'Gjensidige Forsikring'!B10+'Gjensidige Pensjon'!B10+'Handelsbanken Liv'!B10+'If Skadeforsikring NUF'!B10+KLP!B10+'KLP Skadeforsikring AS'!B10+'Landkreditt Forsikring'!B10+Insr!B10+'Nordea Liv '!B10+'Oslo Pensjonsforsikring'!B10+'Protector Forsikring'!B10+'SHB Liv'!B10+'Sparebank 1'!B10+'Storebrand Livsforsikring'!B10+'Telenor Forsikring'!B10+'Tryg Forsikring'!B10+'WaterCircles F'!B10+'Codan Forsikring'!B10+'Euro Accident'!B10+'Youplus Livsforsikring'!B10</f>
        <v>17645344.147628192</v>
      </c>
      <c r="C10" s="232">
        <f>'Fremtind Livsforsikring'!C10+'Danica Pensjonsforsikring'!C10+'DNB Livsforsikring'!C10+'Eika Forsikring AS'!C10+'Frende Livsforsikring'!C10+'Frende Skadeforsikring'!C10+'Gjensidige Forsikring'!C10+'Gjensidige Pensjon'!C10+'Handelsbanken Liv'!C10+'If Skadeforsikring NUF'!C10+KLP!C10+'KLP Skadeforsikring AS'!C10+'Landkreditt Forsikring'!C10+Insr!C10+'Nordea Liv '!C10+'Oslo Pensjonsforsikring'!C10+'Protector Forsikring'!C10+'SHB Liv'!C10+'Sparebank 1'!C10+'Storebrand Livsforsikring'!C10+'Telenor Forsikring'!C10+'Tryg Forsikring'!C10+'WaterCircles F'!C10+'Codan Forsikring'!C10+'Euro Accident'!C10+'Youplus Livsforsikring'!C10</f>
        <v>16406101.241744703</v>
      </c>
      <c r="D10" s="159">
        <f t="shared" si="0"/>
        <v>-7</v>
      </c>
      <c r="E10" s="232">
        <f>'Fremtind Livsforsikring'!F10+'Danica Pensjonsforsikring'!F10+'DNB Livsforsikring'!F10+'Eika Forsikring AS'!F10+'Frende Livsforsikring'!F10+'Frende Skadeforsikring'!F10+'Gjensidige Forsikring'!F10+'Gjensidige Pensjon'!F10+'Handelsbanken Liv'!F10+'If Skadeforsikring NUF'!F10+KLP!F10+'KLP Skadeforsikring AS'!F10+'Landkreditt Forsikring'!F10+Insr!F10+'Nordea Liv '!F10+'Oslo Pensjonsforsikring'!F10+'Protector Forsikring'!F10+'SHB Liv'!F10+'Sparebank 1'!F10+'Storebrand Livsforsikring'!F10+'Telenor Forsikring'!F10+'Tryg Forsikring'!F10+'WaterCircles F'!F10+'Codan Forsikring'!F10+'Euro Accident'!F10+'Youplus Livsforsikring'!F10</f>
        <v>65234172.387540609</v>
      </c>
      <c r="F10" s="232">
        <f>'Fremtind Livsforsikring'!G10+'Danica Pensjonsforsikring'!G10+'DNB Livsforsikring'!G10+'Eika Forsikring AS'!G10+'Frende Livsforsikring'!G10+'Frende Skadeforsikring'!G10+'Gjensidige Forsikring'!G10+'Gjensidige Pensjon'!G10+'Handelsbanken Liv'!G10+'If Skadeforsikring NUF'!G10+KLP!G10+'KLP Skadeforsikring AS'!G10+'Landkreditt Forsikring'!G10+Insr!G10+'Nordea Liv '!G10+'Oslo Pensjonsforsikring'!G10+'Protector Forsikring'!G10+'SHB Liv'!G10+'Sparebank 1'!G10+'Storebrand Livsforsikring'!G10+'Telenor Forsikring'!G10+'Tryg Forsikring'!G10+'WaterCircles F'!G10+'Codan Forsikring'!G10+'Euro Accident'!G10+'Youplus Livsforsikring'!G10</f>
        <v>74929242.276765004</v>
      </c>
      <c r="G10" s="159">
        <f t="shared" si="1"/>
        <v>14.9</v>
      </c>
      <c r="H10" s="273">
        <f t="shared" si="2"/>
        <v>82879516.535168797</v>
      </c>
      <c r="I10" s="274">
        <f t="shared" si="3"/>
        <v>91335343.518509701</v>
      </c>
      <c r="J10" s="170">
        <f t="shared" si="4"/>
        <v>10.199999999999999</v>
      </c>
    </row>
    <row r="11" spans="1:14" s="43" customFormat="1" ht="15.75" customHeight="1" x14ac:dyDescent="0.2">
      <c r="A11" s="39" t="s">
        <v>360</v>
      </c>
      <c r="B11" s="232">
        <f>'Fremtind Livsforsikring'!B11+'Danica Pensjonsforsikring'!B11+'DNB Livsforsikring'!B11+'Eika Forsikring AS'!B11+'Frende Livsforsikring'!B11+'Frende Skadeforsikring'!B11+'Gjensidige Forsikring'!B11+'Gjensidige Pensjon'!B11+'Handelsbanken Liv'!B11+'If Skadeforsikring NUF'!B11+KLP!B11+'KLP Skadeforsikring AS'!B11+'Landkreditt Forsikring'!B11+Insr!B11+'Nordea Liv '!B11+'Oslo Pensjonsforsikring'!B11+'Protector Forsikring'!B11+'SHB Liv'!B11+'Sparebank 1'!B11+'Storebrand Livsforsikring'!B11+'Telenor Forsikring'!B11+'Tryg Forsikring'!B11+'WaterCircles F'!B11+'Codan Forsikring'!B11+'Euro Accident'!B11+'Youplus Livsforsikring'!B11</f>
        <v>8831</v>
      </c>
      <c r="C11" s="232">
        <f>'Fremtind Livsforsikring'!C11+'Danica Pensjonsforsikring'!C11+'DNB Livsforsikring'!C11+'Eika Forsikring AS'!C11+'Frende Livsforsikring'!C11+'Frende Skadeforsikring'!C11+'Gjensidige Forsikring'!C11+'Gjensidige Pensjon'!C11+'Handelsbanken Liv'!C11+'If Skadeforsikring NUF'!C11+KLP!C11+'KLP Skadeforsikring AS'!C11+'Landkreditt Forsikring'!C11+Insr!C11+'Nordea Liv '!C11+'Oslo Pensjonsforsikring'!C11+'Protector Forsikring'!C11+'SHB Liv'!C11+'Sparebank 1'!C11+'Storebrand Livsforsikring'!C11+'Telenor Forsikring'!C11+'Tryg Forsikring'!C11+'WaterCircles F'!C11+'Codan Forsikring'!C11+'Euro Accident'!C11+'Youplus Livsforsikring'!C11</f>
        <v>16931.237000000001</v>
      </c>
      <c r="D11" s="170">
        <f t="shared" si="0"/>
        <v>91.7</v>
      </c>
      <c r="E11" s="232">
        <f>'Fremtind Livsforsikring'!F11+'Danica Pensjonsforsikring'!F11+'DNB Livsforsikring'!F11+'Eika Forsikring AS'!F11+'Frende Livsforsikring'!F11+'Frende Skadeforsikring'!F11+'Gjensidige Forsikring'!F11+'Gjensidige Pensjon'!F11+'Handelsbanken Liv'!F11+'If Skadeforsikring NUF'!F11+KLP!F11+'KLP Skadeforsikring AS'!F11+'Landkreditt Forsikring'!F11+Insr!F11+'Nordea Liv '!F11+'Oslo Pensjonsforsikring'!F11+'Protector Forsikring'!F11+'SHB Liv'!F11+'Sparebank 1'!F11+'Storebrand Livsforsikring'!F11+'Telenor Forsikring'!F11+'Tryg Forsikring'!F11+'WaterCircles F'!F11+'Codan Forsikring'!F11+'Euro Accident'!F11+'Youplus Livsforsikring'!F11</f>
        <v>107247.28422</v>
      </c>
      <c r="F11" s="232">
        <f>'Fremtind Livsforsikring'!G11+'Danica Pensjonsforsikring'!G11+'DNB Livsforsikring'!G11+'Eika Forsikring AS'!G11+'Frende Livsforsikring'!G11+'Frende Skadeforsikring'!G11+'Gjensidige Forsikring'!G11+'Gjensidige Pensjon'!G11+'Handelsbanken Liv'!G11+'If Skadeforsikring NUF'!G11+KLP!G11+'KLP Skadeforsikring AS'!G11+'Landkreditt Forsikring'!G11+Insr!G11+'Nordea Liv '!G11+'Oslo Pensjonsforsikring'!G11+'Protector Forsikring'!G11+'SHB Liv'!G11+'Sparebank 1'!G11+'Storebrand Livsforsikring'!G11+'Telenor Forsikring'!G11+'Tryg Forsikring'!G11+'WaterCircles F'!G11+'Codan Forsikring'!G11+'Euro Accident'!G11+'Youplus Livsforsikring'!G11</f>
        <v>299622.72640000004</v>
      </c>
      <c r="G11" s="170">
        <f t="shared" si="1"/>
        <v>179.4</v>
      </c>
      <c r="H11" s="273">
        <f t="shared" si="2"/>
        <v>116078.28422</v>
      </c>
      <c r="I11" s="274">
        <f t="shared" si="3"/>
        <v>316553.96340000007</v>
      </c>
      <c r="J11" s="170">
        <f t="shared" si="4"/>
        <v>172.7</v>
      </c>
    </row>
    <row r="12" spans="1:14" s="43" customFormat="1" ht="15.75" customHeight="1" x14ac:dyDescent="0.2">
      <c r="A12" s="556" t="s">
        <v>361</v>
      </c>
      <c r="B12" s="272">
        <f>'Fremtind Livsforsikring'!B12+'Danica Pensjonsforsikring'!B12+'DNB Livsforsikring'!B12+'Eika Forsikring AS'!B12+'Frende Livsforsikring'!B12+'Frende Skadeforsikring'!B12+'Gjensidige Forsikring'!B12+'Gjensidige Pensjon'!B12+'Handelsbanken Liv'!B12+'If Skadeforsikring NUF'!B12+KLP!B12+'KLP Skadeforsikring AS'!B12+'Landkreditt Forsikring'!B12+Insr!B12+'Nordea Liv '!B12+'Oslo Pensjonsforsikring'!B12+'Protector Forsikring'!B12+'SHB Liv'!B12+'Sparebank 1'!B12+'Storebrand Livsforsikring'!B12+'Telenor Forsikring'!B12+'Tryg Forsikring'!B12+'WaterCircles F'!B12+'Codan Forsikring'!B12+'Euro Accident'!B12+'Youplus Livsforsikring'!B12</f>
        <v>3501</v>
      </c>
      <c r="C12" s="272">
        <f>'Fremtind Livsforsikring'!C12+'Danica Pensjonsforsikring'!C12+'DNB Livsforsikring'!C12+'Eika Forsikring AS'!C12+'Frende Livsforsikring'!C12+'Frende Skadeforsikring'!C12+'Gjensidige Forsikring'!C12+'Gjensidige Pensjon'!C12+'Handelsbanken Liv'!C12+'If Skadeforsikring NUF'!C12+KLP!C12+'KLP Skadeforsikring AS'!C12+'Landkreditt Forsikring'!C12+Insr!C12+'Nordea Liv '!C12+'Oslo Pensjonsforsikring'!C12+'Protector Forsikring'!C12+'SHB Liv'!C12+'Sparebank 1'!C12+'Storebrand Livsforsikring'!C12+'Telenor Forsikring'!C12+'Tryg Forsikring'!C12+'WaterCircles F'!C12+'Codan Forsikring'!C12+'Euro Accident'!C12+'Youplus Livsforsikring'!C12</f>
        <v>1556.90915</v>
      </c>
      <c r="D12" s="169">
        <f t="shared" si="0"/>
        <v>-55.5</v>
      </c>
      <c r="E12" s="272">
        <f>'Fremtind Livsforsikring'!F12+'Danica Pensjonsforsikring'!F12+'DNB Livsforsikring'!F12+'Eika Forsikring AS'!F12+'Frende Livsforsikring'!F12+'Frende Skadeforsikring'!F12+'Gjensidige Forsikring'!F12+'Gjensidige Pensjon'!F12+'Handelsbanken Liv'!F12+'If Skadeforsikring NUF'!F12+KLP!F12+'KLP Skadeforsikring AS'!F12+'Landkreditt Forsikring'!F12+Insr!F12+'Nordea Liv '!F12+'Oslo Pensjonsforsikring'!F12+'Protector Forsikring'!F12+'SHB Liv'!F12+'Sparebank 1'!F12+'Storebrand Livsforsikring'!F12+'Telenor Forsikring'!F12+'Tryg Forsikring'!F12+'WaterCircles F'!F12+'Codan Forsikring'!F12+'Euro Accident'!F12+'Youplus Livsforsikring'!F12</f>
        <v>48180.42136</v>
      </c>
      <c r="F12" s="272">
        <f>'Fremtind Livsforsikring'!G12+'Danica Pensjonsforsikring'!G12+'DNB Livsforsikring'!G12+'Eika Forsikring AS'!G12+'Frende Livsforsikring'!G12+'Frende Skadeforsikring'!G12+'Gjensidige Forsikring'!G12+'Gjensidige Pensjon'!G12+'Handelsbanken Liv'!G12+'If Skadeforsikring NUF'!G12+KLP!G12+'KLP Skadeforsikring AS'!G12+'Landkreditt Forsikring'!G12+Insr!G12+'Nordea Liv '!G12+'Oslo Pensjonsforsikring'!G12+'Protector Forsikring'!G12+'SHB Liv'!G12+'Sparebank 1'!G12+'Storebrand Livsforsikring'!G12+'Telenor Forsikring'!G12+'Tryg Forsikring'!G12+'WaterCircles F'!G12+'Codan Forsikring'!G12+'Euro Accident'!G12+'Youplus Livsforsikring'!G12</f>
        <v>53972.81237</v>
      </c>
      <c r="G12" s="168">
        <f t="shared" si="1"/>
        <v>12</v>
      </c>
      <c r="H12" s="275">
        <f t="shared" si="2"/>
        <v>51681.42136</v>
      </c>
      <c r="I12" s="276">
        <f t="shared" si="3"/>
        <v>55529.721519999999</v>
      </c>
      <c r="J12" s="168">
        <f t="shared" si="4"/>
        <v>7.4</v>
      </c>
    </row>
    <row r="13" spans="1:14" s="43" customFormat="1" ht="15.75" customHeight="1" x14ac:dyDescent="0.2">
      <c r="A13" s="167"/>
      <c r="B13" s="35"/>
      <c r="C13" s="5"/>
      <c r="D13" s="32"/>
      <c r="E13" s="35"/>
      <c r="F13" s="5"/>
      <c r="G13" s="32"/>
      <c r="H13" s="48"/>
      <c r="I13" s="48"/>
      <c r="J13" s="32"/>
    </row>
    <row r="14" spans="1:14" ht="15.75" customHeight="1" x14ac:dyDescent="0.2">
      <c r="A14" s="152" t="s">
        <v>269</v>
      </c>
    </row>
    <row r="15" spans="1:14" ht="15.75" customHeight="1" x14ac:dyDescent="0.2">
      <c r="A15" s="149"/>
      <c r="E15" s="7"/>
      <c r="F15" s="7"/>
      <c r="G15" s="7"/>
      <c r="H15" s="7"/>
      <c r="I15" s="7"/>
      <c r="J15" s="7"/>
    </row>
    <row r="16" spans="1:14" s="3" customFormat="1" ht="15.75" customHeight="1" x14ac:dyDescent="0.25">
      <c r="A16" s="163"/>
      <c r="C16" s="30"/>
      <c r="D16" s="30"/>
      <c r="E16" s="30"/>
      <c r="F16" s="30"/>
      <c r="G16" s="30"/>
      <c r="H16" s="30"/>
      <c r="I16" s="30"/>
      <c r="J16" s="30"/>
    </row>
    <row r="17" spans="1:14" ht="15.75" customHeight="1" x14ac:dyDescent="0.25">
      <c r="A17" s="147" t="s">
        <v>266</v>
      </c>
      <c r="B17" s="28"/>
      <c r="C17" s="28"/>
      <c r="D17" s="29"/>
      <c r="E17" s="28"/>
      <c r="F17" s="28"/>
      <c r="G17" s="28"/>
      <c r="H17" s="28"/>
      <c r="I17" s="28"/>
      <c r="J17" s="28"/>
    </row>
    <row r="18" spans="1:14" ht="15.75" customHeight="1" x14ac:dyDescent="0.25">
      <c r="A18" s="149"/>
      <c r="B18" s="719"/>
      <c r="C18" s="719"/>
      <c r="D18" s="719"/>
      <c r="E18" s="719"/>
      <c r="F18" s="719"/>
      <c r="G18" s="719"/>
      <c r="H18" s="719"/>
      <c r="I18" s="719"/>
      <c r="J18" s="719"/>
    </row>
    <row r="19" spans="1:14" ht="15.75" customHeight="1" x14ac:dyDescent="0.2">
      <c r="A19" s="144"/>
      <c r="B19" s="720" t="s">
        <v>0</v>
      </c>
      <c r="C19" s="721"/>
      <c r="D19" s="721"/>
      <c r="E19" s="720" t="s">
        <v>1</v>
      </c>
      <c r="F19" s="721"/>
      <c r="G19" s="722"/>
      <c r="H19" s="721" t="s">
        <v>2</v>
      </c>
      <c r="I19" s="721"/>
      <c r="J19" s="722"/>
    </row>
    <row r="20" spans="1:14" ht="15.75" customHeight="1" x14ac:dyDescent="0.2">
      <c r="A20" s="140" t="s">
        <v>5</v>
      </c>
      <c r="B20" s="20">
        <v>44286</v>
      </c>
      <c r="C20" s="20">
        <v>44651</v>
      </c>
      <c r="D20" s="245" t="s">
        <v>3</v>
      </c>
      <c r="E20" s="20">
        <v>44286</v>
      </c>
      <c r="F20" s="20">
        <v>44651</v>
      </c>
      <c r="G20" s="245" t="s">
        <v>3</v>
      </c>
      <c r="H20" s="20">
        <v>44286</v>
      </c>
      <c r="I20" s="20">
        <v>44651</v>
      </c>
      <c r="J20" s="245" t="s">
        <v>3</v>
      </c>
    </row>
    <row r="21" spans="1:14" ht="15.75" customHeight="1" x14ac:dyDescent="0.2">
      <c r="A21" s="701"/>
      <c r="B21" s="15"/>
      <c r="C21" s="15"/>
      <c r="D21" s="17" t="s">
        <v>4</v>
      </c>
      <c r="E21" s="16"/>
      <c r="F21" s="16"/>
      <c r="G21" s="15" t="s">
        <v>4</v>
      </c>
      <c r="H21" s="16"/>
      <c r="I21" s="16"/>
      <c r="J21" s="15" t="s">
        <v>4</v>
      </c>
    </row>
    <row r="22" spans="1:14" s="43" customFormat="1" ht="15.75" customHeight="1" x14ac:dyDescent="0.2">
      <c r="A22" s="14" t="s">
        <v>23</v>
      </c>
      <c r="B22" s="232">
        <f>'Fremtind Livsforsikring'!B22+'Danica Pensjonsforsikring'!B22+'DNB Livsforsikring'!B22+'Eika Forsikring AS'!B22+'Frende Livsforsikring'!B22+'Frende Skadeforsikring'!B22+'Gjensidige Forsikring'!B22+'Gjensidige Pensjon'!B22+'Handelsbanken Liv'!B22+'If Skadeforsikring NUF'!B22+KLP!B22+'KLP Skadeforsikring AS'!B22+'Landkreditt Forsikring'!B22+Insr!B22+'Nordea Liv '!B22+'Oslo Pensjonsforsikring'!B22+'Protector Forsikring'!B22+'SHB Liv'!B22+'Sparebank 1'!B22+'Storebrand Livsforsikring'!B22+'Telenor Forsikring'!B22+'Tryg Forsikring'!B22+'WaterCircles F'!B22+'Codan Forsikring'!B22+'Euro Accident'!B22+'Youplus Livsforsikring'!B22</f>
        <v>681115.47334000003</v>
      </c>
      <c r="C22" s="232">
        <f>'Fremtind Livsforsikring'!C22+'Danica Pensjonsforsikring'!C22+'DNB Livsforsikring'!C22+'Eika Forsikring AS'!C22+'Frende Livsforsikring'!C22+'Frende Skadeforsikring'!C22+'Gjensidige Forsikring'!C22+'Gjensidige Pensjon'!C22+'Handelsbanken Liv'!C22+'If Skadeforsikring NUF'!C22+KLP!C22+'KLP Skadeforsikring AS'!C22+'Landkreditt Forsikring'!C22+Insr!C22+'Nordea Liv '!C22+'Oslo Pensjonsforsikring'!C22+'Protector Forsikring'!C22+'SHB Liv'!C22+'Sparebank 1'!C22+'Storebrand Livsforsikring'!C22+'Telenor Forsikring'!C22+'Tryg Forsikring'!C22+'WaterCircles F'!C22+'Codan Forsikring'!C22+'Euro Accident'!C22+'Youplus Livsforsikring'!C22</f>
        <v>761140.55146032688</v>
      </c>
      <c r="D22" s="11">
        <f t="shared" ref="D22:D39" si="5">IF(B22=0, "    ---- ", IF(ABS(ROUND(100/B22*C22-100,1))&lt;999,ROUND(100/B22*C22-100,1),IF(ROUND(100/B22*C22-100,1)&gt;999,999,-999)))</f>
        <v>11.7</v>
      </c>
      <c r="E22" s="232">
        <f>'Fremtind Livsforsikring'!F22+'Danica Pensjonsforsikring'!F22+'DNB Livsforsikring'!F22+'Eika Forsikring AS'!F22+'Frende Livsforsikring'!F22+'Frende Skadeforsikring'!F22+'Gjensidige Forsikring'!F22+'Gjensidige Pensjon'!F22+'Handelsbanken Liv'!F22+'If Skadeforsikring NUF'!F22+KLP!F22+'KLP Skadeforsikring AS'!F22+'Landkreditt Forsikring'!F22+Insr!F22+'Nordea Liv '!F22+'Oslo Pensjonsforsikring'!F22+'Protector Forsikring'!F22+'SHB Liv'!F22+'Sparebank 1'!F22+'Storebrand Livsforsikring'!F22+'Telenor Forsikring'!F22+'Tryg Forsikring'!F22+'WaterCircles F'!F22+'Codan Forsikring'!F22+'Euro Accident'!F22+'Youplus Livsforsikring'!F22</f>
        <v>423299.74570999999</v>
      </c>
      <c r="F22" s="232">
        <f>'Fremtind Livsforsikring'!G22+'Danica Pensjonsforsikring'!G22+'DNB Livsforsikring'!G22+'Eika Forsikring AS'!G22+'Frende Livsforsikring'!G22+'Frende Skadeforsikring'!G22+'Gjensidige Forsikring'!G22+'Gjensidige Pensjon'!G22+'Handelsbanken Liv'!G22+'If Skadeforsikring NUF'!G22+KLP!G22+'KLP Skadeforsikring AS'!G22+'Landkreditt Forsikring'!G22+Insr!G22+'Nordea Liv '!G22+'Oslo Pensjonsforsikring'!G22+'Protector Forsikring'!G22+'SHB Liv'!G22+'Sparebank 1'!G22+'Storebrand Livsforsikring'!G22+'Telenor Forsikring'!G22+'Tryg Forsikring'!G22+'WaterCircles F'!G22+'Codan Forsikring'!G22+'Euro Accident'!G22+'Youplus Livsforsikring'!G22</f>
        <v>273386.00956999999</v>
      </c>
      <c r="G22" s="340">
        <f t="shared" ref="G22:G35" si="6">IF(E22=0, "    ---- ", IF(ABS(ROUND(100/E22*F22-100,1))&lt;999,ROUND(100/E22*F22-100,1),IF(ROUND(100/E22*F22-100,1)&gt;999,999,-999)))</f>
        <v>-35.4</v>
      </c>
      <c r="H22" s="301">
        <f>SUM(B22,E22)</f>
        <v>1104415.21905</v>
      </c>
      <c r="I22" s="232">
        <f t="shared" ref="I22:I39" si="7">SUM(C22,F22)</f>
        <v>1034526.5610303269</v>
      </c>
      <c r="J22" s="24">
        <f t="shared" ref="J22:J39" si="8">IF(H22=0, "    ---- ", IF(ABS(ROUND(100/H22*I22-100,1))&lt;999,ROUND(100/H22*I22-100,1),IF(ROUND(100/H22*I22-100,1)&gt;999,999,-999)))</f>
        <v>-6.3</v>
      </c>
    </row>
    <row r="23" spans="1:14" ht="15.75" customHeight="1" x14ac:dyDescent="0.2">
      <c r="A23" s="557" t="s">
        <v>362</v>
      </c>
      <c r="B23" s="44">
        <f>'Fremtind Livsforsikring'!B23+'Danica Pensjonsforsikring'!B23+'DNB Livsforsikring'!B23+'Eika Forsikring AS'!B23+'Frende Livsforsikring'!B23+'Frende Skadeforsikring'!B23+'Gjensidige Forsikring'!B23+'Gjensidige Pensjon'!B23+'Handelsbanken Liv'!B23+'If Skadeforsikring NUF'!B23+KLP!B23+'KLP Skadeforsikring AS'!B23+'Landkreditt Forsikring'!B23+Insr!B23+'Nordea Liv '!B23+'Oslo Pensjonsforsikring'!B23+'Protector Forsikring'!B23+'SHB Liv'!B23+'Sparebank 1'!B23+'Storebrand Livsforsikring'!B23+'Telenor Forsikring'!B23+'Tryg Forsikring'!B23+'WaterCircles F'!B23+'Codan Forsikring'!B23+'Euro Accident'!B23+'Youplus Livsforsikring'!B23</f>
        <v>333623.05459951604</v>
      </c>
      <c r="C23" s="44">
        <f>'Fremtind Livsforsikring'!C23+'Danica Pensjonsforsikring'!C23+'DNB Livsforsikring'!C23+'Eika Forsikring AS'!C23+'Frende Livsforsikring'!C23+'Frende Skadeforsikring'!C23+'Gjensidige Forsikring'!C23+'Gjensidige Pensjon'!C23+'Handelsbanken Liv'!C23+'If Skadeforsikring NUF'!C23+KLP!C23+'KLP Skadeforsikring AS'!C23+'Landkreditt Forsikring'!C23+Insr!C23+'Nordea Liv '!C23+'Oslo Pensjonsforsikring'!C23+'Protector Forsikring'!C23+'SHB Liv'!C23+'Sparebank 1'!C23+'Storebrand Livsforsikring'!C23+'Telenor Forsikring'!C23+'Tryg Forsikring'!C23+'WaterCircles F'!C23+'Codan Forsikring'!C23+'Euro Accident'!C23+'Youplus Livsforsikring'!C23</f>
        <v>360900.56698826113</v>
      </c>
      <c r="D23" s="27">
        <f>IF($A$1=4,IF(B23=0, "    ---- ", IF(ABS(ROUND(100/B23*C23-100,1))&lt;999,ROUND(100/B23*C23-100,1),IF(ROUND(100/B23*C23-100,1)&gt;999,999,-999))),"")</f>
        <v>8.1999999999999993</v>
      </c>
      <c r="E23" s="44">
        <f>'Fremtind Livsforsikring'!F23+'Danica Pensjonsforsikring'!F23+'DNB Livsforsikring'!F23+'Eika Forsikring AS'!F23+'Frende Livsforsikring'!F23+'Frende Skadeforsikring'!F23+'Gjensidige Forsikring'!F23+'Gjensidige Pensjon'!F23+'Handelsbanken Liv'!F23+'If Skadeforsikring NUF'!F23+KLP!F23+'KLP Skadeforsikring AS'!F23+'Landkreditt Forsikring'!F23+Insr!F23+'Nordea Liv '!F23+'Oslo Pensjonsforsikring'!F23+'Protector Forsikring'!F23+'SHB Liv'!F23+'Sparebank 1'!F23+'Storebrand Livsforsikring'!F23+'Telenor Forsikring'!F23+'Tryg Forsikring'!F23+'WaterCircles F'!F23+'Codan Forsikring'!F23+'Euro Accident'!F23+'Youplus Livsforsikring'!F23</f>
        <v>67303.909270000004</v>
      </c>
      <c r="F23" s="44">
        <f>'Fremtind Livsforsikring'!G23+'Danica Pensjonsforsikring'!G23+'DNB Livsforsikring'!G23+'Eika Forsikring AS'!G23+'Frende Livsforsikring'!G23+'Frende Skadeforsikring'!G23+'Gjensidige Forsikring'!G23+'Gjensidige Pensjon'!G23+'Handelsbanken Liv'!G23+'If Skadeforsikring NUF'!G23+KLP!G23+'KLP Skadeforsikring AS'!G23+'Landkreditt Forsikring'!G23+Insr!G23+'Nordea Liv '!G23+'Oslo Pensjonsforsikring'!G23+'Protector Forsikring'!G23+'SHB Liv'!G23+'Sparebank 1'!G23+'Storebrand Livsforsikring'!G23+'Telenor Forsikring'!G23+'Tryg Forsikring'!G23+'WaterCircles F'!G23+'Codan Forsikring'!G23+'Euro Accident'!G23+'Youplus Livsforsikring'!G23</f>
        <v>19132.956119999999</v>
      </c>
      <c r="G23" s="165">
        <f>IF($A$1=4,IF(E23=0, "    ---- ", IF(ABS(ROUND(100/E23*F23-100,1))&lt;999,ROUND(100/E23*F23-100,1),IF(ROUND(100/E23*F23-100,1)&gt;999,999,-999))),"")</f>
        <v>-71.599999999999994</v>
      </c>
      <c r="H23" s="230">
        <f t="shared" ref="H23:H39" si="9">SUM(B23,E23)</f>
        <v>400926.96386951604</v>
      </c>
      <c r="I23" s="44">
        <f t="shared" si="7"/>
        <v>380033.52310826111</v>
      </c>
      <c r="J23" s="23">
        <f t="shared" si="8"/>
        <v>-5.2</v>
      </c>
    </row>
    <row r="24" spans="1:14" ht="15.75" customHeight="1" x14ac:dyDescent="0.2">
      <c r="A24" s="557" t="s">
        <v>363</v>
      </c>
      <c r="B24" s="44">
        <f>'Fremtind Livsforsikring'!B24+'Danica Pensjonsforsikring'!B24+'DNB Livsforsikring'!B24+'Eika Forsikring AS'!B24+'Frende Livsforsikring'!B24+'Frende Skadeforsikring'!B24+'Gjensidige Forsikring'!B24+'Gjensidige Pensjon'!B24+'Handelsbanken Liv'!B24+'If Skadeforsikring NUF'!B24+KLP!B24+'KLP Skadeforsikring AS'!B24+'Landkreditt Forsikring'!B24+Insr!B24+'Nordea Liv '!B24+'Oslo Pensjonsforsikring'!B24+'Protector Forsikring'!B24+'SHB Liv'!B24+'Sparebank 1'!B24+'Storebrand Livsforsikring'!B24+'Telenor Forsikring'!B24+'Tryg Forsikring'!B24+'WaterCircles F'!B24+'Codan Forsikring'!B24+'Euro Accident'!B24+'Youplus Livsforsikring'!B24</f>
        <v>7420.9076661856407</v>
      </c>
      <c r="C24" s="44">
        <f>'Fremtind Livsforsikring'!C24+'Danica Pensjonsforsikring'!C24+'DNB Livsforsikring'!C24+'Eika Forsikring AS'!C24+'Frende Livsforsikring'!C24+'Frende Skadeforsikring'!C24+'Gjensidige Forsikring'!C24+'Gjensidige Pensjon'!C24+'Handelsbanken Liv'!C24+'If Skadeforsikring NUF'!C24+KLP!C24+'KLP Skadeforsikring AS'!C24+'Landkreditt Forsikring'!C24+Insr!C24+'Nordea Liv '!C24+'Oslo Pensjonsforsikring'!C24+'Protector Forsikring'!C24+'SHB Liv'!C24+'Sparebank 1'!C24+'Storebrand Livsforsikring'!C24+'Telenor Forsikring'!C24+'Tryg Forsikring'!C24+'WaterCircles F'!C24+'Codan Forsikring'!C24+'Euro Accident'!C24+'Youplus Livsforsikring'!C24</f>
        <v>4893.9427685989203</v>
      </c>
      <c r="D24" s="27">
        <f t="shared" ref="D24:D25" si="10">IF($A$1=4,IF(B24=0, "    ---- ", IF(ABS(ROUND(100/B24*C24-100,1))&lt;999,ROUND(100/B24*C24-100,1),IF(ROUND(100/B24*C24-100,1)&gt;999,999,-999))),"")</f>
        <v>-34.1</v>
      </c>
      <c r="E24" s="44">
        <f>'Fremtind Livsforsikring'!F24+'Danica Pensjonsforsikring'!F24+'DNB Livsforsikring'!F24+'Eika Forsikring AS'!F24+'Frende Livsforsikring'!F24+'Frende Skadeforsikring'!F24+'Gjensidige Forsikring'!F24+'Gjensidige Pensjon'!F24+'Handelsbanken Liv'!F24+'If Skadeforsikring NUF'!F24+KLP!F24+'KLP Skadeforsikring AS'!F24+'Landkreditt Forsikring'!F24+Insr!F24+'Nordea Liv '!F24+'Oslo Pensjonsforsikring'!F24+'Protector Forsikring'!F24+'SHB Liv'!F24+'Sparebank 1'!F24+'Storebrand Livsforsikring'!F24+'Telenor Forsikring'!F24+'Tryg Forsikring'!F24+'WaterCircles F'!F24+'Codan Forsikring'!F24+'Euro Accident'!F24+'Youplus Livsforsikring'!F24</f>
        <v>48.021039999999999</v>
      </c>
      <c r="F24" s="44">
        <f>'Fremtind Livsforsikring'!G24+'Danica Pensjonsforsikring'!G24+'DNB Livsforsikring'!G24+'Eika Forsikring AS'!G24+'Frende Livsforsikring'!G24+'Frende Skadeforsikring'!G24+'Gjensidige Forsikring'!G24+'Gjensidige Pensjon'!G24+'Handelsbanken Liv'!G24+'If Skadeforsikring NUF'!G24+KLP!G24+'KLP Skadeforsikring AS'!G24+'Landkreditt Forsikring'!G24+Insr!G24+'Nordea Liv '!G24+'Oslo Pensjonsforsikring'!G24+'Protector Forsikring'!G24+'SHB Liv'!G24+'Sparebank 1'!G24+'Storebrand Livsforsikring'!G24+'Telenor Forsikring'!G24+'Tryg Forsikring'!G24+'WaterCircles F'!G24+'Codan Forsikring'!G24+'Euro Accident'!G24+'Youplus Livsforsikring'!G24</f>
        <v>170.92162999999999</v>
      </c>
      <c r="G24" s="165">
        <f t="shared" ref="G24:G25" si="11">IF($A$1=4,IF(E24=0, "    ---- ", IF(ABS(ROUND(100/E24*F24-100,1))&lt;999,ROUND(100/E24*F24-100,1),IF(ROUND(100/E24*F24-100,1)&gt;999,999,-999))),"")</f>
        <v>255.9</v>
      </c>
      <c r="H24" s="230">
        <f t="shared" si="9"/>
        <v>7468.9287061856403</v>
      </c>
      <c r="I24" s="44">
        <f t="shared" si="7"/>
        <v>5064.8643985989202</v>
      </c>
      <c r="J24" s="11">
        <f t="shared" si="8"/>
        <v>-32.200000000000003</v>
      </c>
    </row>
    <row r="25" spans="1:14" ht="15.75" customHeight="1" x14ac:dyDescent="0.2">
      <c r="A25" s="557" t="s">
        <v>364</v>
      </c>
      <c r="B25" s="44">
        <f>'Fremtind Livsforsikring'!B25+'Danica Pensjonsforsikring'!B25+'DNB Livsforsikring'!B25+'Eika Forsikring AS'!B25+'Frende Livsforsikring'!B25+'Frende Skadeforsikring'!B25+'Gjensidige Forsikring'!B25+'Gjensidige Pensjon'!B25+'Handelsbanken Liv'!B25+'If Skadeforsikring NUF'!B25+KLP!B25+'KLP Skadeforsikring AS'!B25+'Landkreditt Forsikring'!B25+Insr!B25+'Nordea Liv '!B25+'Oslo Pensjonsforsikring'!B25+'Protector Forsikring'!B25+'SHB Liv'!B25+'Sparebank 1'!B25+'Storebrand Livsforsikring'!B25+'Telenor Forsikring'!B25+'Tryg Forsikring'!B25+'WaterCircles F'!B25+'Codan Forsikring'!B25+'Euro Accident'!B25+'Youplus Livsforsikring'!B25</f>
        <v>9838.6038042984001</v>
      </c>
      <c r="C25" s="44">
        <f>'Fremtind Livsforsikring'!C25+'Danica Pensjonsforsikring'!C25+'DNB Livsforsikring'!C25+'Eika Forsikring AS'!C25+'Frende Livsforsikring'!C25+'Frende Skadeforsikring'!C25+'Gjensidige Forsikring'!C25+'Gjensidige Pensjon'!C25+'Handelsbanken Liv'!C25+'If Skadeforsikring NUF'!C25+KLP!C25+'KLP Skadeforsikring AS'!C25+'Landkreditt Forsikring'!C25+Insr!C25+'Nordea Liv '!C25+'Oslo Pensjonsforsikring'!C25+'Protector Forsikring'!C25+'SHB Liv'!C25+'Sparebank 1'!C25+'Storebrand Livsforsikring'!C25+'Telenor Forsikring'!C25+'Tryg Forsikring'!C25+'WaterCircles F'!C25+'Codan Forsikring'!C25+'Euro Accident'!C25+'Youplus Livsforsikring'!C25</f>
        <v>7496.21141346685</v>
      </c>
      <c r="D25" s="27">
        <f t="shared" si="10"/>
        <v>-23.8</v>
      </c>
      <c r="E25" s="44">
        <f>'Fremtind Livsforsikring'!F25+'Danica Pensjonsforsikring'!F25+'DNB Livsforsikring'!F25+'Eika Forsikring AS'!F25+'Frende Livsforsikring'!F25+'Frende Skadeforsikring'!F25+'Gjensidige Forsikring'!F25+'Gjensidige Pensjon'!F25+'Handelsbanken Liv'!F25+'If Skadeforsikring NUF'!F25+KLP!F25+'KLP Skadeforsikring AS'!F25+'Landkreditt Forsikring'!F25+Insr!F25+'Nordea Liv '!F25+'Oslo Pensjonsforsikring'!F25+'Protector Forsikring'!F25+'SHB Liv'!F25+'Sparebank 1'!F25+'Storebrand Livsforsikring'!F25+'Telenor Forsikring'!F25+'Tryg Forsikring'!F25+'WaterCircles F'!F25+'Codan Forsikring'!F25+'Euro Accident'!F25+'Youplus Livsforsikring'!F25</f>
        <v>3662.7771299999999</v>
      </c>
      <c r="F25" s="44">
        <f>'Fremtind Livsforsikring'!G25+'Danica Pensjonsforsikring'!G25+'DNB Livsforsikring'!G25+'Eika Forsikring AS'!G25+'Frende Livsforsikring'!G25+'Frende Skadeforsikring'!G25+'Gjensidige Forsikring'!G25+'Gjensidige Pensjon'!G25+'Handelsbanken Liv'!G25+'If Skadeforsikring NUF'!G25+KLP!G25+'KLP Skadeforsikring AS'!G25+'Landkreditt Forsikring'!G25+Insr!G25+'Nordea Liv '!G25+'Oslo Pensjonsforsikring'!G25+'Protector Forsikring'!G25+'SHB Liv'!G25+'Sparebank 1'!G25+'Storebrand Livsforsikring'!G25+'Telenor Forsikring'!G25+'Tryg Forsikring'!G25+'WaterCircles F'!G25+'Codan Forsikring'!G25+'Euro Accident'!G25+'Youplus Livsforsikring'!G25</f>
        <v>4546.2729499999987</v>
      </c>
      <c r="G25" s="165">
        <f t="shared" si="11"/>
        <v>24.1</v>
      </c>
      <c r="H25" s="230">
        <f t="shared" si="9"/>
        <v>13501.3809342984</v>
      </c>
      <c r="I25" s="44">
        <f t="shared" si="7"/>
        <v>12042.484363466849</v>
      </c>
      <c r="J25" s="27">
        <f t="shared" si="8"/>
        <v>-10.8</v>
      </c>
    </row>
    <row r="26" spans="1:14" ht="15.75" customHeight="1" x14ac:dyDescent="0.2">
      <c r="A26" s="557" t="s">
        <v>365</v>
      </c>
      <c r="B26" s="44">
        <f>'Fremtind Livsforsikring'!B26+'Danica Pensjonsforsikring'!B26+'DNB Livsforsikring'!B26+'Eika Forsikring AS'!B26+'Frende Livsforsikring'!B26+'Frende Skadeforsikring'!B26+'Gjensidige Forsikring'!B26+'Gjensidige Pensjon'!B26+'Handelsbanken Liv'!B26+'If Skadeforsikring NUF'!B26+KLP!B26+'KLP Skadeforsikring AS'!B26+'Landkreditt Forsikring'!B26+Insr!B26+'Nordea Liv '!B26+'Oslo Pensjonsforsikring'!B26+'Protector Forsikring'!B26+'SHB Liv'!B26+'Sparebank 1'!B26+'Storebrand Livsforsikring'!B26+'Telenor Forsikring'!B26+'Tryg Forsikring'!B26+'WaterCircles F'!B26+'Codan Forsikring'!B26+'Euro Accident'!B26+'Youplus Livsforsikring'!B26</f>
        <v>0</v>
      </c>
      <c r="C26" s="44">
        <f>'Fremtind Livsforsikring'!C26+'Danica Pensjonsforsikring'!C26+'DNB Livsforsikring'!C26+'Eika Forsikring AS'!C26+'Frende Livsforsikring'!C26+'Frende Skadeforsikring'!C26+'Gjensidige Forsikring'!C26+'Gjensidige Pensjon'!C26+'Handelsbanken Liv'!C26+'If Skadeforsikring NUF'!C26+KLP!C26+'KLP Skadeforsikring AS'!C26+'Landkreditt Forsikring'!C26+Insr!C26+'Nordea Liv '!C26+'Oslo Pensjonsforsikring'!C26+'Protector Forsikring'!C26+'SHB Liv'!C26+'Sparebank 1'!C26+'Storebrand Livsforsikring'!C26+'Telenor Forsikring'!C26+'Tryg Forsikring'!C26+'WaterCircles F'!C26+'Codan Forsikring'!C26+'Euro Accident'!C26+'Youplus Livsforsikring'!C26</f>
        <v>0</v>
      </c>
      <c r="D26" s="27"/>
      <c r="E26" s="44">
        <f>'Fremtind Livsforsikring'!F26+'Danica Pensjonsforsikring'!F26+'DNB Livsforsikring'!F26+'Eika Forsikring AS'!F26+'Frende Livsforsikring'!F26+'Frende Skadeforsikring'!F26+'Gjensidige Forsikring'!F26+'Gjensidige Pensjon'!F26+'Handelsbanken Liv'!F26+'If Skadeforsikring NUF'!F26+KLP!F26+'KLP Skadeforsikring AS'!F26+'Landkreditt Forsikring'!F26+Insr!F26+'Nordea Liv '!F26+'Oslo Pensjonsforsikring'!F26+'Protector Forsikring'!F26+'SHB Liv'!F26+'Sparebank 1'!F26+'Storebrand Livsforsikring'!F26+'Telenor Forsikring'!F26+'Tryg Forsikring'!F26+'WaterCircles F'!F26+'Codan Forsikring'!F26+'Euro Accident'!F26+'Youplus Livsforsikring'!F26</f>
        <v>352285.03827000002</v>
      </c>
      <c r="F26" s="44">
        <f>'Fremtind Livsforsikring'!G26+'Danica Pensjonsforsikring'!G26+'DNB Livsforsikring'!G26+'Eika Forsikring AS'!G26+'Frende Livsforsikring'!G26+'Frende Skadeforsikring'!G26+'Gjensidige Forsikring'!G26+'Gjensidige Pensjon'!G26+'Handelsbanken Liv'!G26+'If Skadeforsikring NUF'!G26+KLP!G26+'KLP Skadeforsikring AS'!G26+'Landkreditt Forsikring'!G26+Insr!G26+'Nordea Liv '!G26+'Oslo Pensjonsforsikring'!G26+'Protector Forsikring'!G26+'SHB Liv'!G26+'Sparebank 1'!G26+'Storebrand Livsforsikring'!G26+'Telenor Forsikring'!G26+'Tryg Forsikring'!G26+'WaterCircles F'!G26+'Codan Forsikring'!G26+'Euro Accident'!G26+'Youplus Livsforsikring'!G26</f>
        <v>249535.85887</v>
      </c>
      <c r="G26" s="165">
        <f t="shared" ref="G26" si="12">IF($A$1=4,IF(E26=0, "    ---- ", IF(ABS(ROUND(100/E26*F26-100,1))&lt;999,ROUND(100/E26*F26-100,1),IF(ROUND(100/E26*F26-100,1)&gt;999,999,-999))),"")</f>
        <v>-29.2</v>
      </c>
      <c r="H26" s="230">
        <f t="shared" ref="H26" si="13">SUM(B26,E26)</f>
        <v>352285.03827000002</v>
      </c>
      <c r="I26" s="44">
        <f t="shared" ref="I26" si="14">SUM(C26,F26)</f>
        <v>249535.85887</v>
      </c>
      <c r="J26" s="27">
        <f t="shared" ref="J26" si="15">IF(H26=0, "    ---- ", IF(ABS(ROUND(100/H26*I26-100,1))&lt;999,ROUND(100/H26*I26-100,1),IF(ROUND(100/H26*I26-100,1)&gt;999,999,-999)))</f>
        <v>-29.2</v>
      </c>
    </row>
    <row r="27" spans="1:14" ht="15.75" customHeight="1" x14ac:dyDescent="0.2">
      <c r="A27" s="555" t="s">
        <v>11</v>
      </c>
      <c r="B27" s="44">
        <f>'Fremtind Livsforsikring'!B27+'Danica Pensjonsforsikring'!B27+'DNB Livsforsikring'!B27+'Eika Forsikring AS'!B27+'Frende Livsforsikring'!B27+'Frende Skadeforsikring'!B27+'Gjensidige Forsikring'!B27+'Gjensidige Pensjon'!B27+'Handelsbanken Liv'!B27+'If Skadeforsikring NUF'!B27+KLP!B27+'KLP Skadeforsikring AS'!B27+'Landkreditt Forsikring'!B27+Insr!B27+'Nordea Liv '!B27+'Oslo Pensjonsforsikring'!B27+'Protector Forsikring'!B27+'SHB Liv'!B27+'Sparebank 1'!B27+'Storebrand Livsforsikring'!B27+'Telenor Forsikring'!B27+'Tryg Forsikring'!B27+'WaterCircles F'!B27+'Codan Forsikring'!B27+'Euro Accident'!B27+'Youplus Livsforsikring'!B27</f>
        <v>0</v>
      </c>
      <c r="C27" s="44">
        <f>'Fremtind Livsforsikring'!C27+'Danica Pensjonsforsikring'!C27+'DNB Livsforsikring'!C27+'Eika Forsikring AS'!C27+'Frende Livsforsikring'!C27+'Frende Skadeforsikring'!C27+'Gjensidige Forsikring'!C27+'Gjensidige Pensjon'!C27+'Handelsbanken Liv'!C27+'If Skadeforsikring NUF'!C27+KLP!C27+'KLP Skadeforsikring AS'!C27+'Landkreditt Forsikring'!C27+Insr!C27+'Nordea Liv '!C27+'Oslo Pensjonsforsikring'!C27+'Protector Forsikring'!C27+'SHB Liv'!C27+'Sparebank 1'!C27+'Storebrand Livsforsikring'!C27+'Telenor Forsikring'!C27+'Tryg Forsikring'!C27+'WaterCircles F'!C27+'Codan Forsikring'!C27+'Euro Accident'!C27+'Youplus Livsforsikring'!C27</f>
        <v>0</v>
      </c>
      <c r="D27" s="27"/>
      <c r="E27" s="44">
        <f>'Fremtind Livsforsikring'!F27+'Danica Pensjonsforsikring'!F27+'DNB Livsforsikring'!F27+'Eika Forsikring AS'!F27+'Frende Livsforsikring'!F27+'Frende Skadeforsikring'!F27+'Gjensidige Forsikring'!F27+'Gjensidige Pensjon'!F27+'Handelsbanken Liv'!F27+'If Skadeforsikring NUF'!F27+KLP!F27+'KLP Skadeforsikring AS'!F27+'Landkreditt Forsikring'!F27+Insr!F27+'Nordea Liv '!F27+'Oslo Pensjonsforsikring'!F27+'Protector Forsikring'!F27+'SHB Liv'!F27+'Sparebank 1'!F27+'Storebrand Livsforsikring'!F27+'Telenor Forsikring'!F27+'Tryg Forsikring'!F27+'WaterCircles F'!F27+'Codan Forsikring'!F27+'Euro Accident'!F27+'Youplus Livsforsikring'!F27</f>
        <v>0</v>
      </c>
      <c r="F27" s="44">
        <f>'Fremtind Livsforsikring'!G27+'Danica Pensjonsforsikring'!G27+'DNB Livsforsikring'!G27+'Eika Forsikring AS'!G27+'Frende Livsforsikring'!G27+'Frende Skadeforsikring'!G27+'Gjensidige Forsikring'!G27+'Gjensidige Pensjon'!G27+'Handelsbanken Liv'!G27+'If Skadeforsikring NUF'!G27+KLP!G27+'KLP Skadeforsikring AS'!G27+'Landkreditt Forsikring'!G27+Insr!G27+'Nordea Liv '!G27+'Oslo Pensjonsforsikring'!G27+'Protector Forsikring'!G27+'SHB Liv'!G27+'Sparebank 1'!G27+'Storebrand Livsforsikring'!G27+'Telenor Forsikring'!G27+'Tryg Forsikring'!G27+'WaterCircles F'!G27+'Codan Forsikring'!G27+'Euro Accident'!G27+'Youplus Livsforsikring'!G27</f>
        <v>0</v>
      </c>
      <c r="G27" s="165"/>
      <c r="H27" s="230">
        <f t="shared" si="9"/>
        <v>0</v>
      </c>
      <c r="I27" s="44">
        <f t="shared" si="7"/>
        <v>0</v>
      </c>
      <c r="J27" s="27"/>
    </row>
    <row r="28" spans="1:14" ht="15.75" customHeight="1" x14ac:dyDescent="0.2">
      <c r="A28" s="49" t="s">
        <v>270</v>
      </c>
      <c r="B28" s="44">
        <f>'Fremtind Livsforsikring'!B28+'Danica Pensjonsforsikring'!B28+'DNB Livsforsikring'!B28+'Eika Forsikring AS'!B28+'Frende Livsforsikring'!B28+'Frende Skadeforsikring'!B28+'Gjensidige Forsikring'!B28+'Gjensidige Pensjon'!B28+'Handelsbanken Liv'!B28+'If Skadeforsikring NUF'!B28+KLP!B28+'KLP Skadeforsikring AS'!B28+'Landkreditt Forsikring'!B28+Insr!B28+'Nordea Liv '!B28+'Oslo Pensjonsforsikring'!B28+'Protector Forsikring'!B28+'SHB Liv'!B28+'Sparebank 1'!B28+'Storebrand Livsforsikring'!B28+'Telenor Forsikring'!B28+'Tryg Forsikring'!B28+'WaterCircles F'!B28+'Codan Forsikring'!B28+'Euro Accident'!B28+'Youplus Livsforsikring'!B28</f>
        <v>727469.04660675419</v>
      </c>
      <c r="C28" s="44">
        <f>'Fremtind Livsforsikring'!C28+'Danica Pensjonsforsikring'!C28+'DNB Livsforsikring'!C28+'Eika Forsikring AS'!C28+'Frende Livsforsikring'!C28+'Frende Skadeforsikring'!C28+'Gjensidige Forsikring'!C28+'Gjensidige Pensjon'!C28+'Handelsbanken Liv'!C28+'If Skadeforsikring NUF'!C28+KLP!C28+'KLP Skadeforsikring AS'!C28+'Landkreditt Forsikring'!C28+Insr!C28+'Nordea Liv '!C28+'Oslo Pensjonsforsikring'!C28+'Protector Forsikring'!C28+'SHB Liv'!C28+'Sparebank 1'!C28+'Storebrand Livsforsikring'!C28+'Telenor Forsikring'!C28+'Tryg Forsikring'!C28+'WaterCircles F'!C28+'Codan Forsikring'!C28+'Euro Accident'!C28+'Youplus Livsforsikring'!C28</f>
        <v>838840.45714362303</v>
      </c>
      <c r="D28" s="23">
        <f t="shared" si="5"/>
        <v>15.3</v>
      </c>
      <c r="E28" s="44">
        <f>'Fremtind Livsforsikring'!F28+'Danica Pensjonsforsikring'!F28+'DNB Livsforsikring'!F28+'Eika Forsikring AS'!F28+'Frende Livsforsikring'!F28+'Frende Skadeforsikring'!F28+'Gjensidige Forsikring'!F28+'Gjensidige Pensjon'!F28+'Handelsbanken Liv'!F28+'If Skadeforsikring NUF'!F28+KLP!F28+'KLP Skadeforsikring AS'!F28+'Landkreditt Forsikring'!F28+Insr!F28+'Nordea Liv '!F28+'Oslo Pensjonsforsikring'!F28+'Protector Forsikring'!F28+'SHB Liv'!F28+'Sparebank 1'!F28+'Storebrand Livsforsikring'!F28+'Telenor Forsikring'!F28+'Tryg Forsikring'!F28+'WaterCircles F'!F28+'Codan Forsikring'!F28+'Euro Accident'!F28+'Youplus Livsforsikring'!F28</f>
        <v>0</v>
      </c>
      <c r="F28" s="44">
        <f>'Fremtind Livsforsikring'!G28+'Danica Pensjonsforsikring'!G28+'DNB Livsforsikring'!G28+'Eika Forsikring AS'!G28+'Frende Livsforsikring'!G28+'Frende Skadeforsikring'!G28+'Gjensidige Forsikring'!G28+'Gjensidige Pensjon'!G28+'Handelsbanken Liv'!G28+'If Skadeforsikring NUF'!G28+KLP!G28+'KLP Skadeforsikring AS'!G28+'Landkreditt Forsikring'!G28+Insr!G28+'Nordea Liv '!G28+'Oslo Pensjonsforsikring'!G28+'Protector Forsikring'!G28+'SHB Liv'!G28+'Sparebank 1'!G28+'Storebrand Livsforsikring'!G28+'Telenor Forsikring'!G28+'Tryg Forsikring'!G28+'WaterCircles F'!G28+'Codan Forsikring'!G28+'Euro Accident'!G28+'Youplus Livsforsikring'!G28</f>
        <v>0</v>
      </c>
      <c r="G28" s="165"/>
      <c r="H28" s="230">
        <f t="shared" si="9"/>
        <v>727469.04660675419</v>
      </c>
      <c r="I28" s="44">
        <f t="shared" si="7"/>
        <v>838840.45714362303</v>
      </c>
      <c r="J28" s="23">
        <f t="shared" si="8"/>
        <v>15.3</v>
      </c>
      <c r="K28" s="3"/>
    </row>
    <row r="29" spans="1:14" s="406" customFormat="1" ht="15.75" customHeight="1" x14ac:dyDescent="0.2">
      <c r="A29" s="39" t="s">
        <v>366</v>
      </c>
      <c r="B29" s="232">
        <f>'Fremtind Livsforsikring'!B29+'Danica Pensjonsforsikring'!B29+'DNB Livsforsikring'!B29+'Eika Forsikring AS'!B29+'Frende Livsforsikring'!B29+'Frende Skadeforsikring'!B29+'Gjensidige Forsikring'!B29+'Gjensidige Pensjon'!B29+'Handelsbanken Liv'!B29+'If Skadeforsikring NUF'!B29+KLP!B29+'KLP Skadeforsikring AS'!B29+'Landkreditt Forsikring'!B29+Insr!B29+'Nordea Liv '!B29+'Oslo Pensjonsforsikring'!B29+'Protector Forsikring'!B29+'SHB Liv'!B29+'Sparebank 1'!B29+'Storebrand Livsforsikring'!B29+'Telenor Forsikring'!B29+'Tryg Forsikring'!B29+'WaterCircles F'!B29+'Codan Forsikring'!B29+'Euro Accident'!B29+'Youplus Livsforsikring'!B29</f>
        <v>45814072.01641719</v>
      </c>
      <c r="C29" s="232">
        <f>'Fremtind Livsforsikring'!C29+'Danica Pensjonsforsikring'!C29+'DNB Livsforsikring'!C29+'Eika Forsikring AS'!C29+'Frende Livsforsikring'!C29+'Frende Skadeforsikring'!C29+'Gjensidige Forsikring'!C29+'Gjensidige Pensjon'!C29+'Handelsbanken Liv'!C29+'If Skadeforsikring NUF'!C29+KLP!C29+'KLP Skadeforsikring AS'!C29+'Landkreditt Forsikring'!C29+Insr!C29+'Nordea Liv '!C29+'Oslo Pensjonsforsikring'!C29+'Protector Forsikring'!C29+'SHB Liv'!C29+'Sparebank 1'!C29+'Storebrand Livsforsikring'!C29+'Telenor Forsikring'!C29+'Tryg Forsikring'!C29+'WaterCircles F'!C29+'Codan Forsikring'!C29+'Euro Accident'!C29+'Youplus Livsforsikring'!C29</f>
        <v>45439786.669384629</v>
      </c>
      <c r="D29" s="24">
        <f t="shared" si="5"/>
        <v>-0.8</v>
      </c>
      <c r="E29" s="232">
        <f>'Fremtind Livsforsikring'!F29+'Danica Pensjonsforsikring'!F29+'DNB Livsforsikring'!F29+'Eika Forsikring AS'!F29+'Frende Livsforsikring'!F29+'Frende Skadeforsikring'!F29+'Gjensidige Forsikring'!F29+'Gjensidige Pensjon'!F29+'Handelsbanken Liv'!F29+'If Skadeforsikring NUF'!F29+KLP!F29+'KLP Skadeforsikring AS'!F29+'Landkreditt Forsikring'!F29+Insr!F29+'Nordea Liv '!F29+'Oslo Pensjonsforsikring'!F29+'Protector Forsikring'!F29+'SHB Liv'!F29+'Sparebank 1'!F29+'Storebrand Livsforsikring'!F29+'Telenor Forsikring'!F29+'Tryg Forsikring'!F29+'WaterCircles F'!F29+'Codan Forsikring'!F29+'Euro Accident'!F29+'Youplus Livsforsikring'!F29</f>
        <v>25414685.973739393</v>
      </c>
      <c r="F29" s="232">
        <f>'Fremtind Livsforsikring'!G29+'Danica Pensjonsforsikring'!G29+'DNB Livsforsikring'!G29+'Eika Forsikring AS'!G29+'Frende Livsforsikring'!G29+'Frende Skadeforsikring'!G29+'Gjensidige Forsikring'!G29+'Gjensidige Pensjon'!G29+'Handelsbanken Liv'!G29+'If Skadeforsikring NUF'!G29+KLP!G29+'KLP Skadeforsikring AS'!G29+'Landkreditt Forsikring'!G29+Insr!G29+'Nordea Liv '!G29+'Oslo Pensjonsforsikring'!G29+'Protector Forsikring'!G29+'SHB Liv'!G29+'Sparebank 1'!G29+'Storebrand Livsforsikring'!G29+'Telenor Forsikring'!G29+'Tryg Forsikring'!G29+'WaterCircles F'!G29+'Codan Forsikring'!G29+'Euro Accident'!G29+'Youplus Livsforsikring'!G29</f>
        <v>25266915.540480003</v>
      </c>
      <c r="G29" s="170">
        <f t="shared" si="6"/>
        <v>-0.6</v>
      </c>
      <c r="H29" s="301">
        <f t="shared" si="9"/>
        <v>71228757.990156591</v>
      </c>
      <c r="I29" s="232">
        <f t="shared" si="7"/>
        <v>70706702.209864631</v>
      </c>
      <c r="J29" s="24">
        <f t="shared" si="8"/>
        <v>-0.7</v>
      </c>
    </row>
    <row r="30" spans="1:14" s="3" customFormat="1" ht="15.75" customHeight="1" x14ac:dyDescent="0.2">
      <c r="A30" s="557" t="s">
        <v>362</v>
      </c>
      <c r="B30" s="44">
        <f>'Fremtind Livsforsikring'!B30+'Danica Pensjonsforsikring'!B30+'DNB Livsforsikring'!B30+'Eika Forsikring AS'!B30+'Frende Livsforsikring'!B30+'Frende Skadeforsikring'!B30+'Gjensidige Forsikring'!B30+'Gjensidige Pensjon'!B30+'Handelsbanken Liv'!B30+'If Skadeforsikring NUF'!B30+KLP!B30+'KLP Skadeforsikring AS'!B30+'Landkreditt Forsikring'!B30+Insr!B30+'Nordea Liv '!B30+'Oslo Pensjonsforsikring'!B30+'Protector Forsikring'!B30+'SHB Liv'!B30+'Sparebank 1'!B30+'Storebrand Livsforsikring'!B30+'Telenor Forsikring'!B30+'Tryg Forsikring'!B30+'WaterCircles F'!B30+'Codan Forsikring'!B30+'Euro Accident'!B30+'Youplus Livsforsikring'!B30</f>
        <v>13712166.770829579</v>
      </c>
      <c r="C30" s="44">
        <f>'Fremtind Livsforsikring'!C30+'Danica Pensjonsforsikring'!C30+'DNB Livsforsikring'!C30+'Eika Forsikring AS'!C30+'Frende Livsforsikring'!C30+'Frende Skadeforsikring'!C30+'Gjensidige Forsikring'!C30+'Gjensidige Pensjon'!C30+'Handelsbanken Liv'!C30+'If Skadeforsikring NUF'!C30+KLP!C30+'KLP Skadeforsikring AS'!C30+'Landkreditt Forsikring'!C30+Insr!C30+'Nordea Liv '!C30+'Oslo Pensjonsforsikring'!C30+'Protector Forsikring'!C30+'SHB Liv'!C30+'Sparebank 1'!C30+'Storebrand Livsforsikring'!C30+'Telenor Forsikring'!C30+'Tryg Forsikring'!C30+'WaterCircles F'!C30+'Codan Forsikring'!C30+'Euro Accident'!C30+'Youplus Livsforsikring'!C30</f>
        <v>10163991.490622716</v>
      </c>
      <c r="D30" s="27">
        <f t="shared" ref="D30:D32" si="16">IF($A$1=4,IF(B30=0, "    ---- ", IF(ABS(ROUND(100/B30*C30-100,1))&lt;999,ROUND(100/B30*C30-100,1),IF(ROUND(100/B30*C30-100,1)&gt;999,999,-999))),"")</f>
        <v>-25.9</v>
      </c>
      <c r="E30" s="44">
        <f>'Fremtind Livsforsikring'!F30+'Danica Pensjonsforsikring'!F30+'DNB Livsforsikring'!F30+'Eika Forsikring AS'!F30+'Frende Livsforsikring'!F30+'Frende Skadeforsikring'!F30+'Gjensidige Forsikring'!F30+'Gjensidige Pensjon'!F30+'Handelsbanken Liv'!F30+'If Skadeforsikring NUF'!F30+KLP!F30+'KLP Skadeforsikring AS'!F30+'Landkreditt Forsikring'!F30+Insr!F30+'Nordea Liv '!F30+'Oslo Pensjonsforsikring'!F30+'Protector Forsikring'!F30+'SHB Liv'!F30+'Sparebank 1'!F30+'Storebrand Livsforsikring'!F30+'Telenor Forsikring'!F30+'Tryg Forsikring'!F30+'WaterCircles F'!F30+'Codan Forsikring'!F30+'Euro Accident'!F30+'Youplus Livsforsikring'!F30</f>
        <v>4615895.0394744193</v>
      </c>
      <c r="F30" s="44">
        <f>'Fremtind Livsforsikring'!G30+'Danica Pensjonsforsikring'!G30+'DNB Livsforsikring'!G30+'Eika Forsikring AS'!G30+'Frende Livsforsikring'!G30+'Frende Skadeforsikring'!G30+'Gjensidige Forsikring'!G30+'Gjensidige Pensjon'!G30+'Handelsbanken Liv'!G30+'If Skadeforsikring NUF'!G30+KLP!G30+'KLP Skadeforsikring AS'!G30+'Landkreditt Forsikring'!G30+Insr!G30+'Nordea Liv '!G30+'Oslo Pensjonsforsikring'!G30+'Protector Forsikring'!G30+'SHB Liv'!G30+'Sparebank 1'!G30+'Storebrand Livsforsikring'!G30+'Telenor Forsikring'!G30+'Tryg Forsikring'!G30+'WaterCircles F'!G30+'Codan Forsikring'!G30+'Euro Accident'!G30+'Youplus Livsforsikring'!G30</f>
        <v>3811176.2602476408</v>
      </c>
      <c r="G30" s="165">
        <f t="shared" ref="G30:G32" si="17">IF($A$1=4,IF(E30=0, "    ---- ", IF(ABS(ROUND(100/E30*F30-100,1))&lt;999,ROUND(100/E30*F30-100,1),IF(ROUND(100/E30*F30-100,1)&gt;999,999,-999))),"")</f>
        <v>-17.399999999999999</v>
      </c>
      <c r="H30" s="230">
        <f t="shared" si="9"/>
        <v>18328061.810303997</v>
      </c>
      <c r="I30" s="44">
        <f t="shared" si="7"/>
        <v>13975167.750870356</v>
      </c>
      <c r="J30" s="23">
        <f t="shared" si="8"/>
        <v>-23.7</v>
      </c>
    </row>
    <row r="31" spans="1:14" s="3" customFormat="1" ht="15.75" customHeight="1" x14ac:dyDescent="0.2">
      <c r="A31" s="557" t="s">
        <v>363</v>
      </c>
      <c r="B31" s="44">
        <f>'Fremtind Livsforsikring'!B31+'Danica Pensjonsforsikring'!B31+'DNB Livsforsikring'!B31+'Eika Forsikring AS'!B31+'Frende Livsforsikring'!B31+'Frende Skadeforsikring'!B31+'Gjensidige Forsikring'!B31+'Gjensidige Pensjon'!B31+'Handelsbanken Liv'!B31+'If Skadeforsikring NUF'!B31+KLP!B31+'KLP Skadeforsikring AS'!B31+'Landkreditt Forsikring'!B31+Insr!B31+'Nordea Liv '!B31+'Oslo Pensjonsforsikring'!B31+'Protector Forsikring'!B31+'SHB Liv'!B31+'Sparebank 1'!B31+'Storebrand Livsforsikring'!B31+'Telenor Forsikring'!B31+'Tryg Forsikring'!B31+'WaterCircles F'!B31+'Codan Forsikring'!B31+'Euro Accident'!B31+'Youplus Livsforsikring'!B31</f>
        <v>23180454.508029722</v>
      </c>
      <c r="C31" s="44">
        <f>'Fremtind Livsforsikring'!C31+'Danica Pensjonsforsikring'!C31+'DNB Livsforsikring'!C31+'Eika Forsikring AS'!C31+'Frende Livsforsikring'!C31+'Frende Skadeforsikring'!C31+'Gjensidige Forsikring'!C31+'Gjensidige Pensjon'!C31+'Handelsbanken Liv'!C31+'If Skadeforsikring NUF'!C31+KLP!C31+'KLP Skadeforsikring AS'!C31+'Landkreditt Forsikring'!C31+Insr!C31+'Nordea Liv '!C31+'Oslo Pensjonsforsikring'!C31+'Protector Forsikring'!C31+'SHB Liv'!C31+'Sparebank 1'!C31+'Storebrand Livsforsikring'!C31+'Telenor Forsikring'!C31+'Tryg Forsikring'!C31+'WaterCircles F'!C31+'Codan Forsikring'!C31+'Euro Accident'!C31+'Youplus Livsforsikring'!C31</f>
        <v>26028844.02188202</v>
      </c>
      <c r="D31" s="27">
        <f t="shared" si="16"/>
        <v>12.3</v>
      </c>
      <c r="E31" s="44">
        <f>'Fremtind Livsforsikring'!F31+'Danica Pensjonsforsikring'!F31+'DNB Livsforsikring'!F31+'Eika Forsikring AS'!F31+'Frende Livsforsikring'!F31+'Frende Skadeforsikring'!F31+'Gjensidige Forsikring'!F31+'Gjensidige Pensjon'!F31+'Handelsbanken Liv'!F31+'If Skadeforsikring NUF'!F31+KLP!F31+'KLP Skadeforsikring AS'!F31+'Landkreditt Forsikring'!F31+Insr!F31+'Nordea Liv '!F31+'Oslo Pensjonsforsikring'!F31+'Protector Forsikring'!F31+'SHB Liv'!F31+'Sparebank 1'!F31+'Storebrand Livsforsikring'!F31+'Telenor Forsikring'!F31+'Tryg Forsikring'!F31+'WaterCircles F'!F31+'Codan Forsikring'!F31+'Euro Accident'!F31+'Youplus Livsforsikring'!F31</f>
        <v>9753494.5611393005</v>
      </c>
      <c r="F31" s="44">
        <f>'Fremtind Livsforsikring'!G31+'Danica Pensjonsforsikring'!G31+'DNB Livsforsikring'!G31+'Eika Forsikring AS'!G31+'Frende Livsforsikring'!G31+'Frende Skadeforsikring'!G31+'Gjensidige Forsikring'!G31+'Gjensidige Pensjon'!G31+'Handelsbanken Liv'!G31+'If Skadeforsikring NUF'!G31+KLP!G31+'KLP Skadeforsikring AS'!G31+'Landkreditt Forsikring'!G31+Insr!G31+'Nordea Liv '!G31+'Oslo Pensjonsforsikring'!G31+'Protector Forsikring'!G31+'SHB Liv'!G31+'Sparebank 1'!G31+'Storebrand Livsforsikring'!G31+'Telenor Forsikring'!G31+'Tryg Forsikring'!G31+'WaterCircles F'!G31+'Codan Forsikring'!G31+'Euro Accident'!G31+'Youplus Livsforsikring'!G31</f>
        <v>8632125.82140534</v>
      </c>
      <c r="G31" s="165">
        <f t="shared" si="17"/>
        <v>-11.5</v>
      </c>
      <c r="H31" s="230">
        <f t="shared" si="9"/>
        <v>32933949.069169022</v>
      </c>
      <c r="I31" s="44">
        <f t="shared" si="7"/>
        <v>34660969.843287364</v>
      </c>
      <c r="J31" s="23">
        <f t="shared" si="8"/>
        <v>5.2</v>
      </c>
    </row>
    <row r="32" spans="1:14" ht="15.75" customHeight="1" x14ac:dyDescent="0.2">
      <c r="A32" s="557" t="s">
        <v>364</v>
      </c>
      <c r="B32" s="44">
        <f>'Fremtind Livsforsikring'!B32+'Danica Pensjonsforsikring'!B32+'DNB Livsforsikring'!B32+'Eika Forsikring AS'!B32+'Frende Livsforsikring'!B32+'Frende Skadeforsikring'!B32+'Gjensidige Forsikring'!B32+'Gjensidige Pensjon'!B32+'Handelsbanken Liv'!B32+'If Skadeforsikring NUF'!B32+KLP!B32+'KLP Skadeforsikring AS'!B32+'Landkreditt Forsikring'!B32+Insr!B32+'Nordea Liv '!B32+'Oslo Pensjonsforsikring'!B32+'Protector Forsikring'!B32+'SHB Liv'!B32+'Sparebank 1'!B32+'Storebrand Livsforsikring'!B32+'Telenor Forsikring'!B32+'Tryg Forsikring'!B32+'WaterCircles F'!B32+'Codan Forsikring'!B32+'Euro Accident'!B32+'Youplus Livsforsikring'!B32</f>
        <v>2948415.223797882</v>
      </c>
      <c r="C32" s="44">
        <f>'Fremtind Livsforsikring'!C32+'Danica Pensjonsforsikring'!C32+'DNB Livsforsikring'!C32+'Eika Forsikring AS'!C32+'Frende Livsforsikring'!C32+'Frende Skadeforsikring'!C32+'Gjensidige Forsikring'!C32+'Gjensidige Pensjon'!C32+'Handelsbanken Liv'!C32+'If Skadeforsikring NUF'!C32+KLP!C32+'KLP Skadeforsikring AS'!C32+'Landkreditt Forsikring'!C32+Insr!C32+'Nordea Liv '!C32+'Oslo Pensjonsforsikring'!C32+'Protector Forsikring'!C32+'SHB Liv'!C32+'Sparebank 1'!C32+'Storebrand Livsforsikring'!C32+'Telenor Forsikring'!C32+'Tryg Forsikring'!C32+'WaterCircles F'!C32+'Codan Forsikring'!C32+'Euro Accident'!C32+'Youplus Livsforsikring'!C32</f>
        <v>2423256.1267799102</v>
      </c>
      <c r="D32" s="27">
        <f t="shared" si="16"/>
        <v>-17.8</v>
      </c>
      <c r="E32" s="44">
        <f>'Fremtind Livsforsikring'!F32+'Danica Pensjonsforsikring'!F32+'DNB Livsforsikring'!F32+'Eika Forsikring AS'!F32+'Frende Livsforsikring'!F32+'Frende Skadeforsikring'!F32+'Gjensidige Forsikring'!F32+'Gjensidige Pensjon'!F32+'Handelsbanken Liv'!F32+'If Skadeforsikring NUF'!F32+KLP!F32+'KLP Skadeforsikring AS'!F32+'Landkreditt Forsikring'!F32+Insr!F32+'Nordea Liv '!F32+'Oslo Pensjonsforsikring'!F32+'Protector Forsikring'!F32+'SHB Liv'!F32+'Sparebank 1'!F32+'Storebrand Livsforsikring'!F32+'Telenor Forsikring'!F32+'Tryg Forsikring'!F32+'WaterCircles F'!F32+'Codan Forsikring'!F32+'Euro Accident'!F32+'Youplus Livsforsikring'!F32</f>
        <v>5446847.31374026</v>
      </c>
      <c r="F32" s="44">
        <f>'Fremtind Livsforsikring'!G32+'Danica Pensjonsforsikring'!G32+'DNB Livsforsikring'!G32+'Eika Forsikring AS'!G32+'Frende Livsforsikring'!G32+'Frende Skadeforsikring'!G32+'Gjensidige Forsikring'!G32+'Gjensidige Pensjon'!G32+'Handelsbanken Liv'!G32+'If Skadeforsikring NUF'!G32+KLP!G32+'KLP Skadeforsikring AS'!G32+'Landkreditt Forsikring'!G32+Insr!G32+'Nordea Liv '!G32+'Oslo Pensjonsforsikring'!G32+'Protector Forsikring'!G32+'SHB Liv'!G32+'Sparebank 1'!G32+'Storebrand Livsforsikring'!G32+'Telenor Forsikring'!G32+'Tryg Forsikring'!G32+'WaterCircles F'!G32+'Codan Forsikring'!G32+'Euro Accident'!G32+'Youplus Livsforsikring'!G32</f>
        <v>5642164.9323859997</v>
      </c>
      <c r="G32" s="165">
        <f t="shared" si="17"/>
        <v>3.6</v>
      </c>
      <c r="H32" s="230">
        <f t="shared" si="9"/>
        <v>8395262.537538141</v>
      </c>
      <c r="I32" s="44">
        <f t="shared" si="7"/>
        <v>8065421.0591659099</v>
      </c>
      <c r="J32" s="24">
        <f t="shared" si="8"/>
        <v>-3.9</v>
      </c>
      <c r="M32" s="149"/>
      <c r="N32" s="149"/>
    </row>
    <row r="33" spans="1:10" ht="15.75" customHeight="1" x14ac:dyDescent="0.2">
      <c r="A33" s="557" t="s">
        <v>365</v>
      </c>
      <c r="B33" s="44">
        <f>'Fremtind Livsforsikring'!B33+'Danica Pensjonsforsikring'!B33+'DNB Livsforsikring'!B33+'Eika Forsikring AS'!B33+'Frende Livsforsikring'!B33+'Frende Skadeforsikring'!B33+'Gjensidige Forsikring'!B33+'Gjensidige Pensjon'!B33+'Handelsbanken Liv'!B33+'If Skadeforsikring NUF'!B33+KLP!B33+'KLP Skadeforsikring AS'!B33+'Landkreditt Forsikring'!B33+Insr!B33+'Nordea Liv '!B33+'Oslo Pensjonsforsikring'!B33+'Protector Forsikring'!B33+'SHB Liv'!B33+'Sparebank 1'!B33+'Storebrand Livsforsikring'!B33+'Telenor Forsikring'!B33+'Tryg Forsikring'!B33+'WaterCircles F'!B33+'Codan Forsikring'!B33+'Euro Accident'!B33+'Youplus Livsforsikring'!B33</f>
        <v>0</v>
      </c>
      <c r="C33" s="44">
        <f>'Fremtind Livsforsikring'!C33+'Danica Pensjonsforsikring'!C33+'DNB Livsforsikring'!C33+'Eika Forsikring AS'!C33+'Frende Livsforsikring'!C33+'Frende Skadeforsikring'!C33+'Gjensidige Forsikring'!C33+'Gjensidige Pensjon'!C33+'Handelsbanken Liv'!C33+'If Skadeforsikring NUF'!C33+KLP!C33+'KLP Skadeforsikring AS'!C33+'Landkreditt Forsikring'!C33+Insr!C33+'Nordea Liv '!C33+'Oslo Pensjonsforsikring'!C33+'Protector Forsikring'!C33+'SHB Liv'!C33+'Sparebank 1'!C33+'Storebrand Livsforsikring'!C33+'Telenor Forsikring'!C33+'Tryg Forsikring'!C33+'WaterCircles F'!C33+'Codan Forsikring'!C33+'Euro Accident'!C33+'Youplus Livsforsikring'!C33</f>
        <v>0</v>
      </c>
      <c r="D33" s="27"/>
      <c r="E33" s="44">
        <f>'Fremtind Livsforsikring'!F33+'Danica Pensjonsforsikring'!F33+'DNB Livsforsikring'!F33+'Eika Forsikring AS'!F33+'Frende Livsforsikring'!F33+'Frende Skadeforsikring'!F33+'Gjensidige Forsikring'!F33+'Gjensidige Pensjon'!F33+'Handelsbanken Liv'!F33+'If Skadeforsikring NUF'!F33+KLP!F33+'KLP Skadeforsikring AS'!F33+'Landkreditt Forsikring'!F33+Insr!F33+'Nordea Liv '!F33+'Oslo Pensjonsforsikring'!F33+'Protector Forsikring'!F33+'SHB Liv'!F33+'Sparebank 1'!F33+'Storebrand Livsforsikring'!F33+'Telenor Forsikring'!F33+'Tryg Forsikring'!F33+'WaterCircles F'!F33+'Codan Forsikring'!F33+'Euro Accident'!F33+'Youplus Livsforsikring'!F33</f>
        <v>5598449.0593854096</v>
      </c>
      <c r="F33" s="44">
        <f>'Fremtind Livsforsikring'!G33+'Danica Pensjonsforsikring'!G33+'DNB Livsforsikring'!G33+'Eika Forsikring AS'!G33+'Frende Livsforsikring'!G33+'Frende Skadeforsikring'!G33+'Gjensidige Forsikring'!G33+'Gjensidige Pensjon'!G33+'Handelsbanken Liv'!G33+'If Skadeforsikring NUF'!G33+KLP!G33+'KLP Skadeforsikring AS'!G33+'Landkreditt Forsikring'!G33+Insr!G33+'Nordea Liv '!G33+'Oslo Pensjonsforsikring'!G33+'Protector Forsikring'!G33+'SHB Liv'!G33+'Sparebank 1'!G33+'Storebrand Livsforsikring'!G33+'Telenor Forsikring'!G33+'Tryg Forsikring'!G33+'WaterCircles F'!G33+'Codan Forsikring'!G33+'Euro Accident'!G33+'Youplus Livsforsikring'!G33</f>
        <v>7205685.7837210195</v>
      </c>
      <c r="G33" s="165">
        <f t="shared" ref="G33" si="18">IF($A$1=4,IF(E33=0, "    ---- ", IF(ABS(ROUND(100/E33*F33-100,1))&lt;999,ROUND(100/E33*F33-100,1),IF(ROUND(100/E33*F33-100,1)&gt;999,999,-999))),"")</f>
        <v>28.7</v>
      </c>
      <c r="H33" s="230">
        <f t="shared" ref="H33" si="19">SUM(B33,E33)</f>
        <v>5598449.0593854096</v>
      </c>
      <c r="I33" s="44">
        <f t="shared" ref="I33" si="20">SUM(C33,F33)</f>
        <v>7205685.7837210195</v>
      </c>
      <c r="J33" s="24">
        <f t="shared" ref="J33" si="21">IF(H33=0, "    ---- ", IF(ABS(ROUND(100/H33*I33-100,1))&lt;999,ROUND(100/H33*I33-100,1),IF(ROUND(100/H33*I33-100,1)&gt;999,999,-999)))</f>
        <v>28.7</v>
      </c>
    </row>
    <row r="34" spans="1:10" s="43" customFormat="1" ht="15.75" customHeight="1" x14ac:dyDescent="0.2">
      <c r="A34" s="39" t="s">
        <v>360</v>
      </c>
      <c r="B34" s="232">
        <f>'Fremtind Livsforsikring'!B34+'Danica Pensjonsforsikring'!B34+'DNB Livsforsikring'!B34+'Eika Forsikring AS'!B34+'Frende Livsforsikring'!B34+'Frende Skadeforsikring'!B34+'Gjensidige Forsikring'!B34+'Gjensidige Pensjon'!B34+'Handelsbanken Liv'!B34+'If Skadeforsikring NUF'!B34+KLP!B34+'KLP Skadeforsikring AS'!B34+'Landkreditt Forsikring'!B34+Insr!B34+'Nordea Liv '!B34+'Oslo Pensjonsforsikring'!B34+'Protector Forsikring'!B34+'SHB Liv'!B34+'Sparebank 1'!B34+'Storebrand Livsforsikring'!B34+'Telenor Forsikring'!B34+'Tryg Forsikring'!B34+'WaterCircles F'!B34+'Codan Forsikring'!B34+'Euro Accident'!B34+'Youplus Livsforsikring'!B34</f>
        <v>4439.8509999999997</v>
      </c>
      <c r="C34" s="232">
        <f>'Fremtind Livsforsikring'!C34+'Danica Pensjonsforsikring'!C34+'DNB Livsforsikring'!C34+'Eika Forsikring AS'!C34+'Frende Livsforsikring'!C34+'Frende Skadeforsikring'!C34+'Gjensidige Forsikring'!C34+'Gjensidige Pensjon'!C34+'Handelsbanken Liv'!C34+'If Skadeforsikring NUF'!C34+KLP!C34+'KLP Skadeforsikring AS'!C34+'Landkreditt Forsikring'!C34+Insr!C34+'Nordea Liv '!C34+'Oslo Pensjonsforsikring'!C34+'Protector Forsikring'!C34+'SHB Liv'!C34+'Sparebank 1'!C34+'Storebrand Livsforsikring'!C34+'Telenor Forsikring'!C34+'Tryg Forsikring'!C34+'WaterCircles F'!C34+'Codan Forsikring'!C34+'Euro Accident'!C34+'Youplus Livsforsikring'!C34</f>
        <v>6142.8929200000002</v>
      </c>
      <c r="D34" s="24">
        <f t="shared" si="5"/>
        <v>38.4</v>
      </c>
      <c r="E34" s="232">
        <f>'Fremtind Livsforsikring'!F34+'Danica Pensjonsforsikring'!F34+'DNB Livsforsikring'!F34+'Eika Forsikring AS'!F34+'Frende Livsforsikring'!F34+'Frende Skadeforsikring'!F34+'Gjensidige Forsikring'!F34+'Gjensidige Pensjon'!F34+'Handelsbanken Liv'!F34+'If Skadeforsikring NUF'!F34+KLP!F34+'KLP Skadeforsikring AS'!F34+'Landkreditt Forsikring'!F34+Insr!F34+'Nordea Liv '!F34+'Oslo Pensjonsforsikring'!F34+'Protector Forsikring'!F34+'SHB Liv'!F34+'Sparebank 1'!F34+'Storebrand Livsforsikring'!F34+'Telenor Forsikring'!F34+'Tryg Forsikring'!F34+'WaterCircles F'!F34+'Codan Forsikring'!F34+'Euro Accident'!F34+'Youplus Livsforsikring'!F34</f>
        <v>-25799.089139999996</v>
      </c>
      <c r="F34" s="232">
        <f>'Fremtind Livsforsikring'!G34+'Danica Pensjonsforsikring'!G34+'DNB Livsforsikring'!G34+'Eika Forsikring AS'!G34+'Frende Livsforsikring'!G34+'Frende Skadeforsikring'!G34+'Gjensidige Forsikring'!G34+'Gjensidige Pensjon'!G34+'Handelsbanken Liv'!G34+'If Skadeforsikring NUF'!G34+KLP!G34+'KLP Skadeforsikring AS'!G34+'Landkreditt Forsikring'!G34+Insr!G34+'Nordea Liv '!G34+'Oslo Pensjonsforsikring'!G34+'Protector Forsikring'!G34+'SHB Liv'!G34+'Sparebank 1'!G34+'Storebrand Livsforsikring'!G34+'Telenor Forsikring'!G34+'Tryg Forsikring'!G34+'WaterCircles F'!G34+'Codan Forsikring'!G34+'Euro Accident'!G34+'Youplus Livsforsikring'!G34</f>
        <v>23490.501960000001</v>
      </c>
      <c r="G34" s="170">
        <f t="shared" si="6"/>
        <v>-191.1</v>
      </c>
      <c r="H34" s="301">
        <f t="shared" si="9"/>
        <v>-21359.238139999998</v>
      </c>
      <c r="I34" s="232">
        <f t="shared" si="7"/>
        <v>29633.39488</v>
      </c>
      <c r="J34" s="24">
        <f t="shared" si="8"/>
        <v>-238.7</v>
      </c>
    </row>
    <row r="35" spans="1:10" s="43" customFormat="1" ht="15.75" customHeight="1" x14ac:dyDescent="0.2">
      <c r="A35" s="39" t="s">
        <v>361</v>
      </c>
      <c r="B35" s="232">
        <f>'Fremtind Livsforsikring'!B35+'Danica Pensjonsforsikring'!B35+'DNB Livsforsikring'!B35+'Eika Forsikring AS'!B35+'Frende Livsforsikring'!B35+'Frende Skadeforsikring'!B35+'Gjensidige Forsikring'!B35+'Gjensidige Pensjon'!B35+'Handelsbanken Liv'!B35+'If Skadeforsikring NUF'!B35+KLP!B35+'KLP Skadeforsikring AS'!B35+'Landkreditt Forsikring'!B35+Insr!B35+'Nordea Liv '!B35+'Oslo Pensjonsforsikring'!B35+'Protector Forsikring'!B35+'SHB Liv'!B35+'Sparebank 1'!B35+'Storebrand Livsforsikring'!B35+'Telenor Forsikring'!B35+'Tryg Forsikring'!B35+'WaterCircles F'!B35+'Codan Forsikring'!B35+'Euro Accident'!B35+'Youplus Livsforsikring'!B35</f>
        <v>-51637.385999999999</v>
      </c>
      <c r="C35" s="232">
        <f>'Fremtind Livsforsikring'!C35+'Danica Pensjonsforsikring'!C35+'DNB Livsforsikring'!C35+'Eika Forsikring AS'!C35+'Frende Livsforsikring'!C35+'Frende Skadeforsikring'!C35+'Gjensidige Forsikring'!C35+'Gjensidige Pensjon'!C35+'Handelsbanken Liv'!C35+'If Skadeforsikring NUF'!C35+KLP!C35+'KLP Skadeforsikring AS'!C35+'Landkreditt Forsikring'!C35+Insr!C35+'Nordea Liv '!C35+'Oslo Pensjonsforsikring'!C35+'Protector Forsikring'!C35+'SHB Liv'!C35+'Sparebank 1'!C35+'Storebrand Livsforsikring'!C35+'Telenor Forsikring'!C35+'Tryg Forsikring'!C35+'WaterCircles F'!C35+'Codan Forsikring'!C35+'Euro Accident'!C35+'Youplus Livsforsikring'!C35</f>
        <v>-444.16361000000001</v>
      </c>
      <c r="D35" s="24">
        <f t="shared" si="5"/>
        <v>-99.1</v>
      </c>
      <c r="E35" s="232">
        <f>'Fremtind Livsforsikring'!F35+'Danica Pensjonsforsikring'!F35+'DNB Livsforsikring'!F35+'Eika Forsikring AS'!F35+'Frende Livsforsikring'!F35+'Frende Skadeforsikring'!F35+'Gjensidige Forsikring'!F35+'Gjensidige Pensjon'!F35+'Handelsbanken Liv'!F35+'If Skadeforsikring NUF'!F35+KLP!F35+'KLP Skadeforsikring AS'!F35+'Landkreditt Forsikring'!F35+Insr!F35+'Nordea Liv '!F35+'Oslo Pensjonsforsikring'!F35+'Protector Forsikring'!F35+'SHB Liv'!F35+'Sparebank 1'!F35+'Storebrand Livsforsikring'!F35+'Telenor Forsikring'!F35+'Tryg Forsikring'!F35+'WaterCircles F'!F35+'Codan Forsikring'!F35+'Euro Accident'!F35+'Youplus Livsforsikring'!F35</f>
        <v>60364.423900000009</v>
      </c>
      <c r="F35" s="232">
        <f>'Fremtind Livsforsikring'!G35+'Danica Pensjonsforsikring'!G35+'DNB Livsforsikring'!G35+'Eika Forsikring AS'!G35+'Frende Livsforsikring'!G35+'Frende Skadeforsikring'!G35+'Gjensidige Forsikring'!G35+'Gjensidige Pensjon'!G35+'Handelsbanken Liv'!G35+'If Skadeforsikring NUF'!G35+KLP!G35+'KLP Skadeforsikring AS'!G35+'Landkreditt Forsikring'!G35+Insr!G35+'Nordea Liv '!G35+'Oslo Pensjonsforsikring'!G35+'Protector Forsikring'!G35+'SHB Liv'!G35+'Sparebank 1'!G35+'Storebrand Livsforsikring'!G35+'Telenor Forsikring'!G35+'Tryg Forsikring'!G35+'WaterCircles F'!G35+'Codan Forsikring'!G35+'Euro Accident'!G35+'Youplus Livsforsikring'!G35</f>
        <v>25074.088000000003</v>
      </c>
      <c r="G35" s="170">
        <f t="shared" si="6"/>
        <v>-58.5</v>
      </c>
      <c r="H35" s="301">
        <f t="shared" si="9"/>
        <v>8727.0379000000103</v>
      </c>
      <c r="I35" s="232">
        <f t="shared" si="7"/>
        <v>24629.924390000004</v>
      </c>
      <c r="J35" s="24">
        <f t="shared" si="8"/>
        <v>182.2</v>
      </c>
    </row>
    <row r="36" spans="1:10" s="43" customFormat="1" ht="15.75" customHeight="1" x14ac:dyDescent="0.2">
      <c r="A36" s="12" t="s">
        <v>278</v>
      </c>
      <c r="B36" s="232">
        <f>'Fremtind Livsforsikring'!B36+'Danica Pensjonsforsikring'!B36+'DNB Livsforsikring'!B36+'Eika Forsikring AS'!B36+'Frende Livsforsikring'!B36+'Frende Skadeforsikring'!B36+'Gjensidige Forsikring'!B36+'Gjensidige Pensjon'!B36+'Handelsbanken Liv'!B36+'If Skadeforsikring NUF'!B36+KLP!B36+'KLP Skadeforsikring AS'!B36+'Landkreditt Forsikring'!B36+Insr!B36+'Nordea Liv '!B36+'Oslo Pensjonsforsikring'!B36+'Protector Forsikring'!B36+'SHB Liv'!B36+'Sparebank 1'!B36+'Storebrand Livsforsikring'!B36+'Telenor Forsikring'!B36+'Tryg Forsikring'!B36+'WaterCircles F'!B36+'Codan Forsikring'!B36+'Euro Accident'!B36+'Youplus Livsforsikring'!B36</f>
        <v>999.26</v>
      </c>
      <c r="C36" s="232">
        <f>'Fremtind Livsforsikring'!C36+'Danica Pensjonsforsikring'!C36+'DNB Livsforsikring'!C36+'Eika Forsikring AS'!C36+'Frende Livsforsikring'!C36+'Frende Skadeforsikring'!C36+'Gjensidige Forsikring'!C36+'Gjensidige Pensjon'!C36+'Handelsbanken Liv'!C36+'If Skadeforsikring NUF'!C36+KLP!C36+'KLP Skadeforsikring AS'!C36+'Landkreditt Forsikring'!C36+Insr!C36+'Nordea Liv '!C36+'Oslo Pensjonsforsikring'!C36+'Protector Forsikring'!C36+'SHB Liv'!C36+'Sparebank 1'!C36+'Storebrand Livsforsikring'!C36+'Telenor Forsikring'!C36+'Tryg Forsikring'!C36+'WaterCircles F'!C36+'Codan Forsikring'!C36+'Euro Accident'!C36+'Youplus Livsforsikring'!C36</f>
        <v>1039.7314000000001</v>
      </c>
      <c r="D36" s="11">
        <f t="shared" si="5"/>
        <v>4.0999999999999996</v>
      </c>
      <c r="E36" s="232">
        <f>'Fremtind Livsforsikring'!F36+'Danica Pensjonsforsikring'!F36+'DNB Livsforsikring'!F36+'Eika Forsikring AS'!F36+'Frende Livsforsikring'!F36+'Frende Skadeforsikring'!F36+'Gjensidige Forsikring'!F36+'Gjensidige Pensjon'!F36+'Handelsbanken Liv'!F36+'If Skadeforsikring NUF'!F36+KLP!F36+'KLP Skadeforsikring AS'!F36+'Landkreditt Forsikring'!F36+Insr!F36+'Nordea Liv '!F36+'Oslo Pensjonsforsikring'!F36+'Protector Forsikring'!F36+'SHB Liv'!F36+'Sparebank 1'!F36+'Storebrand Livsforsikring'!F36+'Telenor Forsikring'!F36+'Tryg Forsikring'!F36+'WaterCircles F'!F36+'Codan Forsikring'!F36+'Euro Accident'!F36+'Youplus Livsforsikring'!F36</f>
        <v>0</v>
      </c>
      <c r="F36" s="232">
        <f>'Fremtind Livsforsikring'!G36+'Danica Pensjonsforsikring'!G36+'DNB Livsforsikring'!G36+'Eika Forsikring AS'!G36+'Frende Livsforsikring'!G36+'Frende Skadeforsikring'!G36+'Gjensidige Forsikring'!G36+'Gjensidige Pensjon'!G36+'Handelsbanken Liv'!G36+'If Skadeforsikring NUF'!G36+KLP!G36+'KLP Skadeforsikring AS'!G36+'Landkreditt Forsikring'!G36+Insr!G36+'Nordea Liv '!G36+'Oslo Pensjonsforsikring'!G36+'Protector Forsikring'!G36+'SHB Liv'!G36+'Sparebank 1'!G36+'Storebrand Livsforsikring'!G36+'Telenor Forsikring'!G36+'Tryg Forsikring'!G36+'WaterCircles F'!G36+'Codan Forsikring'!G36+'Euro Accident'!G36+'Youplus Livsforsikring'!G36</f>
        <v>0</v>
      </c>
      <c r="G36" s="170"/>
      <c r="H36" s="301">
        <f t="shared" si="9"/>
        <v>999.26</v>
      </c>
      <c r="I36" s="232">
        <f t="shared" si="7"/>
        <v>1039.7314000000001</v>
      </c>
      <c r="J36" s="11">
        <f t="shared" si="8"/>
        <v>4.0999999999999996</v>
      </c>
    </row>
    <row r="37" spans="1:10" s="43" customFormat="1" ht="15.75" customHeight="1" x14ac:dyDescent="0.2">
      <c r="A37" s="558" t="s">
        <v>367</v>
      </c>
      <c r="B37" s="232">
        <f>'Fremtind Livsforsikring'!B37+'Danica Pensjonsforsikring'!B37+'DNB Livsforsikring'!B37+'Eika Forsikring AS'!B37+'Frende Livsforsikring'!B37+'Frende Skadeforsikring'!B37+'Gjensidige Forsikring'!B37+'Gjensidige Pensjon'!B37+'Handelsbanken Liv'!B37+'If Skadeforsikring NUF'!B37+KLP!B37+'KLP Skadeforsikring AS'!B37+'Landkreditt Forsikring'!B37+Insr!B37+'Nordea Liv '!B37+'Oslo Pensjonsforsikring'!B37+'Protector Forsikring'!B37+'SHB Liv'!B37+'Sparebank 1'!B37+'Storebrand Livsforsikring'!B37+'Telenor Forsikring'!B37+'Tryg Forsikring'!B37+'WaterCircles F'!B37+'Codan Forsikring'!B37+'Euro Accident'!B37+'Youplus Livsforsikring'!B37</f>
        <v>3348615.6830000002</v>
      </c>
      <c r="C37" s="232">
        <f>'Fremtind Livsforsikring'!C37+'Danica Pensjonsforsikring'!C37+'DNB Livsforsikring'!C37+'Eika Forsikring AS'!C37+'Frende Livsforsikring'!C37+'Frende Skadeforsikring'!C37+'Gjensidige Forsikring'!C37+'Gjensidige Pensjon'!C37+'Handelsbanken Liv'!C37+'If Skadeforsikring NUF'!C37+KLP!C37+'KLP Skadeforsikring AS'!C37+'Landkreditt Forsikring'!C37+Insr!C37+'Nordea Liv '!C37+'Oslo Pensjonsforsikring'!C37+'Protector Forsikring'!C37+'SHB Liv'!C37+'Sparebank 1'!C37+'Storebrand Livsforsikring'!C37+'Telenor Forsikring'!C37+'Tryg Forsikring'!C37+'WaterCircles F'!C37+'Codan Forsikring'!C37+'Euro Accident'!C37+'Youplus Livsforsikring'!C37</f>
        <v>3114349.8629999999</v>
      </c>
      <c r="D37" s="24">
        <f t="shared" si="5"/>
        <v>-7</v>
      </c>
      <c r="E37" s="232">
        <f>'Fremtind Livsforsikring'!F37+'Danica Pensjonsforsikring'!F37+'DNB Livsforsikring'!F37+'Eika Forsikring AS'!F37+'Frende Livsforsikring'!F37+'Frende Skadeforsikring'!F37+'Gjensidige Forsikring'!F37+'Gjensidige Pensjon'!F37+'Handelsbanken Liv'!F37+'If Skadeforsikring NUF'!F37+KLP!F37+'KLP Skadeforsikring AS'!F37+'Landkreditt Forsikring'!F37+Insr!F37+'Nordea Liv '!F37+'Oslo Pensjonsforsikring'!F37+'Protector Forsikring'!F37+'SHB Liv'!F37+'Sparebank 1'!F37+'Storebrand Livsforsikring'!F37+'Telenor Forsikring'!F37+'Tryg Forsikring'!F37+'WaterCircles F'!F37+'Codan Forsikring'!F37+'Euro Accident'!F37+'Youplus Livsforsikring'!F37</f>
        <v>0</v>
      </c>
      <c r="F37" s="232">
        <f>'Fremtind Livsforsikring'!G37+'Danica Pensjonsforsikring'!G37+'DNB Livsforsikring'!G37+'Eika Forsikring AS'!G37+'Frende Livsforsikring'!G37+'Frende Skadeforsikring'!G37+'Gjensidige Forsikring'!G37+'Gjensidige Pensjon'!G37+'Handelsbanken Liv'!G37+'If Skadeforsikring NUF'!G37+KLP!G37+'KLP Skadeforsikring AS'!G37+'Landkreditt Forsikring'!G37+Insr!G37+'Nordea Liv '!G37+'Oslo Pensjonsforsikring'!G37+'Protector Forsikring'!G37+'SHB Liv'!G37+'Sparebank 1'!G37+'Storebrand Livsforsikring'!G37+'Telenor Forsikring'!G37+'Tryg Forsikring'!G37+'WaterCircles F'!G37+'Codan Forsikring'!G37+'Euro Accident'!G37+'Youplus Livsforsikring'!G37</f>
        <v>0</v>
      </c>
      <c r="G37" s="170"/>
      <c r="H37" s="301">
        <f t="shared" si="9"/>
        <v>3348615.6830000002</v>
      </c>
      <c r="I37" s="232">
        <f t="shared" si="7"/>
        <v>3114349.8629999999</v>
      </c>
      <c r="J37" s="24">
        <f t="shared" si="8"/>
        <v>-7</v>
      </c>
    </row>
    <row r="38" spans="1:10" s="43" customFormat="1" ht="15.75" customHeight="1" x14ac:dyDescent="0.2">
      <c r="A38" s="558" t="s">
        <v>368</v>
      </c>
      <c r="B38" s="232">
        <f>'Fremtind Livsforsikring'!B38+'Danica Pensjonsforsikring'!B38+'DNB Livsforsikring'!B38+'Eika Forsikring AS'!B38+'Frende Livsforsikring'!B38+'Frende Skadeforsikring'!B38+'Gjensidige Forsikring'!B38+'Gjensidige Pensjon'!B38+'Handelsbanken Liv'!B38+'If Skadeforsikring NUF'!B38+KLP!B38+'KLP Skadeforsikring AS'!B38+'Landkreditt Forsikring'!B38+Insr!B38+'Nordea Liv '!B38+'Oslo Pensjonsforsikring'!B38+'Protector Forsikring'!B38+'SHB Liv'!B38+'Sparebank 1'!B38+'Storebrand Livsforsikring'!B38+'Telenor Forsikring'!B38+'Tryg Forsikring'!B38+'WaterCircles F'!B38+'Codan Forsikring'!B38+'Euro Accident'!B38+'Youplus Livsforsikring'!B38</f>
        <v>0</v>
      </c>
      <c r="C38" s="232">
        <f>'Fremtind Livsforsikring'!C38+'Danica Pensjonsforsikring'!C38+'DNB Livsforsikring'!C38+'Eika Forsikring AS'!C38+'Frende Livsforsikring'!C38+'Frende Skadeforsikring'!C38+'Gjensidige Forsikring'!C38+'Gjensidige Pensjon'!C38+'Handelsbanken Liv'!C38+'If Skadeforsikring NUF'!C38+KLP!C38+'KLP Skadeforsikring AS'!C38+'Landkreditt Forsikring'!C38+Insr!C38+'Nordea Liv '!C38+'Oslo Pensjonsforsikring'!C38+'Protector Forsikring'!C38+'SHB Liv'!C38+'Sparebank 1'!C38+'Storebrand Livsforsikring'!C38+'Telenor Forsikring'!C38+'Tryg Forsikring'!C38+'WaterCircles F'!C38+'Codan Forsikring'!C38+'Euro Accident'!C38+'Youplus Livsforsikring'!C38</f>
        <v>0</v>
      </c>
      <c r="D38" s="24"/>
      <c r="E38" s="232">
        <f>'Fremtind Livsforsikring'!F38+'Danica Pensjonsforsikring'!F38+'DNB Livsforsikring'!F38+'Eika Forsikring AS'!F38+'Frende Livsforsikring'!F38+'Frende Skadeforsikring'!F38+'Gjensidige Forsikring'!F38+'Gjensidige Pensjon'!F38+'Handelsbanken Liv'!F38+'If Skadeforsikring NUF'!F38+KLP!F38+'KLP Skadeforsikring AS'!F38+'Landkreditt Forsikring'!F38+Insr!F38+'Nordea Liv '!F38+'Oslo Pensjonsforsikring'!F38+'Protector Forsikring'!F38+'SHB Liv'!F38+'Sparebank 1'!F38+'Storebrand Livsforsikring'!F38+'Telenor Forsikring'!F38+'Tryg Forsikring'!F38+'WaterCircles F'!F38+'Codan Forsikring'!F38+'Euro Accident'!F38+'Youplus Livsforsikring'!F38</f>
        <v>0</v>
      </c>
      <c r="F38" s="232">
        <f>'Fremtind Livsforsikring'!G38+'Danica Pensjonsforsikring'!G38+'DNB Livsforsikring'!G38+'Eika Forsikring AS'!G38+'Frende Livsforsikring'!G38+'Frende Skadeforsikring'!G38+'Gjensidige Forsikring'!G38+'Gjensidige Pensjon'!G38+'Handelsbanken Liv'!G38+'If Skadeforsikring NUF'!G38+KLP!G38+'KLP Skadeforsikring AS'!G38+'Landkreditt Forsikring'!G38+Insr!G38+'Nordea Liv '!G38+'Oslo Pensjonsforsikring'!G38+'Protector Forsikring'!G38+'SHB Liv'!G38+'Sparebank 1'!G38+'Storebrand Livsforsikring'!G38+'Telenor Forsikring'!G38+'Tryg Forsikring'!G38+'WaterCircles F'!G38+'Codan Forsikring'!G38+'Euro Accident'!G38+'Youplus Livsforsikring'!G38</f>
        <v>0</v>
      </c>
      <c r="G38" s="170"/>
      <c r="H38" s="301">
        <f t="shared" si="9"/>
        <v>0</v>
      </c>
      <c r="I38" s="232">
        <f t="shared" si="7"/>
        <v>0</v>
      </c>
      <c r="J38" s="24"/>
    </row>
    <row r="39" spans="1:10" s="43" customFormat="1" ht="15.75" customHeight="1" x14ac:dyDescent="0.2">
      <c r="A39" s="559" t="s">
        <v>369</v>
      </c>
      <c r="B39" s="272">
        <f>'Fremtind Livsforsikring'!B39+'Danica Pensjonsforsikring'!B39+'DNB Livsforsikring'!B39+'Eika Forsikring AS'!B39+'Frende Livsforsikring'!B39+'Frende Skadeforsikring'!B39+'Gjensidige Forsikring'!B39+'Gjensidige Pensjon'!B39+'Handelsbanken Liv'!B39+'If Skadeforsikring NUF'!B39+KLP!B39+'KLP Skadeforsikring AS'!B39+'Landkreditt Forsikring'!B39+Insr!B39+'Nordea Liv '!B39+'Oslo Pensjonsforsikring'!B39+'Protector Forsikring'!B39+'SHB Liv'!B39+'Sparebank 1'!B39+'Storebrand Livsforsikring'!B39+'Telenor Forsikring'!B39+'Tryg Forsikring'!B39+'WaterCircles F'!B39+'Codan Forsikring'!B39+'Euro Accident'!B39+'Youplus Livsforsikring'!B39</f>
        <v>2</v>
      </c>
      <c r="C39" s="272">
        <f>'Fremtind Livsforsikring'!C39+'Danica Pensjonsforsikring'!C39+'DNB Livsforsikring'!C39+'Eika Forsikring AS'!C39+'Frende Livsforsikring'!C39+'Frende Skadeforsikring'!C39+'Gjensidige Forsikring'!C39+'Gjensidige Pensjon'!C39+'Handelsbanken Liv'!C39+'If Skadeforsikring NUF'!C39+KLP!C39+'KLP Skadeforsikring AS'!C39+'Landkreditt Forsikring'!C39+Insr!C39+'Nordea Liv '!C39+'Oslo Pensjonsforsikring'!C39+'Protector Forsikring'!C39+'SHB Liv'!C39+'Sparebank 1'!C39+'Storebrand Livsforsikring'!C39+'Telenor Forsikring'!C39+'Tryg Forsikring'!C39+'WaterCircles F'!C39+'Codan Forsikring'!C39+'Euro Accident'!C39+'Youplus Livsforsikring'!C39</f>
        <v>2</v>
      </c>
      <c r="D39" s="36">
        <f t="shared" si="5"/>
        <v>0</v>
      </c>
      <c r="E39" s="272">
        <f>'Fremtind Livsforsikring'!F39+'Danica Pensjonsforsikring'!F39+'DNB Livsforsikring'!F39+'Eika Forsikring AS'!F39+'Frende Livsforsikring'!F39+'Frende Skadeforsikring'!F39+'Gjensidige Forsikring'!F39+'Gjensidige Pensjon'!F39+'Handelsbanken Liv'!F39+'If Skadeforsikring NUF'!F39+KLP!F39+'KLP Skadeforsikring AS'!F39+'Landkreditt Forsikring'!F39+Insr!F39+'Nordea Liv '!F39+'Oslo Pensjonsforsikring'!F39+'Protector Forsikring'!F39+'SHB Liv'!F39+'Sparebank 1'!F39+'Storebrand Livsforsikring'!F39+'Telenor Forsikring'!F39+'Tryg Forsikring'!F39+'WaterCircles F'!F39+'Codan Forsikring'!F39+'Euro Accident'!F39+'Youplus Livsforsikring'!F39</f>
        <v>0</v>
      </c>
      <c r="F39" s="272">
        <f>'Fremtind Livsforsikring'!G39+'Danica Pensjonsforsikring'!G39+'DNB Livsforsikring'!G39+'Eika Forsikring AS'!G39+'Frende Livsforsikring'!G39+'Frende Skadeforsikring'!G39+'Gjensidige Forsikring'!G39+'Gjensidige Pensjon'!G39+'Handelsbanken Liv'!G39+'If Skadeforsikring NUF'!G39+KLP!G39+'KLP Skadeforsikring AS'!G39+'Landkreditt Forsikring'!G39+Insr!G39+'Nordea Liv '!G39+'Oslo Pensjonsforsikring'!G39+'Protector Forsikring'!G39+'SHB Liv'!G39+'Sparebank 1'!G39+'Storebrand Livsforsikring'!G39+'Telenor Forsikring'!G39+'Tryg Forsikring'!G39+'WaterCircles F'!G39+'Codan Forsikring'!G39+'Euro Accident'!G39+'Youplus Livsforsikring'!G39</f>
        <v>0</v>
      </c>
      <c r="G39" s="168"/>
      <c r="H39" s="307">
        <f t="shared" si="9"/>
        <v>2</v>
      </c>
      <c r="I39" s="272">
        <f t="shared" si="7"/>
        <v>2</v>
      </c>
      <c r="J39" s="36">
        <f t="shared" si="8"/>
        <v>0</v>
      </c>
    </row>
    <row r="40" spans="1:10" ht="15.75" customHeight="1" x14ac:dyDescent="0.2">
      <c r="A40" s="47"/>
    </row>
    <row r="41" spans="1:10" ht="15.75" customHeight="1" x14ac:dyDescent="0.2">
      <c r="A41" s="154"/>
    </row>
    <row r="42" spans="1:10" ht="15.75" customHeight="1" x14ac:dyDescent="0.25">
      <c r="A42" s="147" t="s">
        <v>267</v>
      </c>
      <c r="B42" s="719"/>
      <c r="C42" s="719"/>
      <c r="D42" s="719"/>
      <c r="E42" s="723"/>
      <c r="F42" s="723"/>
      <c r="G42" s="723"/>
      <c r="H42" s="723"/>
      <c r="I42" s="723"/>
      <c r="J42" s="723"/>
    </row>
    <row r="43" spans="1:10" ht="15.75" customHeight="1" x14ac:dyDescent="0.25">
      <c r="A43" s="162"/>
      <c r="B43" s="421"/>
      <c r="C43" s="421"/>
      <c r="D43" s="421"/>
      <c r="E43" s="291"/>
      <c r="F43" s="291"/>
      <c r="G43" s="291"/>
      <c r="H43" s="291"/>
      <c r="I43" s="291"/>
      <c r="J43" s="291"/>
    </row>
    <row r="44" spans="1:10" s="3" customFormat="1" ht="15.75" customHeight="1" x14ac:dyDescent="0.25">
      <c r="A44" s="243"/>
      <c r="B44" s="317" t="s">
        <v>0</v>
      </c>
      <c r="C44" s="318"/>
      <c r="D44" s="248"/>
      <c r="E44" s="42"/>
      <c r="F44" s="42"/>
      <c r="G44" s="40"/>
      <c r="H44" s="42"/>
      <c r="I44" s="42"/>
      <c r="J44" s="40"/>
    </row>
    <row r="45" spans="1:10" s="3" customFormat="1" ht="15.75" customHeight="1" x14ac:dyDescent="0.2">
      <c r="A45" s="140"/>
      <c r="B45" s="20">
        <v>44286</v>
      </c>
      <c r="C45" s="20">
        <v>44651</v>
      </c>
      <c r="D45" s="246" t="s">
        <v>3</v>
      </c>
      <c r="E45" s="42"/>
      <c r="F45" s="42"/>
      <c r="G45" s="40"/>
      <c r="H45" s="42"/>
      <c r="I45" s="42"/>
      <c r="J45" s="40"/>
    </row>
    <row r="46" spans="1:10" s="3" customFormat="1" ht="15.75" customHeight="1" x14ac:dyDescent="0.2">
      <c r="A46" s="701"/>
      <c r="B46" s="46"/>
      <c r="C46" s="247"/>
      <c r="D46" s="17" t="s">
        <v>4</v>
      </c>
      <c r="E46" s="40"/>
      <c r="F46" s="40"/>
      <c r="G46" s="40"/>
      <c r="H46" s="40"/>
      <c r="I46" s="40"/>
      <c r="J46" s="40"/>
    </row>
    <row r="47" spans="1:10" s="406" customFormat="1" ht="15.75" customHeight="1" x14ac:dyDescent="0.2">
      <c r="A47" s="14" t="s">
        <v>23</v>
      </c>
      <c r="B47" s="232">
        <f>'Fremtind Livsforsikring'!B47+'Danica Pensjonsforsikring'!B47+'DNB Livsforsikring'!B47+'Eika Forsikring AS'!B47+'Frende Livsforsikring'!B47+'Frende Skadeforsikring'!B47+'Gjensidige Forsikring'!B47+'Gjensidige Pensjon'!B47+'Handelsbanken Liv'!B47+'If Skadeforsikring NUF'!B47+KLP!B47+'KLP Skadeforsikring AS'!B47+'Landkreditt Forsikring'!B47+Insr!B47+'Nordea Liv '!B47+'Oslo Pensjonsforsikring'!B47+'Protector Forsikring'!B47+'SHB Liv'!B47+'Sparebank 1'!B47+'Storebrand Livsforsikring'!B47+'Telenor Forsikring'!B47+'Tryg Forsikring'!B47+'WaterCircles F'!B47+'Codan Forsikring'!B47+'Euro Accident'!B47+'Youplus Livsforsikring'!B47</f>
        <v>3163569.7775028311</v>
      </c>
      <c r="C47" s="232">
        <f>'Fremtind Livsforsikring'!C47+'Danica Pensjonsforsikring'!C47+'DNB Livsforsikring'!C47+'Eika Forsikring AS'!C47+'Frende Livsforsikring'!C47+'Frende Skadeforsikring'!C47+'Gjensidige Forsikring'!C47+'Gjensidige Pensjon'!C47+'Handelsbanken Liv'!C47+'If Skadeforsikring NUF'!C47+KLP!C47+'KLP Skadeforsikring AS'!C47+'Landkreditt Forsikring'!C47+Insr!C47+'Nordea Liv '!C47+'Oslo Pensjonsforsikring'!C47+'Protector Forsikring'!C47+'SHB Liv'!C47+'Sparebank 1'!C47+'Storebrand Livsforsikring'!C47+'Telenor Forsikring'!C47+'Tryg Forsikring'!C47+'WaterCircles F'!C47+'Codan Forsikring'!C47+'Euro Accident'!C47+'Youplus Livsforsikring'!C47</f>
        <v>3455491.0555133065</v>
      </c>
      <c r="D47" s="24">
        <f t="shared" ref="D47:D57" si="22">IF(B47=0, "    ---- ", IF(ABS(ROUND(100/B47*C47-100,1))&lt;999,ROUND(100/B47*C47-100,1),IF(ROUND(100/B47*C47-100,1)&gt;999,999,-999)))</f>
        <v>9.1999999999999993</v>
      </c>
      <c r="E47" s="407"/>
      <c r="F47" s="408"/>
      <c r="G47" s="32"/>
      <c r="H47" s="409"/>
      <c r="I47" s="409"/>
      <c r="J47" s="32"/>
    </row>
    <row r="48" spans="1:10" s="3" customFormat="1" ht="15.75" customHeight="1" x14ac:dyDescent="0.2">
      <c r="A48" s="38" t="s">
        <v>370</v>
      </c>
      <c r="B48" s="44">
        <f>'Fremtind Livsforsikring'!B48+'Danica Pensjonsforsikring'!B48+'DNB Livsforsikring'!B48+'Eika Forsikring AS'!B48+'Frende Livsforsikring'!B48+'Frende Skadeforsikring'!B48+'Gjensidige Forsikring'!B48+'Gjensidige Pensjon'!B48+'Handelsbanken Liv'!B48+'If Skadeforsikring NUF'!B48+KLP!B48+'KLP Skadeforsikring AS'!B48+'Landkreditt Forsikring'!B48+Insr!B48+'Nordea Liv '!B48+'Oslo Pensjonsforsikring'!B48+'Protector Forsikring'!B48+'SHB Liv'!B48+'Sparebank 1'!B48+'Storebrand Livsforsikring'!B48+'Telenor Forsikring'!B48+'Tryg Forsikring'!B48+'WaterCircles F'!B48+'Codan Forsikring'!B48+'Euro Accident'!B48+'Youplus Livsforsikring'!B48</f>
        <v>1715270.8797628307</v>
      </c>
      <c r="C48" s="44">
        <f>'Fremtind Livsforsikring'!C48+'Danica Pensjonsforsikring'!C48+'DNB Livsforsikring'!C48+'Eika Forsikring AS'!C48+'Frende Livsforsikring'!C48+'Frende Skadeforsikring'!C48+'Gjensidige Forsikring'!C48+'Gjensidige Pensjon'!C48+'Handelsbanken Liv'!C48+'If Skadeforsikring NUF'!C48+KLP!C48+'KLP Skadeforsikring AS'!C48+'Landkreditt Forsikring'!C48+Insr!C48+'Nordea Liv '!C48+'Oslo Pensjonsforsikring'!C48+'Protector Forsikring'!C48+'SHB Liv'!C48+'Sparebank 1'!C48+'Storebrand Livsforsikring'!C48+'Telenor Forsikring'!C48+'Tryg Forsikring'!C48+'WaterCircles F'!C48+'Codan Forsikring'!C48+'Euro Accident'!C48+'Youplus Livsforsikring'!C48</f>
        <v>1889708.7202633061</v>
      </c>
      <c r="D48" s="24">
        <f t="shared" si="22"/>
        <v>10.199999999999999</v>
      </c>
      <c r="E48" s="35"/>
      <c r="F48" s="5"/>
      <c r="G48" s="34"/>
      <c r="H48" s="33"/>
      <c r="I48" s="33"/>
      <c r="J48" s="32"/>
    </row>
    <row r="49" spans="1:10" s="3" customFormat="1" ht="15.75" customHeight="1" x14ac:dyDescent="0.2">
      <c r="A49" s="38" t="s">
        <v>371</v>
      </c>
      <c r="B49" s="44">
        <f>'Fremtind Livsforsikring'!B49+'Danica Pensjonsforsikring'!B49+'DNB Livsforsikring'!B49+'Eika Forsikring AS'!B49+'Frende Livsforsikring'!B49+'Frende Skadeforsikring'!B49+'Gjensidige Forsikring'!B49+'Gjensidige Pensjon'!B49+'Handelsbanken Liv'!B49+'If Skadeforsikring NUF'!B49+KLP!B49+'KLP Skadeforsikring AS'!B49+'Landkreditt Forsikring'!B49+Insr!B49+'Nordea Liv '!B49+'Oslo Pensjonsforsikring'!B49+'Protector Forsikring'!B49+'SHB Liv'!B49+'Sparebank 1'!B49+'Storebrand Livsforsikring'!B49+'Telenor Forsikring'!B49+'Tryg Forsikring'!B49+'WaterCircles F'!B49+'Codan Forsikring'!B49+'Euro Accident'!B49+'Youplus Livsforsikring'!B49</f>
        <v>1448298.8977399999</v>
      </c>
      <c r="C49" s="44">
        <f>'Fremtind Livsforsikring'!C49+'Danica Pensjonsforsikring'!C49+'DNB Livsforsikring'!C49+'Eika Forsikring AS'!C49+'Frende Livsforsikring'!C49+'Frende Skadeforsikring'!C49+'Gjensidige Forsikring'!C49+'Gjensidige Pensjon'!C49+'Handelsbanken Liv'!C49+'If Skadeforsikring NUF'!C49+KLP!C49+'KLP Skadeforsikring AS'!C49+'Landkreditt Forsikring'!C49+Insr!C49+'Nordea Liv '!C49+'Oslo Pensjonsforsikring'!C49+'Protector Forsikring'!C49+'SHB Liv'!C49+'Sparebank 1'!C49+'Storebrand Livsforsikring'!C49+'Telenor Forsikring'!C49+'Tryg Forsikring'!C49+'WaterCircles F'!C49+'Codan Forsikring'!C49+'Euro Accident'!C49+'Youplus Livsforsikring'!C49</f>
        <v>1565782.33525</v>
      </c>
      <c r="D49" s="24">
        <f t="shared" si="22"/>
        <v>8.1</v>
      </c>
      <c r="E49" s="35"/>
      <c r="F49" s="5"/>
      <c r="G49" s="34"/>
      <c r="H49" s="37"/>
      <c r="I49" s="37"/>
      <c r="J49" s="32"/>
    </row>
    <row r="50" spans="1:10" s="3" customFormat="1" ht="15.75" customHeight="1" x14ac:dyDescent="0.2">
      <c r="A50" s="289" t="s">
        <v>6</v>
      </c>
      <c r="B50" s="281"/>
      <c r="C50" s="281"/>
      <c r="D50" s="27"/>
      <c r="E50" s="35"/>
      <c r="F50" s="5"/>
      <c r="G50" s="34"/>
      <c r="H50" s="33"/>
      <c r="I50" s="33"/>
      <c r="J50" s="32"/>
    </row>
    <row r="51" spans="1:10" s="3" customFormat="1" ht="15.75" customHeight="1" x14ac:dyDescent="0.2">
      <c r="A51" s="289" t="s">
        <v>7</v>
      </c>
      <c r="B51" s="281"/>
      <c r="C51" s="281"/>
      <c r="D51" s="27"/>
      <c r="E51" s="35"/>
      <c r="F51" s="5"/>
      <c r="G51" s="34"/>
      <c r="H51" s="33"/>
      <c r="I51" s="33"/>
      <c r="J51" s="32"/>
    </row>
    <row r="52" spans="1:10" s="3" customFormat="1" ht="15.75" customHeight="1" x14ac:dyDescent="0.2">
      <c r="A52" s="289" t="s">
        <v>8</v>
      </c>
      <c r="B52" s="281"/>
      <c r="C52" s="281"/>
      <c r="D52" s="27"/>
      <c r="E52" s="35"/>
      <c r="F52" s="5"/>
      <c r="G52" s="34"/>
      <c r="H52" s="33"/>
      <c r="I52" s="33"/>
      <c r="J52" s="32"/>
    </row>
    <row r="53" spans="1:10" s="406" customFormat="1" ht="15.75" customHeight="1" x14ac:dyDescent="0.2">
      <c r="A53" s="39" t="s">
        <v>372</v>
      </c>
      <c r="B53" s="232">
        <f>'Fremtind Livsforsikring'!B53+'Danica Pensjonsforsikring'!B53+'DNB Livsforsikring'!B53+'Eika Forsikring AS'!B53+'Frende Livsforsikring'!B53+'Frende Skadeforsikring'!B53+'Gjensidige Forsikring'!B53+'Gjensidige Pensjon'!B53+'Handelsbanken Liv'!B53+'If Skadeforsikring NUF'!B53+KLP!B53+'KLP Skadeforsikring AS'!B53+'Landkreditt Forsikring'!B53+Insr!B53+'Nordea Liv '!B53+'Oslo Pensjonsforsikring'!B53+'Protector Forsikring'!B53+'SHB Liv'!B53+'Sparebank 1'!B53+'Storebrand Livsforsikring'!B53+'Telenor Forsikring'!B53+'Tryg Forsikring'!B53+'WaterCircles F'!B53+'Codan Forsikring'!B53+'Euro Accident'!B53+'Youplus Livsforsikring'!B53</f>
        <v>219648.68387602182</v>
      </c>
      <c r="C53" s="232">
        <f>'Fremtind Livsforsikring'!C53+'Danica Pensjonsforsikring'!C53+'DNB Livsforsikring'!C53+'Eika Forsikring AS'!C53+'Frende Livsforsikring'!C53+'Frende Skadeforsikring'!C53+'Gjensidige Forsikring'!C53+'Gjensidige Pensjon'!C53+'Handelsbanken Liv'!C53+'If Skadeforsikring NUF'!C53+KLP!C53+'KLP Skadeforsikring AS'!C53+'Landkreditt Forsikring'!C53+Insr!C53+'Nordea Liv '!C53+'Oslo Pensjonsforsikring'!C53+'Protector Forsikring'!C53+'SHB Liv'!C53+'Sparebank 1'!C53+'Storebrand Livsforsikring'!C53+'Telenor Forsikring'!C53+'Tryg Forsikring'!C53+'WaterCircles F'!C53+'Codan Forsikring'!C53+'Euro Accident'!C53+'Youplus Livsforsikring'!C53</f>
        <v>106971.553</v>
      </c>
      <c r="D53" s="24">
        <f t="shared" si="22"/>
        <v>-51.3</v>
      </c>
      <c r="E53" s="407"/>
      <c r="F53" s="408"/>
      <c r="G53" s="32"/>
      <c r="H53" s="172"/>
      <c r="I53" s="172"/>
      <c r="J53" s="32"/>
    </row>
    <row r="54" spans="1:10" s="3" customFormat="1" ht="15.75" customHeight="1" x14ac:dyDescent="0.2">
      <c r="A54" s="38" t="s">
        <v>370</v>
      </c>
      <c r="B54" s="44">
        <f>'Fremtind Livsforsikring'!B54+'Danica Pensjonsforsikring'!B54+'DNB Livsforsikring'!B54+'Eika Forsikring AS'!B54+'Frende Livsforsikring'!B54+'Frende Skadeforsikring'!B54+'Gjensidige Forsikring'!B54+'Gjensidige Pensjon'!B54+'Handelsbanken Liv'!B54+'If Skadeforsikring NUF'!B54+KLP!B54+'KLP Skadeforsikring AS'!B54+'Landkreditt Forsikring'!B54+Insr!B54+'Nordea Liv '!B54+'Oslo Pensjonsforsikring'!B54+'Protector Forsikring'!B54+'SHB Liv'!B54+'Sparebank 1'!B54+'Storebrand Livsforsikring'!B54+'Telenor Forsikring'!B54+'Tryg Forsikring'!B54+'WaterCircles F'!B54+'Codan Forsikring'!B54+'Euro Accident'!B54+'Youplus Livsforsikring'!B54</f>
        <v>200788.4198760218</v>
      </c>
      <c r="C54" s="44">
        <f>'Fremtind Livsforsikring'!C54+'Danica Pensjonsforsikring'!C54+'DNB Livsforsikring'!C54+'Eika Forsikring AS'!C54+'Frende Livsforsikring'!C54+'Frende Skadeforsikring'!C54+'Gjensidige Forsikring'!C54+'Gjensidige Pensjon'!C54+'Handelsbanken Liv'!C54+'If Skadeforsikring NUF'!C54+KLP!C54+'KLP Skadeforsikring AS'!C54+'Landkreditt Forsikring'!C54+Insr!C54+'Nordea Liv '!C54+'Oslo Pensjonsforsikring'!C54+'Protector Forsikring'!C54+'SHB Liv'!C54+'Sparebank 1'!C54+'Storebrand Livsforsikring'!C54+'Telenor Forsikring'!C54+'Tryg Forsikring'!C54+'WaterCircles F'!C54+'Codan Forsikring'!C54+'Euro Accident'!C54+'Youplus Livsforsikring'!C54</f>
        <v>93022.553</v>
      </c>
      <c r="D54" s="24">
        <f t="shared" si="22"/>
        <v>-53.7</v>
      </c>
      <c r="E54" s="35"/>
      <c r="F54" s="5"/>
      <c r="G54" s="34"/>
      <c r="H54" s="33"/>
      <c r="I54" s="33"/>
      <c r="J54" s="32"/>
    </row>
    <row r="55" spans="1:10" s="3" customFormat="1" ht="15.75" customHeight="1" x14ac:dyDescent="0.2">
      <c r="A55" s="38" t="s">
        <v>371</v>
      </c>
      <c r="B55" s="44">
        <f>'Fremtind Livsforsikring'!B55+'Danica Pensjonsforsikring'!B55+'DNB Livsforsikring'!B55+'Eika Forsikring AS'!B55+'Frende Livsforsikring'!B55+'Frende Skadeforsikring'!B55+'Gjensidige Forsikring'!B55+'Gjensidige Pensjon'!B55+'Handelsbanken Liv'!B55+'If Skadeforsikring NUF'!B55+KLP!B55+'KLP Skadeforsikring AS'!B55+'Landkreditt Forsikring'!B55+Insr!B55+'Nordea Liv '!B55+'Oslo Pensjonsforsikring'!B55+'Protector Forsikring'!B55+'SHB Liv'!B55+'Sparebank 1'!B55+'Storebrand Livsforsikring'!B55+'Telenor Forsikring'!B55+'Tryg Forsikring'!B55+'WaterCircles F'!B55+'Codan Forsikring'!B55+'Euro Accident'!B55+'Youplus Livsforsikring'!B55</f>
        <v>18860.263999999999</v>
      </c>
      <c r="C55" s="44">
        <f>'Fremtind Livsforsikring'!C55+'Danica Pensjonsforsikring'!C55+'DNB Livsforsikring'!C55+'Eika Forsikring AS'!C55+'Frende Livsforsikring'!C55+'Frende Skadeforsikring'!C55+'Gjensidige Forsikring'!C55+'Gjensidige Pensjon'!C55+'Handelsbanken Liv'!C55+'If Skadeforsikring NUF'!C55+KLP!C55+'KLP Skadeforsikring AS'!C55+'Landkreditt Forsikring'!C55+Insr!C55+'Nordea Liv '!C55+'Oslo Pensjonsforsikring'!C55+'Protector Forsikring'!C55+'SHB Liv'!C55+'Sparebank 1'!C55+'Storebrand Livsforsikring'!C55+'Telenor Forsikring'!C55+'Tryg Forsikring'!C55+'WaterCircles F'!C55+'Codan Forsikring'!C55+'Euro Accident'!C55+'Youplus Livsforsikring'!C55</f>
        <v>13949</v>
      </c>
      <c r="D55" s="24">
        <f t="shared" si="22"/>
        <v>-26</v>
      </c>
      <c r="E55" s="35"/>
      <c r="F55" s="5"/>
      <c r="G55" s="34"/>
      <c r="H55" s="33"/>
      <c r="I55" s="33"/>
      <c r="J55" s="32"/>
    </row>
    <row r="56" spans="1:10" s="406" customFormat="1" ht="15.75" customHeight="1" x14ac:dyDescent="0.2">
      <c r="A56" s="39" t="s">
        <v>373</v>
      </c>
      <c r="B56" s="232">
        <f>'Fremtind Livsforsikring'!B56+'Danica Pensjonsforsikring'!B56+'DNB Livsforsikring'!B56+'Eika Forsikring AS'!B56+'Frende Livsforsikring'!B56+'Frende Skadeforsikring'!B56+'Gjensidige Forsikring'!B56+'Gjensidige Pensjon'!B56+'Handelsbanken Liv'!B56+'If Skadeforsikring NUF'!B56+KLP!B56+'KLP Skadeforsikring AS'!B56+'Landkreditt Forsikring'!B56+Insr!B56+'Nordea Liv '!B56+'Oslo Pensjonsforsikring'!B56+'Protector Forsikring'!B56+'SHB Liv'!B56+'Sparebank 1'!B56+'Storebrand Livsforsikring'!B56+'Telenor Forsikring'!B56+'Tryg Forsikring'!B56+'WaterCircles F'!B56+'Codan Forsikring'!B56+'Euro Accident'!B56+'Youplus Livsforsikring'!B56</f>
        <v>47182.688999999998</v>
      </c>
      <c r="C56" s="232">
        <f>'Fremtind Livsforsikring'!C56+'Danica Pensjonsforsikring'!C56+'DNB Livsforsikring'!C56+'Eika Forsikring AS'!C56+'Frende Livsforsikring'!C56+'Frende Skadeforsikring'!C56+'Gjensidige Forsikring'!C56+'Gjensidige Pensjon'!C56+'Handelsbanken Liv'!C56+'If Skadeforsikring NUF'!C56+KLP!C56+'KLP Skadeforsikring AS'!C56+'Landkreditt Forsikring'!C56+Insr!C56+'Nordea Liv '!C56+'Oslo Pensjonsforsikring'!C56+'Protector Forsikring'!C56+'SHB Liv'!C56+'Sparebank 1'!C56+'Storebrand Livsforsikring'!C56+'Telenor Forsikring'!C56+'Tryg Forsikring'!C56+'WaterCircles F'!C56+'Codan Forsikring'!C56+'Euro Accident'!C56+'Youplus Livsforsikring'!C56</f>
        <v>59141.354999999996</v>
      </c>
      <c r="D56" s="24">
        <f t="shared" si="22"/>
        <v>25.3</v>
      </c>
      <c r="E56" s="407"/>
      <c r="F56" s="408"/>
      <c r="G56" s="32"/>
      <c r="H56" s="172"/>
      <c r="I56" s="172"/>
      <c r="J56" s="32"/>
    </row>
    <row r="57" spans="1:10" s="3" customFormat="1" ht="15.75" customHeight="1" x14ac:dyDescent="0.2">
      <c r="A57" s="38" t="s">
        <v>370</v>
      </c>
      <c r="B57" s="44">
        <f>'Fremtind Livsforsikring'!B57+'Danica Pensjonsforsikring'!B57+'DNB Livsforsikring'!B57+'Eika Forsikring AS'!B57+'Frende Livsforsikring'!B57+'Frende Skadeforsikring'!B57+'Gjensidige Forsikring'!B57+'Gjensidige Pensjon'!B57+'Handelsbanken Liv'!B57+'If Skadeforsikring NUF'!B57+KLP!B57+'KLP Skadeforsikring AS'!B57+'Landkreditt Forsikring'!B57+Insr!B57+'Nordea Liv '!B57+'Oslo Pensjonsforsikring'!B57+'Protector Forsikring'!B57+'SHB Liv'!B57+'Sparebank 1'!B57+'Storebrand Livsforsikring'!B57+'Telenor Forsikring'!B57+'Tryg Forsikring'!B57+'WaterCircles F'!B57+'Codan Forsikring'!B57+'Euro Accident'!B57+'Youplus Livsforsikring'!B57</f>
        <v>47182.688999999998</v>
      </c>
      <c r="C57" s="44">
        <f>'Fremtind Livsforsikring'!C57+'Danica Pensjonsforsikring'!C57+'DNB Livsforsikring'!C57+'Eika Forsikring AS'!C57+'Frende Livsforsikring'!C57+'Frende Skadeforsikring'!C57+'Gjensidige Forsikring'!C57+'Gjensidige Pensjon'!C57+'Handelsbanken Liv'!C57+'If Skadeforsikring NUF'!C57+KLP!C57+'KLP Skadeforsikring AS'!C57+'Landkreditt Forsikring'!C57+Insr!C57+'Nordea Liv '!C57+'Oslo Pensjonsforsikring'!C57+'Protector Forsikring'!C57+'SHB Liv'!C57+'Sparebank 1'!C57+'Storebrand Livsforsikring'!C57+'Telenor Forsikring'!C57+'Tryg Forsikring'!C57+'WaterCircles F'!C57+'Codan Forsikring'!C57+'Euro Accident'!C57+'Youplus Livsforsikring'!C57</f>
        <v>59141.354999999996</v>
      </c>
      <c r="D57" s="24">
        <f t="shared" si="22"/>
        <v>25.3</v>
      </c>
      <c r="E57" s="35"/>
      <c r="F57" s="5"/>
      <c r="G57" s="34"/>
      <c r="H57" s="33"/>
      <c r="I57" s="33"/>
      <c r="J57" s="32"/>
    </row>
    <row r="58" spans="1:10" s="3" customFormat="1" ht="15.75" customHeight="1" x14ac:dyDescent="0.2">
      <c r="A58" s="46" t="s">
        <v>371</v>
      </c>
      <c r="B58" s="272">
        <f>'Fremtind Livsforsikring'!B58+'Danica Pensjonsforsikring'!B58+'DNB Livsforsikring'!B58+'Eika Forsikring AS'!B58+'Frende Livsforsikring'!B58+'Frende Skadeforsikring'!B58+'Gjensidige Forsikring'!B58+'Gjensidige Pensjon'!B58+'Handelsbanken Liv'!B58+'If Skadeforsikring NUF'!B58+KLP!B58+'KLP Skadeforsikring AS'!B58+'Landkreditt Forsikring'!B58+Insr!B58+'Nordea Liv '!B58+'Oslo Pensjonsforsikring'!B58+'Protector Forsikring'!B58+'SHB Liv'!B58+'Sparebank 1'!B58+'Storebrand Livsforsikring'!B58+'Telenor Forsikring'!B58+'Tryg Forsikring'!B58+'WaterCircles F'!B58+'Codan Forsikring'!B58+'Euro Accident'!B58+'Youplus Livsforsikring'!B58</f>
        <v>0</v>
      </c>
      <c r="C58" s="272">
        <f>'Fremtind Livsforsikring'!C58+'Danica Pensjonsforsikring'!C58+'DNB Livsforsikring'!C58+'Eika Forsikring AS'!C58+'Frende Livsforsikring'!C58+'Frende Skadeforsikring'!C58+'Gjensidige Forsikring'!C58+'Gjensidige Pensjon'!C58+'Handelsbanken Liv'!C58+'If Skadeforsikring NUF'!C58+KLP!C58+'KLP Skadeforsikring AS'!C58+'Landkreditt Forsikring'!C58+Insr!C58+'Nordea Liv '!C58+'Oslo Pensjonsforsikring'!C58+'Protector Forsikring'!C58+'SHB Liv'!C58+'Sparebank 1'!C58+'Storebrand Livsforsikring'!C58+'Telenor Forsikring'!C58+'Tryg Forsikring'!C58+'WaterCircles F'!C58+'Codan Forsikring'!C58+'Euro Accident'!C58+'Youplus Livsforsikring'!C58</f>
        <v>0</v>
      </c>
      <c r="D58" s="36"/>
      <c r="E58" s="35"/>
      <c r="F58" s="5"/>
      <c r="G58" s="34"/>
      <c r="H58" s="33"/>
      <c r="I58" s="33"/>
      <c r="J58" s="32"/>
    </row>
    <row r="59" spans="1:10" s="3" customFormat="1" ht="15.75" customHeight="1" x14ac:dyDescent="0.25">
      <c r="A59" s="163"/>
      <c r="B59" s="30"/>
      <c r="C59" s="30"/>
      <c r="D59" s="30"/>
      <c r="E59" s="31"/>
      <c r="F59" s="31"/>
      <c r="G59" s="31"/>
      <c r="H59" s="31"/>
      <c r="I59" s="31"/>
      <c r="J59" s="31"/>
    </row>
    <row r="60" spans="1:10" ht="15.75" customHeight="1" x14ac:dyDescent="0.2">
      <c r="A60" s="154"/>
    </row>
    <row r="61" spans="1:10" ht="15.75" customHeight="1" x14ac:dyDescent="0.25">
      <c r="A61" s="147" t="s">
        <v>268</v>
      </c>
      <c r="C61" s="26"/>
      <c r="D61" s="25"/>
      <c r="E61" s="26"/>
      <c r="F61" s="26"/>
      <c r="G61" s="25"/>
      <c r="H61" s="26"/>
      <c r="I61" s="26"/>
      <c r="J61" s="25"/>
    </row>
    <row r="62" spans="1:10" ht="20.100000000000001" customHeight="1" x14ac:dyDescent="0.25">
      <c r="A62" s="149"/>
      <c r="B62" s="719"/>
      <c r="C62" s="719"/>
      <c r="D62" s="719"/>
      <c r="E62" s="719"/>
      <c r="F62" s="719"/>
      <c r="G62" s="719"/>
      <c r="H62" s="719"/>
      <c r="I62" s="719"/>
      <c r="J62" s="719"/>
    </row>
    <row r="63" spans="1:10" ht="15.75" customHeight="1" x14ac:dyDescent="0.2">
      <c r="A63" s="144"/>
      <c r="B63" s="720" t="s">
        <v>0</v>
      </c>
      <c r="C63" s="721"/>
      <c r="D63" s="721"/>
      <c r="E63" s="720" t="s">
        <v>1</v>
      </c>
      <c r="F63" s="721"/>
      <c r="G63" s="722"/>
      <c r="H63" s="721" t="s">
        <v>2</v>
      </c>
      <c r="I63" s="721"/>
      <c r="J63" s="722"/>
    </row>
    <row r="64" spans="1:10" ht="15.75" customHeight="1" x14ac:dyDescent="0.2">
      <c r="A64" s="140"/>
      <c r="B64" s="20">
        <v>44286</v>
      </c>
      <c r="C64" s="20">
        <v>44651</v>
      </c>
      <c r="D64" s="19" t="s">
        <v>3</v>
      </c>
      <c r="E64" s="20">
        <v>44286</v>
      </c>
      <c r="F64" s="20">
        <v>44651</v>
      </c>
      <c r="G64" s="19" t="s">
        <v>3</v>
      </c>
      <c r="H64" s="20">
        <v>44286</v>
      </c>
      <c r="I64" s="20">
        <v>44651</v>
      </c>
      <c r="J64" s="19" t="s">
        <v>3</v>
      </c>
    </row>
    <row r="65" spans="1:12" ht="15.75" customHeight="1" x14ac:dyDescent="0.2">
      <c r="A65" s="701"/>
      <c r="B65" s="15"/>
      <c r="C65" s="15"/>
      <c r="D65" s="17" t="s">
        <v>4</v>
      </c>
      <c r="E65" s="16"/>
      <c r="F65" s="16"/>
      <c r="G65" s="15" t="s">
        <v>4</v>
      </c>
      <c r="H65" s="16"/>
      <c r="I65" s="16"/>
      <c r="J65" s="15" t="s">
        <v>4</v>
      </c>
    </row>
    <row r="66" spans="1:12" s="43" customFormat="1" ht="15.75" customHeight="1" x14ac:dyDescent="0.2">
      <c r="A66" s="14" t="s">
        <v>23</v>
      </c>
      <c r="B66" s="319">
        <f>'Fremtind Livsforsikring'!B66+'Danica Pensjonsforsikring'!B66+'DNB Livsforsikring'!B66+'Eika Forsikring AS'!B66+'Frende Livsforsikring'!B66+'Frende Skadeforsikring'!B66+'Gjensidige Forsikring'!B66+'Gjensidige Pensjon'!B66+'Handelsbanken Liv'!B66+'If Skadeforsikring NUF'!B66+KLP!B66+'KLP Skadeforsikring AS'!B66+'Landkreditt Forsikring'!B66+Insr!B66+'Nordea Liv '!B66+'Oslo Pensjonsforsikring'!B66+'Protector Forsikring'!B66+'SHB Liv'!B66+'Sparebank 1'!B66+'Storebrand Livsforsikring'!B66+'Telenor Forsikring'!B66+'Tryg Forsikring'!B66+'WaterCircles F'!B66+'Codan Forsikring'!B66+'Euro Accident'!B66+'Youplus Livsforsikring'!B66</f>
        <v>3120482.7806200003</v>
      </c>
      <c r="C66" s="319">
        <f>'Fremtind Livsforsikring'!C66+'Danica Pensjonsforsikring'!C66+'DNB Livsforsikring'!C66+'Eika Forsikring AS'!C66+'Frende Livsforsikring'!C66+'Frende Skadeforsikring'!C66+'Gjensidige Forsikring'!C66+'Gjensidige Pensjon'!C66+'Handelsbanken Liv'!C66+'If Skadeforsikring NUF'!C66+KLP!C66+'KLP Skadeforsikring AS'!C66+'Landkreditt Forsikring'!C66+Insr!C66+'Nordea Liv '!C66+'Oslo Pensjonsforsikring'!C66+'Protector Forsikring'!C66+'SHB Liv'!C66+'Sparebank 1'!C66+'Storebrand Livsforsikring'!C66+'Telenor Forsikring'!C66+'Tryg Forsikring'!C66+'WaterCircles F'!C66+'Codan Forsikring'!C66+'Euro Accident'!C66+'Youplus Livsforsikring'!C66</f>
        <v>2652926.0376300002</v>
      </c>
      <c r="D66" s="24">
        <f t="shared" ref="D66:D111" si="23">IF(B66=0, "    ---- ", IF(ABS(ROUND(100/B66*C66-100,1))&lt;999,ROUND(100/B66*C66-100,1),IF(ROUND(100/B66*C66-100,1)&gt;999,999,-999)))</f>
        <v>-15</v>
      </c>
      <c r="E66" s="232">
        <f>'Fremtind Livsforsikring'!F66+'Danica Pensjonsforsikring'!F66+'DNB Livsforsikring'!F66+'Eika Forsikring AS'!F66+'Frende Livsforsikring'!F66+'Frende Skadeforsikring'!F66+'Gjensidige Forsikring'!F66+'Gjensidige Pensjon'!F66+'Handelsbanken Liv'!F66+'If Skadeforsikring NUF'!F66+KLP!F66+'KLP Skadeforsikring AS'!F66+'Landkreditt Forsikring'!F66+Insr!F66+'Nordea Liv '!F66+'Oslo Pensjonsforsikring'!F66+'Protector Forsikring'!F66+'SHB Liv'!F66+'Sparebank 1'!F66+'Storebrand Livsforsikring'!F66+'Telenor Forsikring'!F66+'Tryg Forsikring'!F66+'WaterCircles F'!F66+'Codan Forsikring'!F66+'Euro Accident'!F66+'Youplus Livsforsikring'!F66</f>
        <v>9529982.5687199999</v>
      </c>
      <c r="F66" s="232">
        <f>'Fremtind Livsforsikring'!G66+'Danica Pensjonsforsikring'!G66+'DNB Livsforsikring'!G66+'Eika Forsikring AS'!G66+'Frende Livsforsikring'!G66+'Frende Skadeforsikring'!G66+'Gjensidige Forsikring'!G66+'Gjensidige Pensjon'!G66+'Handelsbanken Liv'!G66+'If Skadeforsikring NUF'!G66+KLP!G66+'KLP Skadeforsikring AS'!G66+'Landkreditt Forsikring'!G66+Insr!G66+'Nordea Liv '!G66+'Oslo Pensjonsforsikring'!G66+'Protector Forsikring'!G66+'SHB Liv'!G66+'Sparebank 1'!G66+'Storebrand Livsforsikring'!G66+'Telenor Forsikring'!G66+'Tryg Forsikring'!G66+'WaterCircles F'!G66+'Codan Forsikring'!G66+'Euro Accident'!G66+'Youplus Livsforsikring'!G66</f>
        <v>9894167.8760999981</v>
      </c>
      <c r="G66" s="170">
        <f t="shared" ref="G66:G125" si="24">IF(E66=0, "    ---- ", IF(ABS(ROUND(100/E66*F66-100,1))&lt;999,ROUND(100/E66*F66-100,1),IF(ROUND(100/E66*F66-100,1)&gt;999,999,-999)))</f>
        <v>3.8</v>
      </c>
      <c r="H66" s="319">
        <f t="shared" ref="H66:H86" si="25">SUM(B66,E66)</f>
        <v>12650465.349339999</v>
      </c>
      <c r="I66" s="319">
        <f t="shared" ref="I66:I86" si="26">SUM(C66,F66)</f>
        <v>12547093.913729999</v>
      </c>
      <c r="J66" s="24">
        <f t="shared" ref="J66:J111" si="27">IF(H66=0, "    ---- ", IF(ABS(ROUND(100/H66*I66-100,1))&lt;999,ROUND(100/H66*I66-100,1),IF(ROUND(100/H66*I66-100,1)&gt;999,999,-999)))</f>
        <v>-0.8</v>
      </c>
    </row>
    <row r="67" spans="1:12" ht="15.75" customHeight="1" x14ac:dyDescent="0.25">
      <c r="A67" s="21" t="s">
        <v>9</v>
      </c>
      <c r="B67" s="233">
        <f>'Fremtind Livsforsikring'!B67+'Danica Pensjonsforsikring'!B67+'DNB Livsforsikring'!B67+'Eika Forsikring AS'!B67+'Frende Livsforsikring'!B67+'Frende Skadeforsikring'!B67+'Gjensidige Forsikring'!B67+'Gjensidige Pensjon'!B67+'Handelsbanken Liv'!B67+'If Skadeforsikring NUF'!B67+KLP!B67+'KLP Skadeforsikring AS'!B67+'Landkreditt Forsikring'!B67+Insr!B67+'Nordea Liv '!B67+'Oslo Pensjonsforsikring'!B67+'Protector Forsikring'!B67+'SHB Liv'!B67+'Sparebank 1'!B67+'Storebrand Livsforsikring'!B67+'Telenor Forsikring'!B67+'Tryg Forsikring'!B67+'WaterCircles F'!B67+'Codan Forsikring'!B67+'Euro Accident'!B67+'Youplus Livsforsikring'!B67</f>
        <v>2422528.9892600002</v>
      </c>
      <c r="C67" s="233">
        <f>'Fremtind Livsforsikring'!C67+'Danica Pensjonsforsikring'!C67+'DNB Livsforsikring'!C67+'Eika Forsikring AS'!C67+'Frende Livsforsikring'!C67+'Frende Skadeforsikring'!C67+'Gjensidige Forsikring'!C67+'Gjensidige Pensjon'!C67+'Handelsbanken Liv'!C67+'If Skadeforsikring NUF'!C67+KLP!C67+'KLP Skadeforsikring AS'!C67+'Landkreditt Forsikring'!C67+Insr!C67+'Nordea Liv '!C67+'Oslo Pensjonsforsikring'!C67+'Protector Forsikring'!C67+'SHB Liv'!C67+'Sparebank 1'!C67+'Storebrand Livsforsikring'!C67+'Telenor Forsikring'!C67+'Tryg Forsikring'!C67+'WaterCircles F'!C67+'Codan Forsikring'!C67+'Euro Accident'!C67+'Youplus Livsforsikring'!C67</f>
        <v>1948809.770789799</v>
      </c>
      <c r="D67" s="237">
        <f t="shared" si="23"/>
        <v>-19.600000000000001</v>
      </c>
      <c r="E67" s="44">
        <f>'Fremtind Livsforsikring'!F67+'Danica Pensjonsforsikring'!F67+'DNB Livsforsikring'!F67+'Eika Forsikring AS'!F67+'Frende Livsforsikring'!F67+'Frende Skadeforsikring'!F67+'Gjensidige Forsikring'!F67+'Gjensidige Pensjon'!F67+'Handelsbanken Liv'!F67+'If Skadeforsikring NUF'!F67+KLP!F67+'KLP Skadeforsikring AS'!F67+'Landkreditt Forsikring'!F67+Insr!F67+'Nordea Liv '!F67+'Oslo Pensjonsforsikring'!F67+'Protector Forsikring'!F67+'SHB Liv'!F67+'Sparebank 1'!F67+'Storebrand Livsforsikring'!F67+'Telenor Forsikring'!F67+'Tryg Forsikring'!F67+'WaterCircles F'!F67+'Codan Forsikring'!F67+'Euro Accident'!F67+'Youplus Livsforsikring'!F67</f>
        <v>0</v>
      </c>
      <c r="F67" s="44">
        <f>'Fremtind Livsforsikring'!G67+'Danica Pensjonsforsikring'!G67+'DNB Livsforsikring'!G67+'Eika Forsikring AS'!G67+'Frende Livsforsikring'!G67+'Frende Skadeforsikring'!G67+'Gjensidige Forsikring'!G67+'Gjensidige Pensjon'!G67+'Handelsbanken Liv'!G67+'If Skadeforsikring NUF'!G67+KLP!G67+'KLP Skadeforsikring AS'!G67+'Landkreditt Forsikring'!G67+Insr!G67+'Nordea Liv '!G67+'Oslo Pensjonsforsikring'!G67+'Protector Forsikring'!G67+'SHB Liv'!G67+'Sparebank 1'!G67+'Storebrand Livsforsikring'!G67+'Telenor Forsikring'!G67+'Tryg Forsikring'!G67+'WaterCircles F'!G67+'Codan Forsikring'!G67+'Euro Accident'!G67+'Youplus Livsforsikring'!G67</f>
        <v>0</v>
      </c>
      <c r="G67" s="170"/>
      <c r="H67" s="233">
        <f t="shared" si="25"/>
        <v>2422528.9892600002</v>
      </c>
      <c r="I67" s="233">
        <f t="shared" si="26"/>
        <v>1948809.770789799</v>
      </c>
      <c r="J67" s="23">
        <f t="shared" si="27"/>
        <v>-19.600000000000001</v>
      </c>
    </row>
    <row r="68" spans="1:12" ht="15.75" customHeight="1" x14ac:dyDescent="0.25">
      <c r="A68" s="21" t="s">
        <v>10</v>
      </c>
      <c r="B68" s="233">
        <f>'Fremtind Livsforsikring'!B68+'Danica Pensjonsforsikring'!B68+'DNB Livsforsikring'!B68+'Eika Forsikring AS'!B68+'Frende Livsforsikring'!B68+'Frende Skadeforsikring'!B68+'Gjensidige Forsikring'!B68+'Gjensidige Pensjon'!B68+'Handelsbanken Liv'!B68+'If Skadeforsikring NUF'!B68+KLP!B68+'KLP Skadeforsikring AS'!B68+'Landkreditt Forsikring'!B68+Insr!B68+'Nordea Liv '!B68+'Oslo Pensjonsforsikring'!B68+'Protector Forsikring'!B68+'SHB Liv'!B68+'Sparebank 1'!B68+'Storebrand Livsforsikring'!B68+'Telenor Forsikring'!B68+'Tryg Forsikring'!B68+'WaterCircles F'!B68+'Codan Forsikring'!B68+'Euro Accident'!B68+'Youplus Livsforsikring'!B68</f>
        <v>13805.019399999999</v>
      </c>
      <c r="C68" s="233">
        <f>'Fremtind Livsforsikring'!C68+'Danica Pensjonsforsikring'!C68+'DNB Livsforsikring'!C68+'Eika Forsikring AS'!C68+'Frende Livsforsikring'!C68+'Frende Skadeforsikring'!C68+'Gjensidige Forsikring'!C68+'Gjensidige Pensjon'!C68+'Handelsbanken Liv'!C68+'If Skadeforsikring NUF'!C68+KLP!C68+'KLP Skadeforsikring AS'!C68+'Landkreditt Forsikring'!C68+Insr!C68+'Nordea Liv '!C68+'Oslo Pensjonsforsikring'!C68+'Protector Forsikring'!C68+'SHB Liv'!C68+'Sparebank 1'!C68+'Storebrand Livsforsikring'!C68+'Telenor Forsikring'!C68+'Tryg Forsikring'!C68+'WaterCircles F'!C68+'Codan Forsikring'!C68+'Euro Accident'!C68+'Youplus Livsforsikring'!C68</f>
        <v>10400.841469999999</v>
      </c>
      <c r="D68" s="237">
        <f t="shared" si="23"/>
        <v>-24.7</v>
      </c>
      <c r="E68" s="44">
        <f>'Fremtind Livsforsikring'!F68+'Danica Pensjonsforsikring'!F68+'DNB Livsforsikring'!F68+'Eika Forsikring AS'!F68+'Frende Livsforsikring'!F68+'Frende Skadeforsikring'!F68+'Gjensidige Forsikring'!F68+'Gjensidige Pensjon'!F68+'Handelsbanken Liv'!F68+'If Skadeforsikring NUF'!F68+KLP!F68+'KLP Skadeforsikring AS'!F68+'Landkreditt Forsikring'!F68+Insr!F68+'Nordea Liv '!F68+'Oslo Pensjonsforsikring'!F68+'Protector Forsikring'!F68+'SHB Liv'!F68+'Sparebank 1'!F68+'Storebrand Livsforsikring'!F68+'Telenor Forsikring'!F68+'Tryg Forsikring'!F68+'WaterCircles F'!F68+'Codan Forsikring'!F68+'Euro Accident'!F68+'Youplus Livsforsikring'!F68</f>
        <v>9158643.9639200009</v>
      </c>
      <c r="F68" s="44">
        <f>'Fremtind Livsforsikring'!G68+'Danica Pensjonsforsikring'!G68+'DNB Livsforsikring'!G68+'Eika Forsikring AS'!G68+'Frende Livsforsikring'!G68+'Frende Skadeforsikring'!G68+'Gjensidige Forsikring'!G68+'Gjensidige Pensjon'!G68+'Handelsbanken Liv'!G68+'If Skadeforsikring NUF'!G68+KLP!G68+'KLP Skadeforsikring AS'!G68+'Landkreditt Forsikring'!G68+Insr!G68+'Nordea Liv '!G68+'Oslo Pensjonsforsikring'!G68+'Protector Forsikring'!G68+'SHB Liv'!G68+'Sparebank 1'!G68+'Storebrand Livsforsikring'!G68+'Telenor Forsikring'!G68+'Tryg Forsikring'!G68+'WaterCircles F'!G68+'Codan Forsikring'!G68+'Euro Accident'!G68+'Youplus Livsforsikring'!G68</f>
        <v>9498593.5002799984</v>
      </c>
      <c r="G68" s="165">
        <f t="shared" si="24"/>
        <v>3.7</v>
      </c>
      <c r="H68" s="233">
        <f t="shared" si="25"/>
        <v>9172448.9833200015</v>
      </c>
      <c r="I68" s="233">
        <f t="shared" si="26"/>
        <v>9508994.3417499978</v>
      </c>
      <c r="J68" s="23">
        <f t="shared" si="27"/>
        <v>3.7</v>
      </c>
      <c r="L68" s="3"/>
    </row>
    <row r="69" spans="1:12" ht="15.75" customHeight="1" x14ac:dyDescent="0.2">
      <c r="A69" s="289" t="s">
        <v>374</v>
      </c>
      <c r="B69" s="281"/>
      <c r="C69" s="281"/>
      <c r="D69" s="27"/>
      <c r="E69" s="281"/>
      <c r="F69" s="281"/>
      <c r="G69" s="165"/>
      <c r="H69" s="281"/>
      <c r="I69" s="281"/>
      <c r="J69" s="23"/>
    </row>
    <row r="70" spans="1:12" ht="15.75" customHeight="1" x14ac:dyDescent="0.2">
      <c r="A70" s="289" t="s">
        <v>12</v>
      </c>
      <c r="B70" s="281"/>
      <c r="C70" s="281"/>
      <c r="D70" s="27"/>
      <c r="E70" s="281"/>
      <c r="F70" s="281"/>
      <c r="G70" s="165"/>
      <c r="H70" s="281"/>
      <c r="I70" s="281"/>
      <c r="J70" s="23"/>
    </row>
    <row r="71" spans="1:12" ht="15.75" customHeight="1" x14ac:dyDescent="0.2">
      <c r="A71" s="289" t="s">
        <v>13</v>
      </c>
      <c r="B71" s="281"/>
      <c r="C71" s="281"/>
      <c r="D71" s="27"/>
      <c r="E71" s="281"/>
      <c r="F71" s="281"/>
      <c r="G71" s="165"/>
      <c r="H71" s="281"/>
      <c r="I71" s="281"/>
      <c r="J71" s="23"/>
    </row>
    <row r="72" spans="1:12" ht="15.75" customHeight="1" x14ac:dyDescent="0.2">
      <c r="A72" s="289" t="s">
        <v>375</v>
      </c>
      <c r="B72" s="281"/>
      <c r="C72" s="281"/>
      <c r="D72" s="27"/>
      <c r="E72" s="281"/>
      <c r="F72" s="281"/>
      <c r="G72" s="165"/>
      <c r="H72" s="281"/>
      <c r="I72" s="281"/>
      <c r="J72" s="24"/>
    </row>
    <row r="73" spans="1:12" ht="15.75" customHeight="1" x14ac:dyDescent="0.2">
      <c r="A73" s="289" t="s">
        <v>12</v>
      </c>
      <c r="B73" s="281"/>
      <c r="C73" s="281"/>
      <c r="D73" s="27"/>
      <c r="E73" s="281"/>
      <c r="F73" s="281"/>
      <c r="G73" s="165"/>
      <c r="H73" s="281"/>
      <c r="I73" s="281"/>
      <c r="J73" s="23"/>
    </row>
    <row r="74" spans="1:12" s="3" customFormat="1" ht="15.75" customHeight="1" x14ac:dyDescent="0.2">
      <c r="A74" s="289" t="s">
        <v>13</v>
      </c>
      <c r="B74" s="281"/>
      <c r="C74" s="281"/>
      <c r="D74" s="27"/>
      <c r="E74" s="281"/>
      <c r="F74" s="281"/>
      <c r="G74" s="165"/>
      <c r="H74" s="281"/>
      <c r="I74" s="281"/>
      <c r="J74" s="23"/>
    </row>
    <row r="75" spans="1:12" s="3" customFormat="1" ht="15.75" customHeight="1" x14ac:dyDescent="0.2">
      <c r="A75" s="21" t="s">
        <v>344</v>
      </c>
      <c r="B75" s="233">
        <f>'Fremtind Livsforsikring'!B75+'Danica Pensjonsforsikring'!B75+'DNB Livsforsikring'!B75+'Eika Forsikring AS'!B75+'Frende Livsforsikring'!B75+'Frende Skadeforsikring'!B75+'Gjensidige Forsikring'!B75+'Gjensidige Pensjon'!B75+'Handelsbanken Liv'!B75+'If Skadeforsikring NUF'!B75+KLP!B75+'KLP Skadeforsikring AS'!B75+'Landkreditt Forsikring'!B75+Insr!B75+'Nordea Liv '!B75+'Oslo Pensjonsforsikring'!B75+'Protector Forsikring'!B75+'SHB Liv'!B75+'Sparebank 1'!B75+'Storebrand Livsforsikring'!B75+'Telenor Forsikring'!B75+'Tryg Forsikring'!B75+'WaterCircles F'!B75+'Codan Forsikring'!B75+'Euro Accident'!B75+'Youplus Livsforsikring'!B75</f>
        <v>148389.73579999999</v>
      </c>
      <c r="C75" s="233">
        <f>'Fremtind Livsforsikring'!C75+'Danica Pensjonsforsikring'!C75+'DNB Livsforsikring'!C75+'Eika Forsikring AS'!C75+'Frende Livsforsikring'!C75+'Frende Skadeforsikring'!C75+'Gjensidige Forsikring'!C75+'Gjensidige Pensjon'!C75+'Handelsbanken Liv'!C75+'If Skadeforsikring NUF'!C75+KLP!C75+'KLP Skadeforsikring AS'!C75+'Landkreditt Forsikring'!C75+Insr!C75+'Nordea Liv '!C75+'Oslo Pensjonsforsikring'!C75+'Protector Forsikring'!C75+'SHB Liv'!C75+'Sparebank 1'!C75+'Storebrand Livsforsikring'!C75+'Telenor Forsikring'!C75+'Tryg Forsikring'!C75+'WaterCircles F'!C75+'Codan Forsikring'!C75+'Euro Accident'!C75+'Youplus Livsforsikring'!C75</f>
        <v>143305.45416000002</v>
      </c>
      <c r="D75" s="23">
        <f t="shared" si="23"/>
        <v>-3.4</v>
      </c>
      <c r="E75" s="44">
        <f>'Fremtind Livsforsikring'!F75+'Danica Pensjonsforsikring'!F75+'DNB Livsforsikring'!F75+'Eika Forsikring AS'!F75+'Frende Livsforsikring'!F75+'Frende Skadeforsikring'!F75+'Gjensidige Forsikring'!F75+'Gjensidige Pensjon'!F75+'Handelsbanken Liv'!F75+'If Skadeforsikring NUF'!F75+KLP!F75+'KLP Skadeforsikring AS'!F75+'Landkreditt Forsikring'!F75+Insr!F75+'Nordea Liv '!F75+'Oslo Pensjonsforsikring'!F75+'Protector Forsikring'!F75+'SHB Liv'!F75+'Sparebank 1'!F75+'Storebrand Livsforsikring'!F75+'Telenor Forsikring'!F75+'Tryg Forsikring'!F75+'WaterCircles F'!F75+'Codan Forsikring'!F75+'Euro Accident'!F75+'Youplus Livsforsikring'!F75</f>
        <v>371338.60479999997</v>
      </c>
      <c r="F75" s="44">
        <f>'Fremtind Livsforsikring'!G75+'Danica Pensjonsforsikring'!G75+'DNB Livsforsikring'!G75+'Eika Forsikring AS'!G75+'Frende Livsforsikring'!G75+'Frende Skadeforsikring'!G75+'Gjensidige Forsikring'!G75+'Gjensidige Pensjon'!G75+'Handelsbanken Liv'!G75+'If Skadeforsikring NUF'!G75+KLP!G75+'KLP Skadeforsikring AS'!G75+'Landkreditt Forsikring'!G75+Insr!G75+'Nordea Liv '!G75+'Oslo Pensjonsforsikring'!G75+'Protector Forsikring'!G75+'SHB Liv'!G75+'Sparebank 1'!G75+'Storebrand Livsforsikring'!G75+'Telenor Forsikring'!G75+'Tryg Forsikring'!G75+'WaterCircles F'!G75+'Codan Forsikring'!G75+'Euro Accident'!G75+'Youplus Livsforsikring'!G75</f>
        <v>395574.37582000002</v>
      </c>
      <c r="G75" s="165">
        <f t="shared" si="24"/>
        <v>6.5</v>
      </c>
      <c r="H75" s="233">
        <f t="shared" si="25"/>
        <v>519728.3406</v>
      </c>
      <c r="I75" s="233">
        <f t="shared" si="26"/>
        <v>538879.82998000004</v>
      </c>
      <c r="J75" s="23">
        <f t="shared" si="27"/>
        <v>3.7</v>
      </c>
      <c r="L75" s="148"/>
    </row>
    <row r="76" spans="1:12" s="3" customFormat="1" ht="15.75" customHeight="1" x14ac:dyDescent="0.2">
      <c r="A76" s="21" t="s">
        <v>343</v>
      </c>
      <c r="B76" s="233">
        <f>'Fremtind Livsforsikring'!B76+'Danica Pensjonsforsikring'!B76+'DNB Livsforsikring'!B76+'Eika Forsikring AS'!B76+'Frende Livsforsikring'!B76+'Frende Skadeforsikring'!B76+'Gjensidige Forsikring'!B76+'Gjensidige Pensjon'!B76+'Handelsbanken Liv'!B76+'If Skadeforsikring NUF'!B76+KLP!B76+'KLP Skadeforsikring AS'!B76+'Landkreditt Forsikring'!B76+Insr!B76+'Nordea Liv '!B76+'Oslo Pensjonsforsikring'!B76+'Protector Forsikring'!B76+'SHB Liv'!B76+'Sparebank 1'!B76+'Storebrand Livsforsikring'!B76+'Telenor Forsikring'!B76+'Tryg Forsikring'!B76+'WaterCircles F'!B76+'Codan Forsikring'!B76+'Euro Accident'!B76+'Youplus Livsforsikring'!B76</f>
        <v>535759.03616000002</v>
      </c>
      <c r="C76" s="233">
        <f>'Fremtind Livsforsikring'!C76+'Danica Pensjonsforsikring'!C76+'DNB Livsforsikring'!C76+'Eika Forsikring AS'!C76+'Frende Livsforsikring'!C76+'Frende Skadeforsikring'!C76+'Gjensidige Forsikring'!C76+'Gjensidige Pensjon'!C76+'Handelsbanken Liv'!C76+'If Skadeforsikring NUF'!C76+KLP!C76+'KLP Skadeforsikring AS'!C76+'Landkreditt Forsikring'!C76+Insr!C76+'Nordea Liv '!C76+'Oslo Pensjonsforsikring'!C76+'Protector Forsikring'!C76+'SHB Liv'!C76+'Sparebank 1'!C76+'Storebrand Livsforsikring'!C76+'Telenor Forsikring'!C76+'Tryg Forsikring'!C76+'WaterCircles F'!C76+'Codan Forsikring'!C76+'Euro Accident'!C76+'Youplus Livsforsikring'!C76</f>
        <v>550409.97121020115</v>
      </c>
      <c r="D76" s="23">
        <f t="shared" ref="D76" si="28">IF(B76=0, "    ---- ", IF(ABS(ROUND(100/B76*C76-100,1))&lt;999,ROUND(100/B76*C76-100,1),IF(ROUND(100/B76*C76-100,1)&gt;999,999,-999)))</f>
        <v>2.7</v>
      </c>
      <c r="E76" s="44">
        <f>'Fremtind Livsforsikring'!F76+'Danica Pensjonsforsikring'!F76+'DNB Livsforsikring'!F76+'Eika Forsikring AS'!F76+'Frende Livsforsikring'!F76+'Frende Skadeforsikring'!F76+'Gjensidige Forsikring'!F76+'Gjensidige Pensjon'!F76+'Handelsbanken Liv'!F76+'If Skadeforsikring NUF'!F76+KLP!F76+'KLP Skadeforsikring AS'!F76+'Landkreditt Forsikring'!F76+Insr!F76+'Nordea Liv '!F76+'Oslo Pensjonsforsikring'!F76+'Protector Forsikring'!F76+'SHB Liv'!F76+'Sparebank 1'!F76+'Storebrand Livsforsikring'!F76+'Telenor Forsikring'!F76+'Tryg Forsikring'!F76+'WaterCircles F'!F76+'Codan Forsikring'!F76+'Euro Accident'!F76+'Youplus Livsforsikring'!F76</f>
        <v>0</v>
      </c>
      <c r="F76" s="44">
        <f>'Fremtind Livsforsikring'!G76+'Danica Pensjonsforsikring'!G76+'DNB Livsforsikring'!G76+'Eika Forsikring AS'!G76+'Frende Livsforsikring'!G76+'Frende Skadeforsikring'!G76+'Gjensidige Forsikring'!G76+'Gjensidige Pensjon'!G76+'Handelsbanken Liv'!G76+'If Skadeforsikring NUF'!G76+KLP!G76+'KLP Skadeforsikring AS'!G76+'Landkreditt Forsikring'!G76+Insr!G76+'Nordea Liv '!G76+'Oslo Pensjonsforsikring'!G76+'Protector Forsikring'!G76+'SHB Liv'!G76+'Sparebank 1'!G76+'Storebrand Livsforsikring'!G76+'Telenor Forsikring'!G76+'Tryg Forsikring'!G76+'WaterCircles F'!G76+'Codan Forsikring'!G76+'Euro Accident'!G76+'Youplus Livsforsikring'!G76</f>
        <v>0</v>
      </c>
      <c r="G76" s="165"/>
      <c r="H76" s="233">
        <f t="shared" ref="H76" si="29">SUM(B76,E76)</f>
        <v>535759.03616000002</v>
      </c>
      <c r="I76" s="233">
        <f t="shared" ref="I76" si="30">SUM(C76,F76)</f>
        <v>550409.97121020115</v>
      </c>
      <c r="J76" s="23">
        <f t="shared" ref="J76" si="31">IF(H76=0, "    ---- ", IF(ABS(ROUND(100/H76*I76-100,1))&lt;999,ROUND(100/H76*I76-100,1),IF(ROUND(100/H76*I76-100,1)&gt;999,999,-999)))</f>
        <v>2.7</v>
      </c>
    </row>
    <row r="77" spans="1:12" ht="15.75" customHeight="1" x14ac:dyDescent="0.2">
      <c r="A77" s="21" t="s">
        <v>376</v>
      </c>
      <c r="B77" s="233">
        <f>'Fremtind Livsforsikring'!B77+'Danica Pensjonsforsikring'!B77+'DNB Livsforsikring'!B77+'Eika Forsikring AS'!B77+'Frende Livsforsikring'!B77+'Frende Skadeforsikring'!B77+'Gjensidige Forsikring'!B77+'Gjensidige Pensjon'!B77+'Handelsbanken Liv'!B77+'If Skadeforsikring NUF'!B77+KLP!B77+'KLP Skadeforsikring AS'!B77+'Landkreditt Forsikring'!B77+Insr!B77+'Nordea Liv '!B77+'Oslo Pensjonsforsikring'!B77+'Protector Forsikring'!B77+'SHB Liv'!B77+'Sparebank 1'!B77+'Storebrand Livsforsikring'!B77+'Telenor Forsikring'!B77+'Tryg Forsikring'!B77+'WaterCircles F'!B77+'Codan Forsikring'!B77+'Euro Accident'!B77+'Youplus Livsforsikring'!B77</f>
        <v>2345604.3716600002</v>
      </c>
      <c r="C77" s="233">
        <f>'Fremtind Livsforsikring'!C77+'Danica Pensjonsforsikring'!C77+'DNB Livsforsikring'!C77+'Eika Forsikring AS'!C77+'Frende Livsforsikring'!C77+'Frende Skadeforsikring'!C77+'Gjensidige Forsikring'!C77+'Gjensidige Pensjon'!C77+'Handelsbanken Liv'!C77+'If Skadeforsikring NUF'!C77+KLP!C77+'KLP Skadeforsikring AS'!C77+'Landkreditt Forsikring'!C77+Insr!C77+'Nordea Liv '!C77+'Oslo Pensjonsforsikring'!C77+'Protector Forsikring'!C77+'SHB Liv'!C77+'Sparebank 1'!C77+'Storebrand Livsforsikring'!C77+'Telenor Forsikring'!C77+'Tryg Forsikring'!C77+'WaterCircles F'!C77+'Codan Forsikring'!C77+'Euro Accident'!C77+'Youplus Livsforsikring'!C77</f>
        <v>1863822.094259799</v>
      </c>
      <c r="D77" s="23">
        <f t="shared" si="23"/>
        <v>-20.5</v>
      </c>
      <c r="E77" s="44">
        <f>'Fremtind Livsforsikring'!F77+'Danica Pensjonsforsikring'!F77+'DNB Livsforsikring'!F77+'Eika Forsikring AS'!F77+'Frende Livsforsikring'!F77+'Frende Skadeforsikring'!F77+'Gjensidige Forsikring'!F77+'Gjensidige Pensjon'!F77+'Handelsbanken Liv'!F77+'If Skadeforsikring NUF'!F77+KLP!F77+'KLP Skadeforsikring AS'!F77+'Landkreditt Forsikring'!F77+Insr!F77+'Nordea Liv '!F77+'Oslo Pensjonsforsikring'!F77+'Protector Forsikring'!F77+'SHB Liv'!F77+'Sparebank 1'!F77+'Storebrand Livsforsikring'!F77+'Telenor Forsikring'!F77+'Tryg Forsikring'!F77+'WaterCircles F'!F77+'Codan Forsikring'!F77+'Euro Accident'!F77+'Youplus Livsforsikring'!F77</f>
        <v>9155638.4229000006</v>
      </c>
      <c r="F77" s="44">
        <f>'Fremtind Livsforsikring'!G77+'Danica Pensjonsforsikring'!G77+'DNB Livsforsikring'!G77+'Eika Forsikring AS'!G77+'Frende Livsforsikring'!G77+'Frende Skadeforsikring'!G77+'Gjensidige Forsikring'!G77+'Gjensidige Pensjon'!G77+'Handelsbanken Liv'!G77+'If Skadeforsikring NUF'!G77+KLP!G77+'KLP Skadeforsikring AS'!G77+'Landkreditt Forsikring'!G77+Insr!G77+'Nordea Liv '!G77+'Oslo Pensjonsforsikring'!G77+'Protector Forsikring'!G77+'SHB Liv'!G77+'Sparebank 1'!G77+'Storebrand Livsforsikring'!G77+'Telenor Forsikring'!G77+'Tryg Forsikring'!G77+'WaterCircles F'!G77+'Codan Forsikring'!G77+'Euro Accident'!G77+'Youplus Livsforsikring'!G77</f>
        <v>9494952.4133599997</v>
      </c>
      <c r="G77" s="165">
        <f t="shared" si="24"/>
        <v>3.7</v>
      </c>
      <c r="H77" s="233">
        <f t="shared" si="25"/>
        <v>11501242.79456</v>
      </c>
      <c r="I77" s="233">
        <f t="shared" si="26"/>
        <v>11358774.507619798</v>
      </c>
      <c r="J77" s="23">
        <f t="shared" si="27"/>
        <v>-1.2</v>
      </c>
    </row>
    <row r="78" spans="1:12" ht="15.75" customHeight="1" x14ac:dyDescent="0.2">
      <c r="A78" s="21" t="s">
        <v>9</v>
      </c>
      <c r="B78" s="233">
        <f>'Fremtind Livsforsikring'!B78+'Danica Pensjonsforsikring'!B78+'DNB Livsforsikring'!B78+'Eika Forsikring AS'!B78+'Frende Livsforsikring'!B78+'Frende Skadeforsikring'!B78+'Gjensidige Forsikring'!B78+'Gjensidige Pensjon'!B78+'Handelsbanken Liv'!B78+'If Skadeforsikring NUF'!B78+KLP!B78+'KLP Skadeforsikring AS'!B78+'Landkreditt Forsikring'!B78+Insr!B78+'Nordea Liv '!B78+'Oslo Pensjonsforsikring'!B78+'Protector Forsikring'!B78+'SHB Liv'!B78+'Sparebank 1'!B78+'Storebrand Livsforsikring'!B78+'Telenor Forsikring'!B78+'Tryg Forsikring'!B78+'WaterCircles F'!B78+'Codan Forsikring'!B78+'Euro Accident'!B78+'Youplus Livsforsikring'!B78</f>
        <v>2332620.3522600001</v>
      </c>
      <c r="C78" s="233">
        <f>'Fremtind Livsforsikring'!C78+'Danica Pensjonsforsikring'!C78+'DNB Livsforsikring'!C78+'Eika Forsikring AS'!C78+'Frende Livsforsikring'!C78+'Frende Skadeforsikring'!C78+'Gjensidige Forsikring'!C78+'Gjensidige Pensjon'!C78+'Handelsbanken Liv'!C78+'If Skadeforsikring NUF'!C78+KLP!C78+'KLP Skadeforsikring AS'!C78+'Landkreditt Forsikring'!C78+Insr!C78+'Nordea Liv '!C78+'Oslo Pensjonsforsikring'!C78+'Protector Forsikring'!C78+'SHB Liv'!C78+'Sparebank 1'!C78+'Storebrand Livsforsikring'!C78+'Telenor Forsikring'!C78+'Tryg Forsikring'!C78+'WaterCircles F'!C78+'Codan Forsikring'!C78+'Euro Accident'!C78+'Youplus Livsforsikring'!C78</f>
        <v>1854455.0707897989</v>
      </c>
      <c r="D78" s="23">
        <f t="shared" si="23"/>
        <v>-20.5</v>
      </c>
      <c r="E78" s="44">
        <f>'Fremtind Livsforsikring'!F78+'Danica Pensjonsforsikring'!F78+'DNB Livsforsikring'!F78+'Eika Forsikring AS'!F78+'Frende Livsforsikring'!F78+'Frende Skadeforsikring'!F78+'Gjensidige Forsikring'!F78+'Gjensidige Pensjon'!F78+'Handelsbanken Liv'!F78+'If Skadeforsikring NUF'!F78+KLP!F78+'KLP Skadeforsikring AS'!F78+'Landkreditt Forsikring'!F78+Insr!F78+'Nordea Liv '!F78+'Oslo Pensjonsforsikring'!F78+'Protector Forsikring'!F78+'SHB Liv'!F78+'Sparebank 1'!F78+'Storebrand Livsforsikring'!F78+'Telenor Forsikring'!F78+'Tryg Forsikring'!F78+'WaterCircles F'!F78+'Codan Forsikring'!F78+'Euro Accident'!F78+'Youplus Livsforsikring'!F78</f>
        <v>0</v>
      </c>
      <c r="F78" s="44">
        <f>'Fremtind Livsforsikring'!G78+'Danica Pensjonsforsikring'!G78+'DNB Livsforsikring'!G78+'Eika Forsikring AS'!G78+'Frende Livsforsikring'!G78+'Frende Skadeforsikring'!G78+'Gjensidige Forsikring'!G78+'Gjensidige Pensjon'!G78+'Handelsbanken Liv'!G78+'If Skadeforsikring NUF'!G78+KLP!G78+'KLP Skadeforsikring AS'!G78+'Landkreditt Forsikring'!G78+Insr!G78+'Nordea Liv '!G78+'Oslo Pensjonsforsikring'!G78+'Protector Forsikring'!G78+'SHB Liv'!G78+'Sparebank 1'!G78+'Storebrand Livsforsikring'!G78+'Telenor Forsikring'!G78+'Tryg Forsikring'!G78+'WaterCircles F'!G78+'Codan Forsikring'!G78+'Euro Accident'!G78+'Youplus Livsforsikring'!G78</f>
        <v>0</v>
      </c>
      <c r="G78" s="165"/>
      <c r="H78" s="233">
        <f t="shared" si="25"/>
        <v>2332620.3522600001</v>
      </c>
      <c r="I78" s="233">
        <f t="shared" si="26"/>
        <v>1854455.0707897989</v>
      </c>
      <c r="J78" s="23">
        <f t="shared" si="27"/>
        <v>-20.5</v>
      </c>
    </row>
    <row r="79" spans="1:12" ht="15.75" customHeight="1" x14ac:dyDescent="0.2">
      <c r="A79" s="38" t="s">
        <v>413</v>
      </c>
      <c r="B79" s="233">
        <f>'Fremtind Livsforsikring'!B79+'Danica Pensjonsforsikring'!B79+'DNB Livsforsikring'!B79+'Eika Forsikring AS'!B79+'Frende Livsforsikring'!B79+'Frende Skadeforsikring'!B79+'Gjensidige Forsikring'!B79+'Gjensidige Pensjon'!B79+'Handelsbanken Liv'!B79+'If Skadeforsikring NUF'!B79+KLP!B79+'KLP Skadeforsikring AS'!B79+'Landkreditt Forsikring'!B79+Insr!B79+'Nordea Liv '!B79+'Oslo Pensjonsforsikring'!B79+'Protector Forsikring'!B79+'SHB Liv'!B79+'Sparebank 1'!B79+'Storebrand Livsforsikring'!B79+'Telenor Forsikring'!B79+'Tryg Forsikring'!B79+'WaterCircles F'!B79+'Codan Forsikring'!B79+'Euro Accident'!B79+'Youplus Livsforsikring'!B79</f>
        <v>12984.019399999999</v>
      </c>
      <c r="C79" s="233">
        <f>'Fremtind Livsforsikring'!C79+'Danica Pensjonsforsikring'!C79+'DNB Livsforsikring'!C79+'Eika Forsikring AS'!C79+'Frende Livsforsikring'!C79+'Frende Skadeforsikring'!C79+'Gjensidige Forsikring'!C79+'Gjensidige Pensjon'!C79+'Handelsbanken Liv'!C79+'If Skadeforsikring NUF'!C79+KLP!C79+'KLP Skadeforsikring AS'!C79+'Landkreditt Forsikring'!C79+Insr!C79+'Nordea Liv '!C79+'Oslo Pensjonsforsikring'!C79+'Protector Forsikring'!C79+'SHB Liv'!C79+'Sparebank 1'!C79+'Storebrand Livsforsikring'!C79+'Telenor Forsikring'!C79+'Tryg Forsikring'!C79+'WaterCircles F'!C79+'Codan Forsikring'!C79+'Euro Accident'!C79+'Youplus Livsforsikring'!C79</f>
        <v>9367.0234700000001</v>
      </c>
      <c r="D79" s="23">
        <f t="shared" si="23"/>
        <v>-27.9</v>
      </c>
      <c r="E79" s="44">
        <f>'Fremtind Livsforsikring'!F79+'Danica Pensjonsforsikring'!F79+'DNB Livsforsikring'!F79+'Eika Forsikring AS'!F79+'Frende Livsforsikring'!F79+'Frende Skadeforsikring'!F79+'Gjensidige Forsikring'!F79+'Gjensidige Pensjon'!F79+'Handelsbanken Liv'!F79+'If Skadeforsikring NUF'!F79+KLP!F79+'KLP Skadeforsikring AS'!F79+'Landkreditt Forsikring'!F79+Insr!F79+'Nordea Liv '!F79+'Oslo Pensjonsforsikring'!F79+'Protector Forsikring'!F79+'SHB Liv'!F79+'Sparebank 1'!F79+'Storebrand Livsforsikring'!F79+'Telenor Forsikring'!F79+'Tryg Forsikring'!F79+'WaterCircles F'!F79+'Codan Forsikring'!F79+'Euro Accident'!F79+'Youplus Livsforsikring'!F79</f>
        <v>9155638.4229000006</v>
      </c>
      <c r="F79" s="44">
        <f>'Fremtind Livsforsikring'!G79+'Danica Pensjonsforsikring'!G79+'DNB Livsforsikring'!G79+'Eika Forsikring AS'!G79+'Frende Livsforsikring'!G79+'Frende Skadeforsikring'!G79+'Gjensidige Forsikring'!G79+'Gjensidige Pensjon'!G79+'Handelsbanken Liv'!G79+'If Skadeforsikring NUF'!G79+KLP!G79+'KLP Skadeforsikring AS'!G79+'Landkreditt Forsikring'!G79+Insr!G79+'Nordea Liv '!G79+'Oslo Pensjonsforsikring'!G79+'Protector Forsikring'!G79+'SHB Liv'!G79+'Sparebank 1'!G79+'Storebrand Livsforsikring'!G79+'Telenor Forsikring'!G79+'Tryg Forsikring'!G79+'WaterCircles F'!G79+'Codan Forsikring'!G79+'Euro Accident'!G79+'Youplus Livsforsikring'!G79</f>
        <v>9494952.4133599997</v>
      </c>
      <c r="G79" s="165">
        <f t="shared" si="24"/>
        <v>3.7</v>
      </c>
      <c r="H79" s="233">
        <f t="shared" si="25"/>
        <v>9168622.4423000012</v>
      </c>
      <c r="I79" s="233">
        <f t="shared" si="26"/>
        <v>9504319.4368299991</v>
      </c>
      <c r="J79" s="23">
        <f t="shared" si="27"/>
        <v>3.7</v>
      </c>
    </row>
    <row r="80" spans="1:12" ht="15.75" customHeight="1" x14ac:dyDescent="0.2">
      <c r="A80" s="289" t="s">
        <v>374</v>
      </c>
      <c r="B80" s="281"/>
      <c r="C80" s="281"/>
      <c r="D80" s="27"/>
      <c r="E80" s="281"/>
      <c r="F80" s="281"/>
      <c r="G80" s="165"/>
      <c r="H80" s="281"/>
      <c r="I80" s="281"/>
      <c r="J80" s="23"/>
    </row>
    <row r="81" spans="1:12" ht="15.75" customHeight="1" x14ac:dyDescent="0.2">
      <c r="A81" s="289" t="s">
        <v>12</v>
      </c>
      <c r="B81" s="281"/>
      <c r="C81" s="281"/>
      <c r="D81" s="27"/>
      <c r="E81" s="281"/>
      <c r="F81" s="281"/>
      <c r="G81" s="165"/>
      <c r="H81" s="281"/>
      <c r="I81" s="281"/>
      <c r="J81" s="23"/>
    </row>
    <row r="82" spans="1:12" ht="15.75" customHeight="1" x14ac:dyDescent="0.2">
      <c r="A82" s="289" t="s">
        <v>13</v>
      </c>
      <c r="B82" s="281"/>
      <c r="C82" s="281"/>
      <c r="D82" s="27"/>
      <c r="E82" s="281"/>
      <c r="F82" s="281"/>
      <c r="G82" s="165"/>
      <c r="H82" s="281"/>
      <c r="I82" s="281"/>
      <c r="J82" s="23"/>
    </row>
    <row r="83" spans="1:12" ht="15.75" customHeight="1" x14ac:dyDescent="0.2">
      <c r="A83" s="289" t="s">
        <v>375</v>
      </c>
      <c r="B83" s="281"/>
      <c r="C83" s="281"/>
      <c r="D83" s="27"/>
      <c r="E83" s="281"/>
      <c r="F83" s="281"/>
      <c r="G83" s="165"/>
      <c r="H83" s="281"/>
      <c r="I83" s="281"/>
      <c r="J83" s="24"/>
    </row>
    <row r="84" spans="1:12" ht="15.75" customHeight="1" x14ac:dyDescent="0.2">
      <c r="A84" s="289" t="s">
        <v>12</v>
      </c>
      <c r="B84" s="281"/>
      <c r="C84" s="281"/>
      <c r="D84" s="27"/>
      <c r="E84" s="281"/>
      <c r="F84" s="281"/>
      <c r="G84" s="165"/>
      <c r="H84" s="281"/>
      <c r="I84" s="281"/>
      <c r="J84" s="23"/>
    </row>
    <row r="85" spans="1:12" ht="15.75" customHeight="1" x14ac:dyDescent="0.2">
      <c r="A85" s="289" t="s">
        <v>13</v>
      </c>
      <c r="B85" s="281"/>
      <c r="C85" s="281"/>
      <c r="D85" s="27"/>
      <c r="E85" s="281"/>
      <c r="F85" s="281"/>
      <c r="G85" s="165"/>
      <c r="H85" s="281"/>
      <c r="I85" s="281"/>
      <c r="J85" s="23"/>
    </row>
    <row r="86" spans="1:12" ht="15.75" customHeight="1" x14ac:dyDescent="0.2">
      <c r="A86" s="21" t="s">
        <v>377</v>
      </c>
      <c r="B86" s="233">
        <f>'Fremtind Livsforsikring'!B86+'Danica Pensjonsforsikring'!B86+'DNB Livsforsikring'!B86+'Eika Forsikring AS'!B86+'Frende Livsforsikring'!B86+'Frende Skadeforsikring'!B86+'Gjensidige Forsikring'!B86+'Gjensidige Pensjon'!B86+'Handelsbanken Liv'!B86+'If Skadeforsikring NUF'!B86+KLP!B86+'KLP Skadeforsikring AS'!B86+'Landkreditt Forsikring'!B86+Insr!B86+'Nordea Liv '!B86+'Oslo Pensjonsforsikring'!B86+'Protector Forsikring'!B86+'SHB Liv'!B86+'Sparebank 1'!B86+'Storebrand Livsforsikring'!B86+'Telenor Forsikring'!B86+'Tryg Forsikring'!B86+'WaterCircles F'!B86+'Codan Forsikring'!B86+'Euro Accident'!B86+'Youplus Livsforsikring'!B86</f>
        <v>90729.999000000011</v>
      </c>
      <c r="C86" s="233">
        <f>'Fremtind Livsforsikring'!C86+'Danica Pensjonsforsikring'!C86+'DNB Livsforsikring'!C86+'Eika Forsikring AS'!C86+'Frende Livsforsikring'!C86+'Frende Skadeforsikring'!C86+'Gjensidige Forsikring'!C86+'Gjensidige Pensjon'!C86+'Handelsbanken Liv'!C86+'If Skadeforsikring NUF'!C86+KLP!C86+'KLP Skadeforsikring AS'!C86+'Landkreditt Forsikring'!C86+Insr!C86+'Nordea Liv '!C86+'Oslo Pensjonsforsikring'!C86+'Protector Forsikring'!C86+'SHB Liv'!C86+'Sparebank 1'!C86+'Storebrand Livsforsikring'!C86+'Telenor Forsikring'!C86+'Tryg Forsikring'!C86+'WaterCircles F'!C86+'Codan Forsikring'!C86+'Euro Accident'!C86+'Youplus Livsforsikring'!C86</f>
        <v>95388.546000000002</v>
      </c>
      <c r="D86" s="23">
        <f t="shared" si="23"/>
        <v>5.0999999999999996</v>
      </c>
      <c r="E86" s="44">
        <f>'Fremtind Livsforsikring'!F86+'Danica Pensjonsforsikring'!F86+'DNB Livsforsikring'!F86+'Eika Forsikring AS'!F86+'Frende Livsforsikring'!F86+'Frende Skadeforsikring'!F86+'Gjensidige Forsikring'!F86+'Gjensidige Pensjon'!F86+'Handelsbanken Liv'!F86+'If Skadeforsikring NUF'!F86+KLP!F86+'KLP Skadeforsikring AS'!F86+'Landkreditt Forsikring'!F86+Insr!F86+'Nordea Liv '!F86+'Oslo Pensjonsforsikring'!F86+'Protector Forsikring'!F86+'SHB Liv'!F86+'Sparebank 1'!F86+'Storebrand Livsforsikring'!F86+'Telenor Forsikring'!F86+'Tryg Forsikring'!F86+'WaterCircles F'!F86+'Codan Forsikring'!F86+'Euro Accident'!F86+'Youplus Livsforsikring'!F86</f>
        <v>3005.8030199999998</v>
      </c>
      <c r="F86" s="44">
        <f>'Fremtind Livsforsikring'!G86+'Danica Pensjonsforsikring'!G86+'DNB Livsforsikring'!G86+'Eika Forsikring AS'!G86+'Frende Livsforsikring'!G86+'Frende Skadeforsikring'!G86+'Gjensidige Forsikring'!G86+'Gjensidige Pensjon'!G86+'Handelsbanken Liv'!G86+'If Skadeforsikring NUF'!G86+KLP!G86+'KLP Skadeforsikring AS'!G86+'Landkreditt Forsikring'!G86+Insr!G86+'Nordea Liv '!G86+'Oslo Pensjonsforsikring'!G86+'Protector Forsikring'!G86+'SHB Liv'!G86+'Sparebank 1'!G86+'Storebrand Livsforsikring'!G86+'Telenor Forsikring'!G86+'Tryg Forsikring'!G86+'WaterCircles F'!G86+'Codan Forsikring'!G86+'Euro Accident'!G86+'Youplus Livsforsikring'!G86</f>
        <v>3641.0869199999997</v>
      </c>
      <c r="G86" s="165">
        <f t="shared" si="24"/>
        <v>21.1</v>
      </c>
      <c r="H86" s="233">
        <f t="shared" si="25"/>
        <v>93735.802020000017</v>
      </c>
      <c r="I86" s="233">
        <f t="shared" si="26"/>
        <v>99029.632920000004</v>
      </c>
      <c r="J86" s="23">
        <f t="shared" si="27"/>
        <v>5.6</v>
      </c>
    </row>
    <row r="87" spans="1:12" s="43" customFormat="1" ht="15.75" customHeight="1" x14ac:dyDescent="0.2">
      <c r="A87" s="13" t="s">
        <v>359</v>
      </c>
      <c r="B87" s="319">
        <f>'Fremtind Livsforsikring'!B87+'Danica Pensjonsforsikring'!B87+'DNB Livsforsikring'!B87+'Eika Forsikring AS'!B87+'Frende Livsforsikring'!B87+'Frende Skadeforsikring'!B87+'Gjensidige Forsikring'!B87+'Gjensidige Pensjon'!B87+'Handelsbanken Liv'!B87+'If Skadeforsikring NUF'!B87+KLP!B87+'KLP Skadeforsikring AS'!B87+'Landkreditt Forsikring'!B87+Insr!B87+'Nordea Liv '!B87+'Oslo Pensjonsforsikring'!B87+'Protector Forsikring'!B87+'SHB Liv'!B87+'Sparebank 1'!B87+'Storebrand Livsforsikring'!B87+'Telenor Forsikring'!B87+'Tryg Forsikring'!B87+'WaterCircles F'!B87+'Codan Forsikring'!B87+'Euro Accident'!B87+'Youplus Livsforsikring'!B87</f>
        <v>398969561.00984657</v>
      </c>
      <c r="C87" s="319">
        <f>'Fremtind Livsforsikring'!C87+'Danica Pensjonsforsikring'!C87+'DNB Livsforsikring'!C87+'Eika Forsikring AS'!C87+'Frende Livsforsikring'!C87+'Frende Skadeforsikring'!C87+'Gjensidige Forsikring'!C87+'Gjensidige Pensjon'!C87+'Handelsbanken Liv'!C87+'If Skadeforsikring NUF'!C87+KLP!C87+'KLP Skadeforsikring AS'!C87+'Landkreditt Forsikring'!C87+Insr!C87+'Nordea Liv '!C87+'Oslo Pensjonsforsikring'!C87+'Protector Forsikring'!C87+'SHB Liv'!C87+'Sparebank 1'!C87+'Storebrand Livsforsikring'!C87+'Telenor Forsikring'!C87+'Tryg Forsikring'!C87+'WaterCircles F'!C87+'Codan Forsikring'!C87+'Euro Accident'!C87+'Youplus Livsforsikring'!C87</f>
        <v>404551313.40177226</v>
      </c>
      <c r="D87" s="24">
        <f t="shared" si="23"/>
        <v>1.4</v>
      </c>
      <c r="E87" s="232">
        <f>'Fremtind Livsforsikring'!F87+'Danica Pensjonsforsikring'!F87+'DNB Livsforsikring'!F87+'Eika Forsikring AS'!F87+'Frende Livsforsikring'!F87+'Frende Skadeforsikring'!F87+'Gjensidige Forsikring'!F87+'Gjensidige Pensjon'!F87+'Handelsbanken Liv'!F87+'If Skadeforsikring NUF'!F87+KLP!F87+'KLP Skadeforsikring AS'!F87+'Landkreditt Forsikring'!F87+Insr!F87+'Nordea Liv '!F87+'Oslo Pensjonsforsikring'!F87+'Protector Forsikring'!F87+'SHB Liv'!F87+'Sparebank 1'!F87+'Storebrand Livsforsikring'!F87+'Telenor Forsikring'!F87+'Tryg Forsikring'!F87+'WaterCircles F'!F87+'Codan Forsikring'!F87+'Euro Accident'!F87+'Youplus Livsforsikring'!F87</f>
        <v>393569552.66609597</v>
      </c>
      <c r="F87" s="232">
        <f>'Fremtind Livsforsikring'!G87+'Danica Pensjonsforsikring'!G87+'DNB Livsforsikring'!G87+'Eika Forsikring AS'!G87+'Frende Livsforsikring'!G87+'Frende Skadeforsikring'!G87+'Gjensidige Forsikring'!G87+'Gjensidige Pensjon'!G87+'Handelsbanken Liv'!G87+'If Skadeforsikring NUF'!G87+KLP!G87+'KLP Skadeforsikring AS'!G87+'Landkreditt Forsikring'!G87+Insr!G87+'Nordea Liv '!G87+'Oslo Pensjonsforsikring'!G87+'Protector Forsikring'!G87+'SHB Liv'!G87+'Sparebank 1'!G87+'Storebrand Livsforsikring'!G87+'Telenor Forsikring'!G87+'Tryg Forsikring'!G87+'WaterCircles F'!G87+'Codan Forsikring'!G87+'Euro Accident'!G87+'Youplus Livsforsikring'!G87</f>
        <v>443120347.16908503</v>
      </c>
      <c r="G87" s="170">
        <f t="shared" si="24"/>
        <v>12.6</v>
      </c>
      <c r="H87" s="319">
        <f t="shared" ref="H87:H111" si="32">SUM(B87,E87)</f>
        <v>792539113.67594254</v>
      </c>
      <c r="I87" s="319">
        <f t="shared" ref="I87:I111" si="33">SUM(C87,F87)</f>
        <v>847671660.57085729</v>
      </c>
      <c r="J87" s="24">
        <f t="shared" si="27"/>
        <v>7</v>
      </c>
    </row>
    <row r="88" spans="1:12" ht="15.75" customHeight="1" x14ac:dyDescent="0.2">
      <c r="A88" s="21" t="s">
        <v>9</v>
      </c>
      <c r="B88" s="233">
        <f>'Fremtind Livsforsikring'!B88+'Danica Pensjonsforsikring'!B88+'DNB Livsforsikring'!B88+'Eika Forsikring AS'!B88+'Frende Livsforsikring'!B88+'Frende Skadeforsikring'!B88+'Gjensidige Forsikring'!B88+'Gjensidige Pensjon'!B88+'Handelsbanken Liv'!B88+'If Skadeforsikring NUF'!B88+KLP!B88+'KLP Skadeforsikring AS'!B88+'Landkreditt Forsikring'!B88+Insr!B88+'Nordea Liv '!B88+'Oslo Pensjonsforsikring'!B88+'Protector Forsikring'!B88+'SHB Liv'!B88+'Sparebank 1'!B88+'Storebrand Livsforsikring'!B88+'Telenor Forsikring'!B88+'Tryg Forsikring'!B88+'WaterCircles F'!B88+'Codan Forsikring'!B88+'Euro Accident'!B88+'Youplus Livsforsikring'!B88</f>
        <v>386530313.68927664</v>
      </c>
      <c r="C88" s="233">
        <f>'Fremtind Livsforsikring'!C88+'Danica Pensjonsforsikring'!C88+'DNB Livsforsikring'!C88+'Eika Forsikring AS'!C88+'Frende Livsforsikring'!C88+'Frende Skadeforsikring'!C88+'Gjensidige Forsikring'!C88+'Gjensidige Pensjon'!C88+'Handelsbanken Liv'!C88+'If Skadeforsikring NUF'!C88+KLP!C88+'KLP Skadeforsikring AS'!C88+'Landkreditt Forsikring'!C88+Insr!C88+'Nordea Liv '!C88+'Oslo Pensjonsforsikring'!C88+'Protector Forsikring'!C88+'SHB Liv'!C88+'Sparebank 1'!C88+'Storebrand Livsforsikring'!C88+'Telenor Forsikring'!C88+'Tryg Forsikring'!C88+'WaterCircles F'!C88+'Codan Forsikring'!C88+'Euro Accident'!C88+'Youplus Livsforsikring'!C88</f>
        <v>390272908.72976112</v>
      </c>
      <c r="D88" s="23">
        <f t="shared" si="23"/>
        <v>1</v>
      </c>
      <c r="E88" s="44">
        <f>'Fremtind Livsforsikring'!F88+'Danica Pensjonsforsikring'!F88+'DNB Livsforsikring'!F88+'Eika Forsikring AS'!F88+'Frende Livsforsikring'!F88+'Frende Skadeforsikring'!F88+'Gjensidige Forsikring'!F88+'Gjensidige Pensjon'!F88+'Handelsbanken Liv'!F88+'If Skadeforsikring NUF'!F88+KLP!F88+'KLP Skadeforsikring AS'!F88+'Landkreditt Forsikring'!F88+Insr!F88+'Nordea Liv '!F88+'Oslo Pensjonsforsikring'!F88+'Protector Forsikring'!F88+'SHB Liv'!F88+'Sparebank 1'!F88+'Storebrand Livsforsikring'!F88+'Telenor Forsikring'!F88+'Tryg Forsikring'!F88+'WaterCircles F'!F88+'Codan Forsikring'!F88+'Euro Accident'!F88+'Youplus Livsforsikring'!F88</f>
        <v>0</v>
      </c>
      <c r="F88" s="44">
        <f>'Fremtind Livsforsikring'!G88+'Danica Pensjonsforsikring'!G88+'DNB Livsforsikring'!G88+'Eika Forsikring AS'!G88+'Frende Livsforsikring'!G88+'Frende Skadeforsikring'!G88+'Gjensidige Forsikring'!G88+'Gjensidige Pensjon'!G88+'Handelsbanken Liv'!G88+'If Skadeforsikring NUF'!G88+KLP!G88+'KLP Skadeforsikring AS'!G88+'Landkreditt Forsikring'!G88+Insr!G88+'Nordea Liv '!G88+'Oslo Pensjonsforsikring'!G88+'Protector Forsikring'!G88+'SHB Liv'!G88+'Sparebank 1'!G88+'Storebrand Livsforsikring'!G88+'Telenor Forsikring'!G88+'Tryg Forsikring'!G88+'WaterCircles F'!G88+'Codan Forsikring'!G88+'Euro Accident'!G88+'Youplus Livsforsikring'!G88</f>
        <v>0</v>
      </c>
      <c r="G88" s="165"/>
      <c r="H88" s="233">
        <f t="shared" si="32"/>
        <v>386530313.68927664</v>
      </c>
      <c r="I88" s="233">
        <f t="shared" si="33"/>
        <v>390272908.72976112</v>
      </c>
      <c r="J88" s="23">
        <f t="shared" si="27"/>
        <v>1</v>
      </c>
      <c r="L88" s="148"/>
    </row>
    <row r="89" spans="1:12" ht="15.75" customHeight="1" x14ac:dyDescent="0.2">
      <c r="A89" s="21" t="s">
        <v>10</v>
      </c>
      <c r="B89" s="233">
        <f>'Fremtind Livsforsikring'!B89+'Danica Pensjonsforsikring'!B89+'DNB Livsforsikring'!B89+'Eika Forsikring AS'!B89+'Frende Livsforsikring'!B89+'Frende Skadeforsikring'!B89+'Gjensidige Forsikring'!B89+'Gjensidige Pensjon'!B89+'Handelsbanken Liv'!B89+'If Skadeforsikring NUF'!B89+KLP!B89+'KLP Skadeforsikring AS'!B89+'Landkreditt Forsikring'!B89+Insr!B89+'Nordea Liv '!B89+'Oslo Pensjonsforsikring'!B89+'Protector Forsikring'!B89+'SHB Liv'!B89+'Sparebank 1'!B89+'Storebrand Livsforsikring'!B89+'Telenor Forsikring'!B89+'Tryg Forsikring'!B89+'WaterCircles F'!B89+'Codan Forsikring'!B89+'Euro Accident'!B89+'Youplus Livsforsikring'!B89</f>
        <v>3056173.5037099998</v>
      </c>
      <c r="C89" s="233">
        <f>'Fremtind Livsforsikring'!C89+'Danica Pensjonsforsikring'!C89+'DNB Livsforsikring'!C89+'Eika Forsikring AS'!C89+'Frende Livsforsikring'!C89+'Frende Skadeforsikring'!C89+'Gjensidige Forsikring'!C89+'Gjensidige Pensjon'!C89+'Handelsbanken Liv'!C89+'If Skadeforsikring NUF'!C89+KLP!C89+'KLP Skadeforsikring AS'!C89+'Landkreditt Forsikring'!C89+Insr!C89+'Nordea Liv '!C89+'Oslo Pensjonsforsikring'!C89+'Protector Forsikring'!C89+'SHB Liv'!C89+'Sparebank 1'!C89+'Storebrand Livsforsikring'!C89+'Telenor Forsikring'!C89+'Tryg Forsikring'!C89+'WaterCircles F'!C89+'Codan Forsikring'!C89+'Euro Accident'!C89+'Youplus Livsforsikring'!C89</f>
        <v>3160052.8691211799</v>
      </c>
      <c r="D89" s="23">
        <f t="shared" si="23"/>
        <v>3.4</v>
      </c>
      <c r="E89" s="44">
        <f>'Fremtind Livsforsikring'!F89+'Danica Pensjonsforsikring'!F89+'DNB Livsforsikring'!F89+'Eika Forsikring AS'!F89+'Frende Livsforsikring'!F89+'Frende Skadeforsikring'!F89+'Gjensidige Forsikring'!F89+'Gjensidige Pensjon'!F89+'Handelsbanken Liv'!F89+'If Skadeforsikring NUF'!F89+KLP!F89+'KLP Skadeforsikring AS'!F89+'Landkreditt Forsikring'!F89+Insr!F89+'Nordea Liv '!F89+'Oslo Pensjonsforsikring'!F89+'Protector Forsikring'!F89+'SHB Liv'!F89+'Sparebank 1'!F89+'Storebrand Livsforsikring'!F89+'Telenor Forsikring'!F89+'Tryg Forsikring'!F89+'WaterCircles F'!F89+'Codan Forsikring'!F89+'Euro Accident'!F89+'Youplus Livsforsikring'!F89</f>
        <v>389978027.86210597</v>
      </c>
      <c r="F89" s="44">
        <f>'Fremtind Livsforsikring'!G89+'Danica Pensjonsforsikring'!G89+'DNB Livsforsikring'!G89+'Eika Forsikring AS'!G89+'Frende Livsforsikring'!G89+'Frende Skadeforsikring'!G89+'Gjensidige Forsikring'!G89+'Gjensidige Pensjon'!G89+'Handelsbanken Liv'!G89+'If Skadeforsikring NUF'!G89+KLP!G89+'KLP Skadeforsikring AS'!G89+'Landkreditt Forsikring'!G89+Insr!G89+'Nordea Liv '!G89+'Oslo Pensjonsforsikring'!G89+'Protector Forsikring'!G89+'SHB Liv'!G89+'Sparebank 1'!G89+'Storebrand Livsforsikring'!G89+'Telenor Forsikring'!G89+'Tryg Forsikring'!G89+'WaterCircles F'!G89+'Codan Forsikring'!G89+'Euro Accident'!G89+'Youplus Livsforsikring'!G89</f>
        <v>438146052.72193503</v>
      </c>
      <c r="G89" s="165">
        <f t="shared" si="24"/>
        <v>12.4</v>
      </c>
      <c r="H89" s="233">
        <f t="shared" si="32"/>
        <v>393034201.36581594</v>
      </c>
      <c r="I89" s="233">
        <f t="shared" si="33"/>
        <v>441306105.59105623</v>
      </c>
      <c r="J89" s="23">
        <f t="shared" si="27"/>
        <v>12.3</v>
      </c>
      <c r="L89" s="148"/>
    </row>
    <row r="90" spans="1:12" ht="15.75" customHeight="1" x14ac:dyDescent="0.2">
      <c r="A90" s="289" t="s">
        <v>374</v>
      </c>
      <c r="B90" s="281"/>
      <c r="C90" s="281"/>
      <c r="D90" s="27"/>
      <c r="E90" s="281"/>
      <c r="F90" s="281"/>
      <c r="G90" s="170"/>
      <c r="H90" s="281"/>
      <c r="I90" s="281"/>
      <c r="J90" s="23"/>
    </row>
    <row r="91" spans="1:12" ht="15.75" customHeight="1" x14ac:dyDescent="0.2">
      <c r="A91" s="289" t="s">
        <v>12</v>
      </c>
      <c r="B91" s="281"/>
      <c r="C91" s="281"/>
      <c r="D91" s="27"/>
      <c r="E91" s="281"/>
      <c r="F91" s="281"/>
      <c r="G91" s="170"/>
      <c r="H91" s="281"/>
      <c r="I91" s="281"/>
      <c r="J91" s="23"/>
    </row>
    <row r="92" spans="1:12" ht="15.75" customHeight="1" x14ac:dyDescent="0.2">
      <c r="A92" s="289" t="s">
        <v>13</v>
      </c>
      <c r="B92" s="281"/>
      <c r="C92" s="281"/>
      <c r="D92" s="27"/>
      <c r="E92" s="281"/>
      <c r="F92" s="281"/>
      <c r="G92" s="170"/>
      <c r="H92" s="281"/>
      <c r="I92" s="281"/>
      <c r="J92" s="23"/>
    </row>
    <row r="93" spans="1:12" ht="15.75" customHeight="1" x14ac:dyDescent="0.2">
      <c r="A93" s="289" t="s">
        <v>375</v>
      </c>
      <c r="B93" s="281"/>
      <c r="C93" s="281"/>
      <c r="D93" s="27"/>
      <c r="E93" s="281"/>
      <c r="F93" s="281"/>
      <c r="G93" s="170"/>
      <c r="H93" s="281"/>
      <c r="I93" s="281"/>
      <c r="J93" s="23"/>
    </row>
    <row r="94" spans="1:12" ht="15.75" customHeight="1" x14ac:dyDescent="0.2">
      <c r="A94" s="289" t="s">
        <v>12</v>
      </c>
      <c r="B94" s="281"/>
      <c r="C94" s="281"/>
      <c r="D94" s="27"/>
      <c r="E94" s="281"/>
      <c r="F94" s="281"/>
      <c r="G94" s="170"/>
      <c r="H94" s="281"/>
      <c r="I94" s="281"/>
      <c r="J94" s="23"/>
    </row>
    <row r="95" spans="1:12" ht="15.75" customHeight="1" x14ac:dyDescent="0.2">
      <c r="A95" s="289" t="s">
        <v>13</v>
      </c>
      <c r="B95" s="281"/>
      <c r="C95" s="281"/>
      <c r="D95" s="27"/>
      <c r="E95" s="281"/>
      <c r="F95" s="281"/>
      <c r="G95" s="170"/>
      <c r="H95" s="281"/>
      <c r="I95" s="281"/>
      <c r="J95" s="23"/>
    </row>
    <row r="96" spans="1:12" ht="15.75" customHeight="1" x14ac:dyDescent="0.2">
      <c r="A96" s="21" t="s">
        <v>344</v>
      </c>
      <c r="B96" s="233">
        <f>'Fremtind Livsforsikring'!B96+'Danica Pensjonsforsikring'!B96+'DNB Livsforsikring'!B96+'Eika Forsikring AS'!B96+'Frende Livsforsikring'!B96+'Frende Skadeforsikring'!B96+'Gjensidige Forsikring'!B96+'Gjensidige Pensjon'!B96+'Handelsbanken Liv'!B96+'If Skadeforsikring NUF'!B96+KLP!B96+'KLP Skadeforsikring AS'!B96+'Landkreditt Forsikring'!B96+Insr!B96+'Nordea Liv '!B96+'Oslo Pensjonsforsikring'!B96+'Protector Forsikring'!B96+'SHB Liv'!B96+'Sparebank 1'!B96+'Storebrand Livsforsikring'!B96+'Telenor Forsikring'!B96+'Tryg Forsikring'!B96+'WaterCircles F'!B96+'Codan Forsikring'!B96+'Euro Accident'!B96+'Youplus Livsforsikring'!B96</f>
        <v>2268547.0063399998</v>
      </c>
      <c r="C96" s="233">
        <f>'Fremtind Livsforsikring'!C96+'Danica Pensjonsforsikring'!C96+'DNB Livsforsikring'!C96+'Eika Forsikring AS'!C96+'Frende Livsforsikring'!C96+'Frende Skadeforsikring'!C96+'Gjensidige Forsikring'!C96+'Gjensidige Pensjon'!C96+'Handelsbanken Liv'!C96+'If Skadeforsikring NUF'!C96+KLP!C96+'KLP Skadeforsikring AS'!C96+'Landkreditt Forsikring'!C96+Insr!C96+'Nordea Liv '!C96+'Oslo Pensjonsforsikring'!C96+'Protector Forsikring'!C96+'SHB Liv'!C96+'Sparebank 1'!C96+'Storebrand Livsforsikring'!C96+'Telenor Forsikring'!C96+'Tryg Forsikring'!C96+'WaterCircles F'!C96+'Codan Forsikring'!C96+'Euro Accident'!C96+'Youplus Livsforsikring'!C96</f>
        <v>3067354.5131700002</v>
      </c>
      <c r="D96" s="23">
        <f t="shared" si="23"/>
        <v>35.200000000000003</v>
      </c>
      <c r="E96" s="44">
        <f>'Fremtind Livsforsikring'!F96+'Danica Pensjonsforsikring'!F96+'DNB Livsforsikring'!F96+'Eika Forsikring AS'!F96+'Frende Livsforsikring'!F96+'Frende Skadeforsikring'!F96+'Gjensidige Forsikring'!F96+'Gjensidige Pensjon'!F96+'Handelsbanken Liv'!F96+'If Skadeforsikring NUF'!F96+KLP!F96+'KLP Skadeforsikring AS'!F96+'Landkreditt Forsikring'!F96+Insr!F96+'Nordea Liv '!F96+'Oslo Pensjonsforsikring'!F96+'Protector Forsikring'!F96+'SHB Liv'!F96+'Sparebank 1'!F96+'Storebrand Livsforsikring'!F96+'Telenor Forsikring'!F96+'Tryg Forsikring'!F96+'WaterCircles F'!F96+'Codan Forsikring'!F96+'Euro Accident'!F96+'Youplus Livsforsikring'!F96</f>
        <v>3591524.8039899999</v>
      </c>
      <c r="F96" s="44">
        <f>'Fremtind Livsforsikring'!G96+'Danica Pensjonsforsikring'!G96+'DNB Livsforsikring'!G96+'Eika Forsikring AS'!G96+'Frende Livsforsikring'!G96+'Frende Skadeforsikring'!G96+'Gjensidige Forsikring'!G96+'Gjensidige Pensjon'!G96+'Handelsbanken Liv'!G96+'If Skadeforsikring NUF'!G96+KLP!G96+'KLP Skadeforsikring AS'!G96+'Landkreditt Forsikring'!G96+Insr!G96+'Nordea Liv '!G96+'Oslo Pensjonsforsikring'!G96+'Protector Forsikring'!G96+'SHB Liv'!G96+'Sparebank 1'!G96+'Storebrand Livsforsikring'!G96+'Telenor Forsikring'!G96+'Tryg Forsikring'!G96+'WaterCircles F'!G96+'Codan Forsikring'!G96+'Euro Accident'!G96+'Youplus Livsforsikring'!G96</f>
        <v>4974294.4471499994</v>
      </c>
      <c r="G96" s="165">
        <f t="shared" si="24"/>
        <v>38.5</v>
      </c>
      <c r="H96" s="233">
        <f t="shared" si="32"/>
        <v>5860071.8103299998</v>
      </c>
      <c r="I96" s="233">
        <f t="shared" si="33"/>
        <v>8041648.9603199996</v>
      </c>
      <c r="J96" s="23">
        <f t="shared" si="27"/>
        <v>37.200000000000003</v>
      </c>
    </row>
    <row r="97" spans="1:16" ht="15.75" customHeight="1" x14ac:dyDescent="0.2">
      <c r="A97" s="21" t="s">
        <v>343</v>
      </c>
      <c r="B97" s="233">
        <f>'Fremtind Livsforsikring'!B97+'Danica Pensjonsforsikring'!B97+'DNB Livsforsikring'!B97+'Eika Forsikring AS'!B97+'Frende Livsforsikring'!B97+'Frende Skadeforsikring'!B97+'Gjensidige Forsikring'!B97+'Gjensidige Pensjon'!B97+'Handelsbanken Liv'!B97+'If Skadeforsikring NUF'!B97+KLP!B97+'KLP Skadeforsikring AS'!B97+'Landkreditt Forsikring'!B97+Insr!B97+'Nordea Liv '!B97+'Oslo Pensjonsforsikring'!B97+'Protector Forsikring'!B97+'SHB Liv'!B97+'Sparebank 1'!B97+'Storebrand Livsforsikring'!B97+'Telenor Forsikring'!B97+'Tryg Forsikring'!B97+'WaterCircles F'!B97+'Codan Forsikring'!B97+'Euro Accident'!B97+'Youplus Livsforsikring'!B97</f>
        <v>7114526.8105200008</v>
      </c>
      <c r="C97" s="233">
        <f>'Fremtind Livsforsikring'!C97+'Danica Pensjonsforsikring'!C97+'DNB Livsforsikring'!C97+'Eika Forsikring AS'!C97+'Frende Livsforsikring'!C97+'Frende Skadeforsikring'!C97+'Gjensidige Forsikring'!C97+'Gjensidige Pensjon'!C97+'Handelsbanken Liv'!C97+'If Skadeforsikring NUF'!C97+KLP!C97+'KLP Skadeforsikring AS'!C97+'Landkreditt Forsikring'!C97+Insr!C97+'Nordea Liv '!C97+'Oslo Pensjonsforsikring'!C97+'Protector Forsikring'!C97+'SHB Liv'!C97+'Sparebank 1'!C97+'Storebrand Livsforsikring'!C97+'Telenor Forsikring'!C97+'Tryg Forsikring'!C97+'WaterCircles F'!C97+'Codan Forsikring'!C97+'Euro Accident'!C97+'Youplus Livsforsikring'!C97</f>
        <v>8050997.2897199998</v>
      </c>
      <c r="D97" s="23">
        <f t="shared" ref="D97" si="34">IF(B97=0, "    ---- ", IF(ABS(ROUND(100/B97*C97-100,1))&lt;999,ROUND(100/B97*C97-100,1),IF(ROUND(100/B97*C97-100,1)&gt;999,999,-999)))</f>
        <v>13.2</v>
      </c>
      <c r="E97" s="44">
        <f>'Fremtind Livsforsikring'!F97+'Danica Pensjonsforsikring'!F97+'DNB Livsforsikring'!F97+'Eika Forsikring AS'!F97+'Frende Livsforsikring'!F97+'Frende Skadeforsikring'!F97+'Gjensidige Forsikring'!F97+'Gjensidige Pensjon'!F97+'Handelsbanken Liv'!F97+'If Skadeforsikring NUF'!F97+KLP!F97+'KLP Skadeforsikring AS'!F97+'Landkreditt Forsikring'!F97+Insr!F97+'Nordea Liv '!F97+'Oslo Pensjonsforsikring'!F97+'Protector Forsikring'!F97+'SHB Liv'!F97+'Sparebank 1'!F97+'Storebrand Livsforsikring'!F97+'Telenor Forsikring'!F97+'Tryg Forsikring'!F97+'WaterCircles F'!F97+'Codan Forsikring'!F97+'Euro Accident'!F97+'Youplus Livsforsikring'!F97</f>
        <v>0</v>
      </c>
      <c r="F97" s="44">
        <f>'Fremtind Livsforsikring'!G97+'Danica Pensjonsforsikring'!G97+'DNB Livsforsikring'!G97+'Eika Forsikring AS'!G97+'Frende Livsforsikring'!G97+'Frende Skadeforsikring'!G97+'Gjensidige Forsikring'!G97+'Gjensidige Pensjon'!G97+'Handelsbanken Liv'!G97+'If Skadeforsikring NUF'!G97+KLP!G97+'KLP Skadeforsikring AS'!G97+'Landkreditt Forsikring'!G97+Insr!G97+'Nordea Liv '!G97+'Oslo Pensjonsforsikring'!G97+'Protector Forsikring'!G97+'SHB Liv'!G97+'Sparebank 1'!G97+'Storebrand Livsforsikring'!G97+'Telenor Forsikring'!G97+'Tryg Forsikring'!G97+'WaterCircles F'!G97+'Codan Forsikring'!G97+'Euro Accident'!G97+'Youplus Livsforsikring'!G97</f>
        <v>0</v>
      </c>
      <c r="G97" s="165"/>
      <c r="H97" s="233">
        <f t="shared" ref="H97" si="35">SUM(B97,E97)</f>
        <v>7114526.8105200008</v>
      </c>
      <c r="I97" s="233">
        <f t="shared" ref="I97" si="36">SUM(C97,F97)</f>
        <v>8050997.2897199998</v>
      </c>
      <c r="J97" s="23">
        <f t="shared" ref="J97" si="37">IF(H97=0, "    ---- ", IF(ABS(ROUND(100/H97*I97-100,1))&lt;999,ROUND(100/H97*I97-100,1),IF(ROUND(100/H97*I97-100,1)&gt;999,999,-999)))</f>
        <v>13.2</v>
      </c>
    </row>
    <row r="98" spans="1:16" ht="15.75" customHeight="1" x14ac:dyDescent="0.2">
      <c r="A98" s="21" t="s">
        <v>376</v>
      </c>
      <c r="B98" s="233">
        <f>'Fremtind Livsforsikring'!B98+'Danica Pensjonsforsikring'!B98+'DNB Livsforsikring'!B98+'Eika Forsikring AS'!B98+'Frende Livsforsikring'!B98+'Frende Skadeforsikring'!B98+'Gjensidige Forsikring'!B98+'Gjensidige Pensjon'!B98+'Handelsbanken Liv'!B98+'If Skadeforsikring NUF'!B98+KLP!B98+'KLP Skadeforsikring AS'!B98+'Landkreditt Forsikring'!B98+Insr!B98+'Nordea Liv '!B98+'Oslo Pensjonsforsikring'!B98+'Protector Forsikring'!B98+'SHB Liv'!B98+'Sparebank 1'!B98+'Storebrand Livsforsikring'!B98+'Telenor Forsikring'!B98+'Tryg Forsikring'!B98+'WaterCircles F'!B98+'Codan Forsikring'!B98+'Euro Accident'!B98+'Youplus Livsforsikring'!B98</f>
        <v>385140114.88460267</v>
      </c>
      <c r="C98" s="233">
        <f>'Fremtind Livsforsikring'!C98+'Danica Pensjonsforsikring'!C98+'DNB Livsforsikring'!C98+'Eika Forsikring AS'!C98+'Frende Livsforsikring'!C98+'Frende Skadeforsikring'!C98+'Gjensidige Forsikring'!C98+'Gjensidige Pensjon'!C98+'Handelsbanken Liv'!C98+'If Skadeforsikring NUF'!C98+KLP!C98+'KLP Skadeforsikring AS'!C98+'Landkreditt Forsikring'!C98+Insr!C98+'Nordea Liv '!C98+'Oslo Pensjonsforsikring'!C98+'Protector Forsikring'!C98+'SHB Liv'!C98+'Sparebank 1'!C98+'Storebrand Livsforsikring'!C98+'Telenor Forsikring'!C98+'Tryg Forsikring'!C98+'WaterCircles F'!C98+'Codan Forsikring'!C98+'Euro Accident'!C98+'Youplus Livsforsikring'!C98</f>
        <v>388941375.41677237</v>
      </c>
      <c r="D98" s="23">
        <f t="shared" si="23"/>
        <v>1</v>
      </c>
      <c r="E98" s="44">
        <f>'Fremtind Livsforsikring'!F98+'Danica Pensjonsforsikring'!F98+'DNB Livsforsikring'!F98+'Eika Forsikring AS'!F98+'Frende Livsforsikring'!F98+'Frende Skadeforsikring'!F98+'Gjensidige Forsikring'!F98+'Gjensidige Pensjon'!F98+'Handelsbanken Liv'!F98+'If Skadeforsikring NUF'!F98+KLP!F98+'KLP Skadeforsikring AS'!F98+'Landkreditt Forsikring'!F98+Insr!F98+'Nordea Liv '!F98+'Oslo Pensjonsforsikring'!F98+'Protector Forsikring'!F98+'SHB Liv'!F98+'Sparebank 1'!F98+'Storebrand Livsforsikring'!F98+'Telenor Forsikring'!F98+'Tryg Forsikring'!F98+'WaterCircles F'!F98+'Codan Forsikring'!F98+'Euro Accident'!F98+'Youplus Livsforsikring'!F98</f>
        <v>388899648.09296602</v>
      </c>
      <c r="F98" s="44">
        <f>'Fremtind Livsforsikring'!G98+'Danica Pensjonsforsikring'!G98+'DNB Livsforsikring'!G98+'Eika Forsikring AS'!G98+'Frende Livsforsikring'!G98+'Frende Skadeforsikring'!G98+'Gjensidige Forsikring'!G98+'Gjensidige Pensjon'!G98+'Handelsbanken Liv'!G98+'If Skadeforsikring NUF'!G98+KLP!G98+'KLP Skadeforsikring AS'!G98+'Landkreditt Forsikring'!G98+Insr!G98+'Nordea Liv '!G98+'Oslo Pensjonsforsikring'!G98+'Protector Forsikring'!G98+'SHB Liv'!G98+'Sparebank 1'!G98+'Storebrand Livsforsikring'!G98+'Telenor Forsikring'!G98+'Tryg Forsikring'!G98+'WaterCircles F'!G98+'Codan Forsikring'!G98+'Euro Accident'!G98+'Youplus Livsforsikring'!G98</f>
        <v>437272529.85361505</v>
      </c>
      <c r="G98" s="165">
        <f t="shared" si="24"/>
        <v>12.4</v>
      </c>
      <c r="H98" s="233">
        <f t="shared" si="32"/>
        <v>774039762.97756863</v>
      </c>
      <c r="I98" s="233">
        <f t="shared" si="33"/>
        <v>826213905.27038741</v>
      </c>
      <c r="J98" s="23">
        <f t="shared" si="27"/>
        <v>6.7</v>
      </c>
    </row>
    <row r="99" spans="1:16" ht="15.75" customHeight="1" x14ac:dyDescent="0.2">
      <c r="A99" s="21" t="s">
        <v>9</v>
      </c>
      <c r="B99" s="233">
        <f>'Fremtind Livsforsikring'!B99+'Danica Pensjonsforsikring'!B99+'DNB Livsforsikring'!B99+'Eika Forsikring AS'!B99+'Frende Livsforsikring'!B99+'Frende Skadeforsikring'!B99+'Gjensidige Forsikring'!B99+'Gjensidige Pensjon'!B99+'Handelsbanken Liv'!B99+'If Skadeforsikring NUF'!B99+KLP!B99+'KLP Skadeforsikring AS'!B99+'Landkreditt Forsikring'!B99+Insr!B99+'Nordea Liv '!B99+'Oslo Pensjonsforsikring'!B99+'Protector Forsikring'!B99+'SHB Liv'!B99+'Sparebank 1'!B99+'Storebrand Livsforsikring'!B99+'Telenor Forsikring'!B99+'Tryg Forsikring'!B99+'WaterCircles F'!B99+'Codan Forsikring'!B99+'Euro Accident'!B99+'Youplus Livsforsikring'!B99</f>
        <v>382083941.38089263</v>
      </c>
      <c r="C99" s="233">
        <f>'Fremtind Livsforsikring'!C99+'Danica Pensjonsforsikring'!C99+'DNB Livsforsikring'!C99+'Eika Forsikring AS'!C99+'Frende Livsforsikring'!C99+'Frende Skadeforsikring'!C99+'Gjensidige Forsikring'!C99+'Gjensidige Pensjon'!C99+'Handelsbanken Liv'!C99+'If Skadeforsikring NUF'!C99+KLP!C99+'KLP Skadeforsikring AS'!C99+'Landkreditt Forsikring'!C99+Insr!C99+'Nordea Liv '!C99+'Oslo Pensjonsforsikring'!C99+'Protector Forsikring'!C99+'SHB Liv'!C99+'Sparebank 1'!C99+'Storebrand Livsforsikring'!C99+'Telenor Forsikring'!C99+'Tryg Forsikring'!C99+'WaterCircles F'!C99+'Codan Forsikring'!C99+'Euro Accident'!C99+'Youplus Livsforsikring'!C99</f>
        <v>385781322.54765111</v>
      </c>
      <c r="D99" s="23">
        <f t="shared" si="23"/>
        <v>1</v>
      </c>
      <c r="E99" s="44">
        <f>'Fremtind Livsforsikring'!F99+'Danica Pensjonsforsikring'!F99+'DNB Livsforsikring'!F99+'Eika Forsikring AS'!F99+'Frende Livsforsikring'!F99+'Frende Skadeforsikring'!F99+'Gjensidige Forsikring'!F99+'Gjensidige Pensjon'!F99+'Handelsbanken Liv'!F99+'If Skadeforsikring NUF'!F99+KLP!F99+'KLP Skadeforsikring AS'!F99+'Landkreditt Forsikring'!F99+Insr!F99+'Nordea Liv '!F99+'Oslo Pensjonsforsikring'!F99+'Protector Forsikring'!F99+'SHB Liv'!F99+'Sparebank 1'!F99+'Storebrand Livsforsikring'!F99+'Telenor Forsikring'!F99+'Tryg Forsikring'!F99+'WaterCircles F'!F99+'Codan Forsikring'!F99+'Euro Accident'!F99+'Youplus Livsforsikring'!F99</f>
        <v>0</v>
      </c>
      <c r="F99" s="44">
        <f>'Fremtind Livsforsikring'!G99+'Danica Pensjonsforsikring'!G99+'DNB Livsforsikring'!G99+'Eika Forsikring AS'!G99+'Frende Livsforsikring'!G99+'Frende Skadeforsikring'!G99+'Gjensidige Forsikring'!G99+'Gjensidige Pensjon'!G99+'Handelsbanken Liv'!G99+'If Skadeforsikring NUF'!G99+KLP!G99+'KLP Skadeforsikring AS'!G99+'Landkreditt Forsikring'!G99+Insr!G99+'Nordea Liv '!G99+'Oslo Pensjonsforsikring'!G99+'Protector Forsikring'!G99+'SHB Liv'!G99+'Sparebank 1'!G99+'Storebrand Livsforsikring'!G99+'Telenor Forsikring'!G99+'Tryg Forsikring'!G99+'WaterCircles F'!G99+'Codan Forsikring'!G99+'Euro Accident'!G99+'Youplus Livsforsikring'!G99</f>
        <v>0</v>
      </c>
      <c r="G99" s="165"/>
      <c r="H99" s="233">
        <f t="shared" si="32"/>
        <v>382083941.38089263</v>
      </c>
      <c r="I99" s="233">
        <f t="shared" si="33"/>
        <v>385781322.54765111</v>
      </c>
      <c r="J99" s="23">
        <f t="shared" si="27"/>
        <v>1</v>
      </c>
    </row>
    <row r="100" spans="1:16" ht="15.75" customHeight="1" x14ac:dyDescent="0.2">
      <c r="A100" s="38" t="s">
        <v>413</v>
      </c>
      <c r="B100" s="233">
        <f>'Fremtind Livsforsikring'!B100+'Danica Pensjonsforsikring'!B100+'DNB Livsforsikring'!B100+'Eika Forsikring AS'!B100+'Frende Livsforsikring'!B100+'Frende Skadeforsikring'!B100+'Gjensidige Forsikring'!B100+'Gjensidige Pensjon'!B100+'Handelsbanken Liv'!B100+'If Skadeforsikring NUF'!B100+KLP!B100+'KLP Skadeforsikring AS'!B100+'Landkreditt Forsikring'!B100+Insr!B100+'Nordea Liv '!B100+'Oslo Pensjonsforsikring'!B100+'Protector Forsikring'!B100+'SHB Liv'!B100+'Sparebank 1'!B100+'Storebrand Livsforsikring'!B100+'Telenor Forsikring'!B100+'Tryg Forsikring'!B100+'WaterCircles F'!B100+'Codan Forsikring'!B100+'Euro Accident'!B100+'Youplus Livsforsikring'!B100</f>
        <v>3056173.5037099998</v>
      </c>
      <c r="C100" s="233">
        <f>'Fremtind Livsforsikring'!C100+'Danica Pensjonsforsikring'!C100+'DNB Livsforsikring'!C100+'Eika Forsikring AS'!C100+'Frende Livsforsikring'!C100+'Frende Skadeforsikring'!C100+'Gjensidige Forsikring'!C100+'Gjensidige Pensjon'!C100+'Handelsbanken Liv'!C100+'If Skadeforsikring NUF'!C100+KLP!C100+'KLP Skadeforsikring AS'!C100+'Landkreditt Forsikring'!C100+Insr!C100+'Nordea Liv '!C100+'Oslo Pensjonsforsikring'!C100+'Protector Forsikring'!C100+'SHB Liv'!C100+'Sparebank 1'!C100+'Storebrand Livsforsikring'!C100+'Telenor Forsikring'!C100+'Tryg Forsikring'!C100+'WaterCircles F'!C100+'Codan Forsikring'!C100+'Euro Accident'!C100+'Youplus Livsforsikring'!C100</f>
        <v>3160052.8691211799</v>
      </c>
      <c r="D100" s="23">
        <f t="shared" si="23"/>
        <v>3.4</v>
      </c>
      <c r="E100" s="44">
        <f>'Fremtind Livsforsikring'!F100+'Danica Pensjonsforsikring'!F100+'DNB Livsforsikring'!F100+'Eika Forsikring AS'!F100+'Frende Livsforsikring'!F100+'Frende Skadeforsikring'!F100+'Gjensidige Forsikring'!F100+'Gjensidige Pensjon'!F100+'Handelsbanken Liv'!F100+'If Skadeforsikring NUF'!F100+KLP!F100+'KLP Skadeforsikring AS'!F100+'Landkreditt Forsikring'!F100+Insr!F100+'Nordea Liv '!F100+'Oslo Pensjonsforsikring'!F100+'Protector Forsikring'!F100+'SHB Liv'!F100+'Sparebank 1'!F100+'Storebrand Livsforsikring'!F100+'Telenor Forsikring'!F100+'Tryg Forsikring'!F100+'WaterCircles F'!F100+'Codan Forsikring'!F100+'Euro Accident'!F100+'Youplus Livsforsikring'!F100</f>
        <v>388899648.09296602</v>
      </c>
      <c r="F100" s="44">
        <f>'Fremtind Livsforsikring'!G100+'Danica Pensjonsforsikring'!G100+'DNB Livsforsikring'!G100+'Eika Forsikring AS'!G100+'Frende Livsforsikring'!G100+'Frende Skadeforsikring'!G100+'Gjensidige Forsikring'!G100+'Gjensidige Pensjon'!G100+'Handelsbanken Liv'!G100+'If Skadeforsikring NUF'!G100+KLP!G100+'KLP Skadeforsikring AS'!G100+'Landkreditt Forsikring'!G100+Insr!G100+'Nordea Liv '!G100+'Oslo Pensjonsforsikring'!G100+'Protector Forsikring'!G100+'SHB Liv'!G100+'Sparebank 1'!G100+'Storebrand Livsforsikring'!G100+'Telenor Forsikring'!G100+'Tryg Forsikring'!G100+'WaterCircles F'!G100+'Codan Forsikring'!G100+'Euro Accident'!G100+'Youplus Livsforsikring'!G100</f>
        <v>437272529.85361505</v>
      </c>
      <c r="G100" s="165">
        <f t="shared" si="24"/>
        <v>12.4</v>
      </c>
      <c r="H100" s="233">
        <f t="shared" si="32"/>
        <v>391955821.59667599</v>
      </c>
      <c r="I100" s="233">
        <f t="shared" si="33"/>
        <v>440432582.72273624</v>
      </c>
      <c r="J100" s="23">
        <f t="shared" si="27"/>
        <v>12.4</v>
      </c>
    </row>
    <row r="101" spans="1:16" ht="15.75" customHeight="1" x14ac:dyDescent="0.2">
      <c r="A101" s="289" t="s">
        <v>374</v>
      </c>
      <c r="B101" s="281"/>
      <c r="C101" s="281"/>
      <c r="D101" s="27"/>
      <c r="E101" s="281"/>
      <c r="F101" s="281"/>
      <c r="G101" s="170"/>
      <c r="H101" s="281"/>
      <c r="I101" s="281"/>
      <c r="J101" s="23"/>
    </row>
    <row r="102" spans="1:16" ht="15.75" customHeight="1" x14ac:dyDescent="0.2">
      <c r="A102" s="289" t="s">
        <v>12</v>
      </c>
      <c r="B102" s="281"/>
      <c r="C102" s="281"/>
      <c r="D102" s="27"/>
      <c r="E102" s="281"/>
      <c r="F102" s="281"/>
      <c r="G102" s="170"/>
      <c r="H102" s="281"/>
      <c r="I102" s="281"/>
      <c r="J102" s="23"/>
    </row>
    <row r="103" spans="1:16" ht="15.75" customHeight="1" x14ac:dyDescent="0.2">
      <c r="A103" s="289" t="s">
        <v>13</v>
      </c>
      <c r="B103" s="281"/>
      <c r="C103" s="281"/>
      <c r="D103" s="27"/>
      <c r="E103" s="281"/>
      <c r="F103" s="281"/>
      <c r="G103" s="170"/>
      <c r="H103" s="281"/>
      <c r="I103" s="281"/>
      <c r="J103" s="23"/>
    </row>
    <row r="104" spans="1:16" ht="15.75" customHeight="1" x14ac:dyDescent="0.2">
      <c r="A104" s="289" t="s">
        <v>375</v>
      </c>
      <c r="B104" s="281"/>
      <c r="C104" s="281"/>
      <c r="D104" s="27"/>
      <c r="E104" s="281"/>
      <c r="F104" s="281"/>
      <c r="G104" s="170"/>
      <c r="H104" s="281"/>
      <c r="I104" s="281"/>
      <c r="J104" s="23"/>
    </row>
    <row r="105" spans="1:16" ht="15.75" customHeight="1" x14ac:dyDescent="0.2">
      <c r="A105" s="289" t="s">
        <v>12</v>
      </c>
      <c r="B105" s="281"/>
      <c r="C105" s="281"/>
      <c r="D105" s="27"/>
      <c r="E105" s="281"/>
      <c r="F105" s="281"/>
      <c r="G105" s="170"/>
      <c r="H105" s="281"/>
      <c r="I105" s="281"/>
      <c r="J105" s="23"/>
    </row>
    <row r="106" spans="1:16" ht="15.75" customHeight="1" x14ac:dyDescent="0.2">
      <c r="A106" s="289" t="s">
        <v>13</v>
      </c>
      <c r="B106" s="281"/>
      <c r="C106" s="281"/>
      <c r="D106" s="27"/>
      <c r="E106" s="281"/>
      <c r="F106" s="281"/>
      <c r="G106" s="170"/>
      <c r="H106" s="281"/>
      <c r="I106" s="281"/>
      <c r="J106" s="23"/>
    </row>
    <row r="107" spans="1:16" ht="15.75" customHeight="1" x14ac:dyDescent="0.2">
      <c r="A107" s="21" t="s">
        <v>377</v>
      </c>
      <c r="B107" s="233">
        <f>'Fremtind Livsforsikring'!B107+'Danica Pensjonsforsikring'!B107+'DNB Livsforsikring'!B107+'Eika Forsikring AS'!B107+'Frende Livsforsikring'!B107+'Frende Skadeforsikring'!B107+'Gjensidige Forsikring'!B107+'Gjensidige Pensjon'!B107+'Handelsbanken Liv'!B107+'If Skadeforsikring NUF'!B107+KLP!B107+'KLP Skadeforsikring AS'!B107+'Landkreditt Forsikring'!B107+Insr!B107+'Nordea Liv '!B107+'Oslo Pensjonsforsikring'!B107+'Protector Forsikring'!B107+'SHB Liv'!B107+'Sparebank 1'!B107+'Storebrand Livsforsikring'!B107+'Telenor Forsikring'!B107+'Tryg Forsikring'!B107+'WaterCircles F'!B107+'Codan Forsikring'!B107+'Euro Accident'!B107+'Youplus Livsforsikring'!B107</f>
        <v>4446372.4879999999</v>
      </c>
      <c r="C107" s="233">
        <f>'Fremtind Livsforsikring'!C107+'Danica Pensjonsforsikring'!C107+'DNB Livsforsikring'!C107+'Eika Forsikring AS'!C107+'Frende Livsforsikring'!C107+'Frende Skadeforsikring'!C107+'Gjensidige Forsikring'!C107+'Gjensidige Pensjon'!C107+'Handelsbanken Liv'!C107+'If Skadeforsikring NUF'!C107+KLP!C107+'KLP Skadeforsikring AS'!C107+'Landkreditt Forsikring'!C107+Insr!C107+'Nordea Liv '!C107+'Oslo Pensjonsforsikring'!C107+'Protector Forsikring'!C107+'SHB Liv'!C107+'Sparebank 1'!C107+'Storebrand Livsforsikring'!C107+'Telenor Forsikring'!C107+'Tryg Forsikring'!C107+'WaterCircles F'!C107+'Codan Forsikring'!C107+'Euro Accident'!C107+'Youplus Livsforsikring'!C107</f>
        <v>4491586.2680000002</v>
      </c>
      <c r="D107" s="23">
        <f t="shared" si="23"/>
        <v>1</v>
      </c>
      <c r="E107" s="44">
        <f>'Fremtind Livsforsikring'!F107+'Danica Pensjonsforsikring'!F107+'DNB Livsforsikring'!F107+'Eika Forsikring AS'!F107+'Frende Livsforsikring'!F107+'Frende Skadeforsikring'!F107+'Gjensidige Forsikring'!F107+'Gjensidige Pensjon'!F107+'Handelsbanken Liv'!F107+'If Skadeforsikring NUF'!F107+KLP!F107+'KLP Skadeforsikring AS'!F107+'Landkreditt Forsikring'!F107+Insr!F107+'Nordea Liv '!F107+'Oslo Pensjonsforsikring'!F107+'Protector Forsikring'!F107+'SHB Liv'!F107+'Sparebank 1'!F107+'Storebrand Livsforsikring'!F107+'Telenor Forsikring'!F107+'Tryg Forsikring'!F107+'WaterCircles F'!F107+'Codan Forsikring'!F107+'Euro Accident'!F107+'Youplus Livsforsikring'!F107</f>
        <v>1078379.76914</v>
      </c>
      <c r="F107" s="44">
        <f>'Fremtind Livsforsikring'!G107+'Danica Pensjonsforsikring'!G107+'DNB Livsforsikring'!G107+'Eika Forsikring AS'!G107+'Frende Livsforsikring'!G107+'Frende Skadeforsikring'!G107+'Gjensidige Forsikring'!G107+'Gjensidige Pensjon'!G107+'Handelsbanken Liv'!G107+'If Skadeforsikring NUF'!G107+KLP!G107+'KLP Skadeforsikring AS'!G107+'Landkreditt Forsikring'!G107+Insr!G107+'Nordea Liv '!G107+'Oslo Pensjonsforsikring'!G107+'Protector Forsikring'!G107+'SHB Liv'!G107+'Sparebank 1'!G107+'Storebrand Livsforsikring'!G107+'Telenor Forsikring'!G107+'Tryg Forsikring'!G107+'WaterCircles F'!G107+'Codan Forsikring'!G107+'Euro Accident'!G107+'Youplus Livsforsikring'!G107</f>
        <v>873522.86731999996</v>
      </c>
      <c r="G107" s="165">
        <f t="shared" si="24"/>
        <v>-19</v>
      </c>
      <c r="H107" s="233">
        <f t="shared" si="32"/>
        <v>5524752.2571399994</v>
      </c>
      <c r="I107" s="233">
        <f t="shared" si="33"/>
        <v>5365109.1353200004</v>
      </c>
      <c r="J107" s="23">
        <f t="shared" si="27"/>
        <v>-2.9</v>
      </c>
    </row>
    <row r="108" spans="1:16" ht="15.75" customHeight="1" x14ac:dyDescent="0.2">
      <c r="A108" s="21" t="s">
        <v>378</v>
      </c>
      <c r="B108" s="233">
        <f>'Fremtind Livsforsikring'!B108+'Danica Pensjonsforsikring'!B108+'DNB Livsforsikring'!B108+'Eika Forsikring AS'!B108+'Frende Livsforsikring'!B108+'Frende Skadeforsikring'!B108+'Gjensidige Forsikring'!B108+'Gjensidige Pensjon'!B108+'Handelsbanken Liv'!B108+'If Skadeforsikring NUF'!B108+KLP!B108+'KLP Skadeforsikring AS'!B108+'Landkreditt Forsikring'!B108+Insr!B108+'Nordea Liv '!B108+'Oslo Pensjonsforsikring'!B108+'Protector Forsikring'!B108+'SHB Liv'!B108+'Sparebank 1'!B108+'Storebrand Livsforsikring'!B108+'Telenor Forsikring'!B108+'Tryg Forsikring'!B108+'WaterCircles F'!B108+'Codan Forsikring'!B108+'Euro Accident'!B108+'Youplus Livsforsikring'!B108</f>
        <v>330141406.02896249</v>
      </c>
      <c r="C108" s="233">
        <f>'Fremtind Livsforsikring'!C108+'Danica Pensjonsforsikring'!C108+'DNB Livsforsikring'!C108+'Eika Forsikring AS'!C108+'Frende Livsforsikring'!C108+'Frende Skadeforsikring'!C108+'Gjensidige Forsikring'!C108+'Gjensidige Pensjon'!C108+'Handelsbanken Liv'!C108+'If Skadeforsikring NUF'!C108+KLP!C108+'KLP Skadeforsikring AS'!C108+'Landkreditt Forsikring'!C108+Insr!C108+'Nordea Liv '!C108+'Oslo Pensjonsforsikring'!C108+'Protector Forsikring'!C108+'SHB Liv'!C108+'Sparebank 1'!C108+'Storebrand Livsforsikring'!C108+'Telenor Forsikring'!C108+'Tryg Forsikring'!C108+'WaterCircles F'!C108+'Codan Forsikring'!C108+'Euro Accident'!C108+'Youplus Livsforsikring'!C108</f>
        <v>335118221.72860622</v>
      </c>
      <c r="D108" s="23">
        <f t="shared" si="23"/>
        <v>1.5</v>
      </c>
      <c r="E108" s="44">
        <f>'Fremtind Livsforsikring'!F108+'Danica Pensjonsforsikring'!F108+'DNB Livsforsikring'!F108+'Eika Forsikring AS'!F108+'Frende Livsforsikring'!F108+'Frende Skadeforsikring'!F108+'Gjensidige Forsikring'!F108+'Gjensidige Pensjon'!F108+'Handelsbanken Liv'!F108+'If Skadeforsikring NUF'!F108+KLP!F108+'KLP Skadeforsikring AS'!F108+'Landkreditt Forsikring'!F108+Insr!F108+'Nordea Liv '!F108+'Oslo Pensjonsforsikring'!F108+'Protector Forsikring'!F108+'SHB Liv'!F108+'Sparebank 1'!F108+'Storebrand Livsforsikring'!F108+'Telenor Forsikring'!F108+'Tryg Forsikring'!F108+'WaterCircles F'!F108+'Codan Forsikring'!F108+'Euro Accident'!F108+'Youplus Livsforsikring'!F108</f>
        <v>19446330.715</v>
      </c>
      <c r="F108" s="44">
        <f>'Fremtind Livsforsikring'!G108+'Danica Pensjonsforsikring'!G108+'DNB Livsforsikring'!G108+'Eika Forsikring AS'!G108+'Frende Livsforsikring'!G108+'Frende Skadeforsikring'!G108+'Gjensidige Forsikring'!G108+'Gjensidige Pensjon'!G108+'Handelsbanken Liv'!G108+'If Skadeforsikring NUF'!G108+KLP!G108+'KLP Skadeforsikring AS'!G108+'Landkreditt Forsikring'!G108+Insr!G108+'Nordea Liv '!G108+'Oslo Pensjonsforsikring'!G108+'Protector Forsikring'!G108+'SHB Liv'!G108+'Sparebank 1'!G108+'Storebrand Livsforsikring'!G108+'Telenor Forsikring'!G108+'Tryg Forsikring'!G108+'WaterCircles F'!G108+'Codan Forsikring'!G108+'Euro Accident'!G108+'Youplus Livsforsikring'!G108</f>
        <v>20381643.911999997</v>
      </c>
      <c r="G108" s="165">
        <f t="shared" si="24"/>
        <v>4.8</v>
      </c>
      <c r="H108" s="233">
        <f t="shared" si="32"/>
        <v>349587736.74396247</v>
      </c>
      <c r="I108" s="233">
        <f t="shared" si="33"/>
        <v>355499865.64060622</v>
      </c>
      <c r="J108" s="23">
        <f t="shared" si="27"/>
        <v>1.7</v>
      </c>
    </row>
    <row r="109" spans="1:16" ht="16.149999999999999" customHeight="1" x14ac:dyDescent="0.2">
      <c r="A109" s="38" t="s">
        <v>430</v>
      </c>
      <c r="B109" s="233">
        <f>'Fremtind Livsforsikring'!B109+'Danica Pensjonsforsikring'!B109+'DNB Livsforsikring'!B109+'Eika Forsikring AS'!B109+'Frende Livsforsikring'!B109+'Frende Skadeforsikring'!B109+'Gjensidige Forsikring'!B109+'Gjensidige Pensjon'!B109+'Handelsbanken Liv'!B109+'If Skadeforsikring NUF'!B109+KLP!B109+'KLP Skadeforsikring AS'!B109+'Landkreditt Forsikring'!B109+Insr!B109+'Nordea Liv '!B109+'Oslo Pensjonsforsikring'!B109+'Protector Forsikring'!B109+'SHB Liv'!B109+'Sparebank 1'!B109+'Storebrand Livsforsikring'!B109+'Telenor Forsikring'!B109+'Tryg Forsikring'!B109+'WaterCircles F'!B109+'Codan Forsikring'!B109+'Euro Accident'!B109+'Youplus Livsforsikring'!B109</f>
        <v>1595179.70098</v>
      </c>
      <c r="C109" s="233">
        <f>'Fremtind Livsforsikring'!C109+'Danica Pensjonsforsikring'!C109+'DNB Livsforsikring'!C109+'Eika Forsikring AS'!C109+'Frende Livsforsikring'!C109+'Frende Skadeforsikring'!C109+'Gjensidige Forsikring'!C109+'Gjensidige Pensjon'!C109+'Handelsbanken Liv'!C109+'If Skadeforsikring NUF'!C109+KLP!C109+'KLP Skadeforsikring AS'!C109+'Landkreditt Forsikring'!C109+Insr!C109+'Nordea Liv '!C109+'Oslo Pensjonsforsikring'!C109+'Protector Forsikring'!C109+'SHB Liv'!C109+'Sparebank 1'!C109+'Storebrand Livsforsikring'!C109+'Telenor Forsikring'!C109+'Tryg Forsikring'!C109+'WaterCircles F'!C109+'Codan Forsikring'!C109+'Euro Accident'!C109+'Youplus Livsforsikring'!C109</f>
        <v>1840877.2667218479</v>
      </c>
      <c r="D109" s="165">
        <f t="shared" si="23"/>
        <v>15.4</v>
      </c>
      <c r="E109" s="44">
        <f>'Fremtind Livsforsikring'!F109+'Danica Pensjonsforsikring'!F109+'DNB Livsforsikring'!F109+'Eika Forsikring AS'!F109+'Frende Livsforsikring'!F109+'Frende Skadeforsikring'!F109+'Gjensidige Forsikring'!F109+'Gjensidige Pensjon'!F109+'Handelsbanken Liv'!F109+'If Skadeforsikring NUF'!F109+KLP!F109+'KLP Skadeforsikring AS'!F109+'Landkreditt Forsikring'!F109+Insr!F109+'Nordea Liv '!F109+'Oslo Pensjonsforsikring'!F109+'Protector Forsikring'!F109+'SHB Liv'!F109+'Sparebank 1'!F109+'Storebrand Livsforsikring'!F109+'Telenor Forsikring'!F109+'Tryg Forsikring'!F109+'WaterCircles F'!F109+'Codan Forsikring'!F109+'Euro Accident'!F109+'Youplus Livsforsikring'!F109</f>
        <v>135265531.36762601</v>
      </c>
      <c r="F109" s="44">
        <f>'Fremtind Livsforsikring'!G109+'Danica Pensjonsforsikring'!G109+'DNB Livsforsikring'!G109+'Eika Forsikring AS'!G109+'Frende Livsforsikring'!G109+'Frende Skadeforsikring'!G109+'Gjensidige Forsikring'!G109+'Gjensidige Pensjon'!G109+'Handelsbanken Liv'!G109+'If Skadeforsikring NUF'!G109+KLP!G109+'KLP Skadeforsikring AS'!G109+'Landkreditt Forsikring'!G109+Insr!G109+'Nordea Liv '!G109+'Oslo Pensjonsforsikring'!G109+'Protector Forsikring'!G109+'SHB Liv'!G109+'Sparebank 1'!G109+'Storebrand Livsforsikring'!G109+'Telenor Forsikring'!G109+'Tryg Forsikring'!G109+'WaterCircles F'!G109+'Codan Forsikring'!G109+'Euro Accident'!G109+'Youplus Livsforsikring'!G109</f>
        <v>154868642.0139572</v>
      </c>
      <c r="G109" s="165">
        <f t="shared" si="24"/>
        <v>14.5</v>
      </c>
      <c r="H109" s="233">
        <f t="shared" si="32"/>
        <v>136860711.06860602</v>
      </c>
      <c r="I109" s="233">
        <f t="shared" si="33"/>
        <v>156709519.28067905</v>
      </c>
      <c r="J109" s="23">
        <f t="shared" si="27"/>
        <v>14.5</v>
      </c>
      <c r="L109" s="3"/>
      <c r="N109" s="148"/>
      <c r="O109" s="148"/>
      <c r="P109" s="3"/>
    </row>
    <row r="110" spans="1:16" ht="15.75" customHeight="1" x14ac:dyDescent="0.2">
      <c r="A110" s="21" t="s">
        <v>379</v>
      </c>
      <c r="B110" s="233">
        <f>'Fremtind Livsforsikring'!B110+'Danica Pensjonsforsikring'!B110+'DNB Livsforsikring'!B110+'Eika Forsikring AS'!B110+'Frende Livsforsikring'!B110+'Frende Skadeforsikring'!B110+'Gjensidige Forsikring'!B110+'Gjensidige Pensjon'!B110+'Handelsbanken Liv'!B110+'If Skadeforsikring NUF'!B110+KLP!B110+'KLP Skadeforsikring AS'!B110+'Landkreditt Forsikring'!B110+Insr!B110+'Nordea Liv '!B110+'Oslo Pensjonsforsikring'!B110+'Protector Forsikring'!B110+'SHB Liv'!B110+'Sparebank 1'!B110+'Storebrand Livsforsikring'!B110+'Telenor Forsikring'!B110+'Tryg Forsikring'!B110+'WaterCircles F'!B110+'Codan Forsikring'!B110+'Euro Accident'!B110+'Youplus Livsforsikring'!B110</f>
        <v>542312.03818999999</v>
      </c>
      <c r="C110" s="233">
        <f>'Fremtind Livsforsikring'!C110+'Danica Pensjonsforsikring'!C110+'DNB Livsforsikring'!C110+'Eika Forsikring AS'!C110+'Frende Livsforsikring'!C110+'Frende Skadeforsikring'!C110+'Gjensidige Forsikring'!C110+'Gjensidige Pensjon'!C110+'Handelsbanken Liv'!C110+'If Skadeforsikring NUF'!C110+KLP!C110+'KLP Skadeforsikring AS'!C110+'Landkreditt Forsikring'!C110+Insr!C110+'Nordea Liv '!C110+'Oslo Pensjonsforsikring'!C110+'Protector Forsikring'!C110+'SHB Liv'!C110+'Sparebank 1'!C110+'Storebrand Livsforsikring'!C110+'Telenor Forsikring'!C110+'Tryg Forsikring'!C110+'WaterCircles F'!C110+'Codan Forsikring'!C110+'Euro Accident'!C110+'Youplus Livsforsikring'!C110</f>
        <v>1026815.8088799999</v>
      </c>
      <c r="D110" s="23">
        <f t="shared" si="23"/>
        <v>89.3</v>
      </c>
      <c r="E110" s="44">
        <f>'Fremtind Livsforsikring'!F110+'Danica Pensjonsforsikring'!F110+'DNB Livsforsikring'!F110+'Eika Forsikring AS'!F110+'Frende Livsforsikring'!F110+'Frende Skadeforsikring'!F110+'Gjensidige Forsikring'!F110+'Gjensidige Pensjon'!F110+'Handelsbanken Liv'!F110+'If Skadeforsikring NUF'!F110+KLP!F110+'KLP Skadeforsikring AS'!F110+'Landkreditt Forsikring'!F110+Insr!F110+'Nordea Liv '!F110+'Oslo Pensjonsforsikring'!F110+'Protector Forsikring'!F110+'SHB Liv'!F110+'Sparebank 1'!F110+'Storebrand Livsforsikring'!F110+'Telenor Forsikring'!F110+'Tryg Forsikring'!F110+'WaterCircles F'!F110+'Codan Forsikring'!F110+'Euro Accident'!F110+'Youplus Livsforsikring'!F110</f>
        <v>0</v>
      </c>
      <c r="F110" s="44">
        <f>'Fremtind Livsforsikring'!G110+'Danica Pensjonsforsikring'!G110+'DNB Livsforsikring'!G110+'Eika Forsikring AS'!G110+'Frende Livsforsikring'!G110+'Frende Skadeforsikring'!G110+'Gjensidige Forsikring'!G110+'Gjensidige Pensjon'!G110+'Handelsbanken Liv'!G110+'If Skadeforsikring NUF'!G110+KLP!G110+'KLP Skadeforsikring AS'!G110+'Landkreditt Forsikring'!G110+Insr!G110+'Nordea Liv '!G110+'Oslo Pensjonsforsikring'!G110+'Protector Forsikring'!G110+'SHB Liv'!G110+'Sparebank 1'!G110+'Storebrand Livsforsikring'!G110+'Telenor Forsikring'!G110+'Tryg Forsikring'!G110+'WaterCircles F'!G110+'Codan Forsikring'!G110+'Euro Accident'!G110+'Youplus Livsforsikring'!G110</f>
        <v>0</v>
      </c>
      <c r="G110" s="165"/>
      <c r="H110" s="233">
        <f t="shared" si="32"/>
        <v>542312.03818999999</v>
      </c>
      <c r="I110" s="233">
        <f t="shared" si="33"/>
        <v>1026815.8088799999</v>
      </c>
      <c r="J110" s="23">
        <f t="shared" si="27"/>
        <v>89.3</v>
      </c>
    </row>
    <row r="111" spans="1:16" s="43" customFormat="1" ht="15.75" customHeight="1" x14ac:dyDescent="0.2">
      <c r="A111" s="13" t="s">
        <v>360</v>
      </c>
      <c r="B111" s="319">
        <f>'Fremtind Livsforsikring'!B111+'Danica Pensjonsforsikring'!B111+'DNB Livsforsikring'!B111+'Eika Forsikring AS'!B111+'Frende Livsforsikring'!B111+'Frende Skadeforsikring'!B111+'Gjensidige Forsikring'!B111+'Gjensidige Pensjon'!B111+'Handelsbanken Liv'!B111+'If Skadeforsikring NUF'!B111+KLP!B111+'KLP Skadeforsikring AS'!B111+'Landkreditt Forsikring'!B111+Insr!B111+'Nordea Liv '!B111+'Oslo Pensjonsforsikring'!B111+'Protector Forsikring'!B111+'SHB Liv'!B111+'Sparebank 1'!B111+'Storebrand Livsforsikring'!B111+'Telenor Forsikring'!B111+'Tryg Forsikring'!B111+'WaterCircles F'!B111+'Codan Forsikring'!B111+'Euro Accident'!B111+'Youplus Livsforsikring'!B111</f>
        <v>668835.44837</v>
      </c>
      <c r="C111" s="319">
        <f>'Fremtind Livsforsikring'!C111+'Danica Pensjonsforsikring'!C111+'DNB Livsforsikring'!C111+'Eika Forsikring AS'!C111+'Frende Livsforsikring'!C111+'Frende Skadeforsikring'!C111+'Gjensidige Forsikring'!C111+'Gjensidige Pensjon'!C111+'Handelsbanken Liv'!C111+'If Skadeforsikring NUF'!C111+KLP!C111+'KLP Skadeforsikring AS'!C111+'Landkreditt Forsikring'!C111+Insr!C111+'Nordea Liv '!C111+'Oslo Pensjonsforsikring'!C111+'Protector Forsikring'!C111+'SHB Liv'!C111+'Sparebank 1'!C111+'Storebrand Livsforsikring'!C111+'Telenor Forsikring'!C111+'Tryg Forsikring'!C111+'WaterCircles F'!C111+'Codan Forsikring'!C111+'Euro Accident'!C111+'Youplus Livsforsikring'!C111</f>
        <v>344392.06988999998</v>
      </c>
      <c r="D111" s="24">
        <f t="shared" si="23"/>
        <v>-48.5</v>
      </c>
      <c r="E111" s="232">
        <f>'Fremtind Livsforsikring'!F111+'Danica Pensjonsforsikring'!F111+'DNB Livsforsikring'!F111+'Eika Forsikring AS'!F111+'Frende Livsforsikring'!F111+'Frende Skadeforsikring'!F111+'Gjensidige Forsikring'!F111+'Gjensidige Pensjon'!F111+'Handelsbanken Liv'!F111+'If Skadeforsikring NUF'!F111+KLP!F111+'KLP Skadeforsikring AS'!F111+'Landkreditt Forsikring'!F111+Insr!F111+'Nordea Liv '!F111+'Oslo Pensjonsforsikring'!F111+'Protector Forsikring'!F111+'SHB Liv'!F111+'Sparebank 1'!F111+'Storebrand Livsforsikring'!F111+'Telenor Forsikring'!F111+'Tryg Forsikring'!F111+'WaterCircles F'!F111+'Codan Forsikring'!F111+'Euro Accident'!F111+'Youplus Livsforsikring'!F111</f>
        <v>9636495.6418600008</v>
      </c>
      <c r="F111" s="232">
        <f>'Fremtind Livsforsikring'!G111+'Danica Pensjonsforsikring'!G111+'DNB Livsforsikring'!G111+'Eika Forsikring AS'!G111+'Frende Livsforsikring'!G111+'Frende Skadeforsikring'!G111+'Gjensidige Forsikring'!G111+'Gjensidige Pensjon'!G111+'Handelsbanken Liv'!G111+'If Skadeforsikring NUF'!G111+KLP!G111+'KLP Skadeforsikring AS'!G111+'Landkreditt Forsikring'!G111+Insr!G111+'Nordea Liv '!G111+'Oslo Pensjonsforsikring'!G111+'Protector Forsikring'!G111+'SHB Liv'!G111+'Sparebank 1'!G111+'Storebrand Livsforsikring'!G111+'Telenor Forsikring'!G111+'Tryg Forsikring'!G111+'WaterCircles F'!G111+'Codan Forsikring'!G111+'Euro Accident'!G111+'Youplus Livsforsikring'!G111</f>
        <v>11307961.27698</v>
      </c>
      <c r="G111" s="170">
        <f t="shared" si="24"/>
        <v>17.3</v>
      </c>
      <c r="H111" s="319">
        <f t="shared" si="32"/>
        <v>10305331.090230001</v>
      </c>
      <c r="I111" s="319">
        <f t="shared" si="33"/>
        <v>11652353.34687</v>
      </c>
      <c r="J111" s="24">
        <f t="shared" si="27"/>
        <v>13.1</v>
      </c>
    </row>
    <row r="112" spans="1:16" ht="15.75" customHeight="1" x14ac:dyDescent="0.2">
      <c r="A112" s="21" t="s">
        <v>9</v>
      </c>
      <c r="B112" s="233">
        <f>'Fremtind Livsforsikring'!B112+'Danica Pensjonsforsikring'!B112+'DNB Livsforsikring'!B112+'Eika Forsikring AS'!B112+'Frende Livsforsikring'!B112+'Frende Skadeforsikring'!B112+'Gjensidige Forsikring'!B112+'Gjensidige Pensjon'!B112+'Handelsbanken Liv'!B112+'If Skadeforsikring NUF'!B112+KLP!B112+'KLP Skadeforsikring AS'!B112+'Landkreditt Forsikring'!B112+Insr!B112+'Nordea Liv '!B112+'Oslo Pensjonsforsikring'!B112+'Protector Forsikring'!B112+'SHB Liv'!B112+'Sparebank 1'!B112+'Storebrand Livsforsikring'!B112+'Telenor Forsikring'!B112+'Tryg Forsikring'!B112+'WaterCircles F'!B112+'Codan Forsikring'!B112+'Euro Accident'!B112+'Youplus Livsforsikring'!B112</f>
        <v>607602.15289000003</v>
      </c>
      <c r="C112" s="233">
        <f>'Fremtind Livsforsikring'!C112+'Danica Pensjonsforsikring'!C112+'DNB Livsforsikring'!C112+'Eika Forsikring AS'!C112+'Frende Livsforsikring'!C112+'Frende Skadeforsikring'!C112+'Gjensidige Forsikring'!C112+'Gjensidige Pensjon'!C112+'Handelsbanken Liv'!C112+'If Skadeforsikring NUF'!C112+KLP!C112+'KLP Skadeforsikring AS'!C112+'Landkreditt Forsikring'!C112+Insr!C112+'Nordea Liv '!C112+'Oslo Pensjonsforsikring'!C112+'Protector Forsikring'!C112+'SHB Liv'!C112+'Sparebank 1'!C112+'Storebrand Livsforsikring'!C112+'Telenor Forsikring'!C112+'Tryg Forsikring'!C112+'WaterCircles F'!C112+'Codan Forsikring'!C112+'Euro Accident'!C112+'Youplus Livsforsikring'!C112</f>
        <v>149350.11761000002</v>
      </c>
      <c r="D112" s="23">
        <f t="shared" ref="D112:D125" si="38">IF(B112=0, "    ---- ", IF(ABS(ROUND(100/B112*C112-100,1))&lt;999,ROUND(100/B112*C112-100,1),IF(ROUND(100/B112*C112-100,1)&gt;999,999,-999)))</f>
        <v>-75.400000000000006</v>
      </c>
      <c r="E112" s="44">
        <f>'Fremtind Livsforsikring'!F112+'Danica Pensjonsforsikring'!F112+'DNB Livsforsikring'!F112+'Eika Forsikring AS'!F112+'Frende Livsforsikring'!F112+'Frende Skadeforsikring'!F112+'Gjensidige Forsikring'!F112+'Gjensidige Pensjon'!F112+'Handelsbanken Liv'!F112+'If Skadeforsikring NUF'!F112+KLP!F112+'KLP Skadeforsikring AS'!F112+'Landkreditt Forsikring'!F112+Insr!F112+'Nordea Liv '!F112+'Oslo Pensjonsforsikring'!F112+'Protector Forsikring'!F112+'SHB Liv'!F112+'Sparebank 1'!F112+'Storebrand Livsforsikring'!F112+'Telenor Forsikring'!F112+'Tryg Forsikring'!F112+'WaterCircles F'!F112+'Codan Forsikring'!F112+'Euro Accident'!F112+'Youplus Livsforsikring'!F112</f>
        <v>10108.107</v>
      </c>
      <c r="F112" s="44">
        <f>'Fremtind Livsforsikring'!G112+'Danica Pensjonsforsikring'!G112+'DNB Livsforsikring'!G112+'Eika Forsikring AS'!G112+'Frende Livsforsikring'!G112+'Frende Skadeforsikring'!G112+'Gjensidige Forsikring'!G112+'Gjensidige Pensjon'!G112+'Handelsbanken Liv'!G112+'If Skadeforsikring NUF'!G112+KLP!G112+'KLP Skadeforsikring AS'!G112+'Landkreditt Forsikring'!G112+Insr!G112+'Nordea Liv '!G112+'Oslo Pensjonsforsikring'!G112+'Protector Forsikring'!G112+'SHB Liv'!G112+'Sparebank 1'!G112+'Storebrand Livsforsikring'!G112+'Telenor Forsikring'!G112+'Tryg Forsikring'!G112+'WaterCircles F'!G112+'Codan Forsikring'!G112+'Euro Accident'!G112+'Youplus Livsforsikring'!G112</f>
        <v>178.94800000000001</v>
      </c>
      <c r="G112" s="165">
        <f t="shared" si="24"/>
        <v>-98.2</v>
      </c>
      <c r="H112" s="233">
        <f t="shared" ref="H112:H125" si="39">SUM(B112,E112)</f>
        <v>617710.25988999999</v>
      </c>
      <c r="I112" s="233">
        <f t="shared" ref="I112:I125" si="40">SUM(C112,F112)</f>
        <v>149529.06561000002</v>
      </c>
      <c r="J112" s="23">
        <f t="shared" ref="J112:J125" si="41">IF(H112=0, "    ---- ", IF(ABS(ROUND(100/H112*I112-100,1))&lt;999,ROUND(100/H112*I112-100,1),IF(ROUND(100/H112*I112-100,1)&gt;999,999,-999)))</f>
        <v>-75.8</v>
      </c>
    </row>
    <row r="113" spans="1:10" ht="15.75" customHeight="1" x14ac:dyDescent="0.2">
      <c r="A113" s="21" t="s">
        <v>10</v>
      </c>
      <c r="B113" s="233">
        <f>'Fremtind Livsforsikring'!B113+'Danica Pensjonsforsikring'!B113+'DNB Livsforsikring'!B113+'Eika Forsikring AS'!B113+'Frende Livsforsikring'!B113+'Frende Skadeforsikring'!B113+'Gjensidige Forsikring'!B113+'Gjensidige Pensjon'!B113+'Handelsbanken Liv'!B113+'If Skadeforsikring NUF'!B113+KLP!B113+'KLP Skadeforsikring AS'!B113+'Landkreditt Forsikring'!B113+Insr!B113+'Nordea Liv '!B113+'Oslo Pensjonsforsikring'!B113+'Protector Forsikring'!B113+'SHB Liv'!B113+'Sparebank 1'!B113+'Storebrand Livsforsikring'!B113+'Telenor Forsikring'!B113+'Tryg Forsikring'!B113+'WaterCircles F'!B113+'Codan Forsikring'!B113+'Euro Accident'!B113+'Youplus Livsforsikring'!B113</f>
        <v>202.16847000000001</v>
      </c>
      <c r="C113" s="233">
        <f>'Fremtind Livsforsikring'!C113+'Danica Pensjonsforsikring'!C113+'DNB Livsforsikring'!C113+'Eika Forsikring AS'!C113+'Frende Livsforsikring'!C113+'Frende Skadeforsikring'!C113+'Gjensidige Forsikring'!C113+'Gjensidige Pensjon'!C113+'Handelsbanken Liv'!C113+'If Skadeforsikring NUF'!C113+KLP!C113+'KLP Skadeforsikring AS'!C113+'Landkreditt Forsikring'!C113+Insr!C113+'Nordea Liv '!C113+'Oslo Pensjonsforsikring'!C113+'Protector Forsikring'!C113+'SHB Liv'!C113+'Sparebank 1'!C113+'Storebrand Livsforsikring'!C113+'Telenor Forsikring'!C113+'Tryg Forsikring'!C113+'WaterCircles F'!C113+'Codan Forsikring'!C113+'Euro Accident'!C113+'Youplus Livsforsikring'!C113</f>
        <v>0</v>
      </c>
      <c r="D113" s="23">
        <f t="shared" si="38"/>
        <v>-100</v>
      </c>
      <c r="E113" s="44">
        <f>'Fremtind Livsforsikring'!F113+'Danica Pensjonsforsikring'!F113+'DNB Livsforsikring'!F113+'Eika Forsikring AS'!F113+'Frende Livsforsikring'!F113+'Frende Skadeforsikring'!F113+'Gjensidige Forsikring'!F113+'Gjensidige Pensjon'!F113+'Handelsbanken Liv'!F113+'If Skadeforsikring NUF'!F113+KLP!F113+'KLP Skadeforsikring AS'!F113+'Landkreditt Forsikring'!F113+Insr!F113+'Nordea Liv '!F113+'Oslo Pensjonsforsikring'!F113+'Protector Forsikring'!F113+'SHB Liv'!F113+'Sparebank 1'!F113+'Storebrand Livsforsikring'!F113+'Telenor Forsikring'!F113+'Tryg Forsikring'!F113+'WaterCircles F'!F113+'Codan Forsikring'!F113+'Euro Accident'!F113+'Youplus Livsforsikring'!F113</f>
        <v>9626387.53486</v>
      </c>
      <c r="F113" s="44">
        <f>'Fremtind Livsforsikring'!G113+'Danica Pensjonsforsikring'!G113+'DNB Livsforsikring'!G113+'Eika Forsikring AS'!G113+'Frende Livsforsikring'!G113+'Frende Skadeforsikring'!G113+'Gjensidige Forsikring'!G113+'Gjensidige Pensjon'!G113+'Handelsbanken Liv'!G113+'If Skadeforsikring NUF'!G113+KLP!G113+'KLP Skadeforsikring AS'!G113+'Landkreditt Forsikring'!G113+Insr!G113+'Nordea Liv '!G113+'Oslo Pensjonsforsikring'!G113+'Protector Forsikring'!G113+'SHB Liv'!G113+'Sparebank 1'!G113+'Storebrand Livsforsikring'!G113+'Telenor Forsikring'!G113+'Tryg Forsikring'!G113+'WaterCircles F'!G113+'Codan Forsikring'!G113+'Euro Accident'!G113+'Youplus Livsforsikring'!G113</f>
        <v>11307782.328980001</v>
      </c>
      <c r="G113" s="165">
        <f t="shared" si="24"/>
        <v>17.5</v>
      </c>
      <c r="H113" s="233">
        <f t="shared" si="39"/>
        <v>9626589.7033300009</v>
      </c>
      <c r="I113" s="233">
        <f t="shared" si="40"/>
        <v>11307782.328980001</v>
      </c>
      <c r="J113" s="23">
        <f t="shared" si="41"/>
        <v>17.5</v>
      </c>
    </row>
    <row r="114" spans="1:10" ht="15.75" customHeight="1" x14ac:dyDescent="0.2">
      <c r="A114" s="21" t="s">
        <v>26</v>
      </c>
      <c r="B114" s="233">
        <f>'Fremtind Livsforsikring'!B114+'Danica Pensjonsforsikring'!B114+'DNB Livsforsikring'!B114+'Eika Forsikring AS'!B114+'Frende Livsforsikring'!B114+'Frende Skadeforsikring'!B114+'Gjensidige Forsikring'!B114+'Gjensidige Pensjon'!B114+'Handelsbanken Liv'!B114+'If Skadeforsikring NUF'!B114+KLP!B114+'KLP Skadeforsikring AS'!B114+'Landkreditt Forsikring'!B114+Insr!B114+'Nordea Liv '!B114+'Oslo Pensjonsforsikring'!B114+'Protector Forsikring'!B114+'SHB Liv'!B114+'Sparebank 1'!B114+'Storebrand Livsforsikring'!B114+'Telenor Forsikring'!B114+'Tryg Forsikring'!B114+'WaterCircles F'!B114+'Codan Forsikring'!B114+'Euro Accident'!B114+'Youplus Livsforsikring'!B114</f>
        <v>61031.127009999997</v>
      </c>
      <c r="C114" s="233">
        <f>'Fremtind Livsforsikring'!C114+'Danica Pensjonsforsikring'!C114+'DNB Livsforsikring'!C114+'Eika Forsikring AS'!C114+'Frende Livsforsikring'!C114+'Frende Skadeforsikring'!C114+'Gjensidige Forsikring'!C114+'Gjensidige Pensjon'!C114+'Handelsbanken Liv'!C114+'If Skadeforsikring NUF'!C114+KLP!C114+'KLP Skadeforsikring AS'!C114+'Landkreditt Forsikring'!C114+Insr!C114+'Nordea Liv '!C114+'Oslo Pensjonsforsikring'!C114+'Protector Forsikring'!C114+'SHB Liv'!C114+'Sparebank 1'!C114+'Storebrand Livsforsikring'!C114+'Telenor Forsikring'!C114+'Tryg Forsikring'!C114+'WaterCircles F'!C114+'Codan Forsikring'!C114+'Euro Accident'!C114+'Youplus Livsforsikring'!C114</f>
        <v>195041.95228</v>
      </c>
      <c r="D114" s="23">
        <f t="shared" si="38"/>
        <v>219.6</v>
      </c>
      <c r="E114" s="44">
        <f>'Fremtind Livsforsikring'!F114+'Danica Pensjonsforsikring'!F114+'DNB Livsforsikring'!F114+'Eika Forsikring AS'!F114+'Frende Livsforsikring'!F114+'Frende Skadeforsikring'!F114+'Gjensidige Forsikring'!F114+'Gjensidige Pensjon'!F114+'Handelsbanken Liv'!F114+'If Skadeforsikring NUF'!F114+KLP!F114+'KLP Skadeforsikring AS'!F114+'Landkreditt Forsikring'!F114+Insr!F114+'Nordea Liv '!F114+'Oslo Pensjonsforsikring'!F114+'Protector Forsikring'!F114+'SHB Liv'!F114+'Sparebank 1'!F114+'Storebrand Livsforsikring'!F114+'Telenor Forsikring'!F114+'Tryg Forsikring'!F114+'WaterCircles F'!F114+'Codan Forsikring'!F114+'Euro Accident'!F114+'Youplus Livsforsikring'!F114</f>
        <v>0</v>
      </c>
      <c r="F114" s="44">
        <f>'Fremtind Livsforsikring'!G114+'Danica Pensjonsforsikring'!G114+'DNB Livsforsikring'!G114+'Eika Forsikring AS'!G114+'Frende Livsforsikring'!G114+'Frende Skadeforsikring'!G114+'Gjensidige Forsikring'!G114+'Gjensidige Pensjon'!G114+'Handelsbanken Liv'!G114+'If Skadeforsikring NUF'!G114+KLP!G114+'KLP Skadeforsikring AS'!G114+'Landkreditt Forsikring'!G114+Insr!G114+'Nordea Liv '!G114+'Oslo Pensjonsforsikring'!G114+'Protector Forsikring'!G114+'SHB Liv'!G114+'Sparebank 1'!G114+'Storebrand Livsforsikring'!G114+'Telenor Forsikring'!G114+'Tryg Forsikring'!G114+'WaterCircles F'!G114+'Codan Forsikring'!G114+'Euro Accident'!G114+'Youplus Livsforsikring'!G114</f>
        <v>0</v>
      </c>
      <c r="G114" s="165"/>
      <c r="H114" s="233">
        <f t="shared" si="39"/>
        <v>61031.127009999997</v>
      </c>
      <c r="I114" s="233">
        <f t="shared" si="40"/>
        <v>195041.95228</v>
      </c>
      <c r="J114" s="23">
        <f t="shared" si="41"/>
        <v>219.6</v>
      </c>
    </row>
    <row r="115" spans="1:10" ht="15.75" customHeight="1" x14ac:dyDescent="0.2">
      <c r="A115" s="289" t="s">
        <v>15</v>
      </c>
      <c r="B115" s="281"/>
      <c r="C115" s="281"/>
      <c r="D115" s="27"/>
      <c r="E115" s="281"/>
      <c r="F115" s="281"/>
      <c r="G115" s="165"/>
      <c r="H115" s="281"/>
      <c r="I115" s="281"/>
      <c r="J115" s="23"/>
    </row>
    <row r="116" spans="1:10" ht="15.75" customHeight="1" x14ac:dyDescent="0.2">
      <c r="A116" s="21" t="s">
        <v>380</v>
      </c>
      <c r="B116" s="233">
        <f>'Fremtind Livsforsikring'!B116+'Danica Pensjonsforsikring'!B116+'DNB Livsforsikring'!B116+'Eika Forsikring AS'!B116+'Frende Livsforsikring'!B116+'Frende Skadeforsikring'!B116+'Gjensidige Forsikring'!B116+'Gjensidige Pensjon'!B116+'Handelsbanken Liv'!B116+'If Skadeforsikring NUF'!B116+KLP!B116+'KLP Skadeforsikring AS'!B116+'Landkreditt Forsikring'!B116+Insr!B116+'Nordea Liv '!B116+'Oslo Pensjonsforsikring'!B116+'Protector Forsikring'!B116+'SHB Liv'!B116+'Sparebank 1'!B116+'Storebrand Livsforsikring'!B116+'Telenor Forsikring'!B116+'Tryg Forsikring'!B116+'WaterCircles F'!B116+'Codan Forsikring'!B116+'Euro Accident'!B116+'Youplus Livsforsikring'!B116</f>
        <v>43138.426520000001</v>
      </c>
      <c r="C116" s="233">
        <f>'Fremtind Livsforsikring'!C116+'Danica Pensjonsforsikring'!C116+'DNB Livsforsikring'!C116+'Eika Forsikring AS'!C116+'Frende Livsforsikring'!C116+'Frende Skadeforsikring'!C116+'Gjensidige Forsikring'!C116+'Gjensidige Pensjon'!C116+'Handelsbanken Liv'!C116+'If Skadeforsikring NUF'!C116+KLP!C116+'KLP Skadeforsikring AS'!C116+'Landkreditt Forsikring'!C116+Insr!C116+'Nordea Liv '!C116+'Oslo Pensjonsforsikring'!C116+'Protector Forsikring'!C116+'SHB Liv'!C116+'Sparebank 1'!C116+'Storebrand Livsforsikring'!C116+'Telenor Forsikring'!C116+'Tryg Forsikring'!C116+'WaterCircles F'!C116+'Codan Forsikring'!C116+'Euro Accident'!C116+'Youplus Livsforsikring'!C116</f>
        <v>43350.310839999998</v>
      </c>
      <c r="D116" s="23">
        <f t="shared" si="38"/>
        <v>0.5</v>
      </c>
      <c r="E116" s="44">
        <f>'Fremtind Livsforsikring'!F116+'Danica Pensjonsforsikring'!F116+'DNB Livsforsikring'!F116+'Eika Forsikring AS'!F116+'Frende Livsforsikring'!F116+'Frende Skadeforsikring'!F116+'Gjensidige Forsikring'!F116+'Gjensidige Pensjon'!F116+'Handelsbanken Liv'!F116+'If Skadeforsikring NUF'!F116+KLP!F116+'KLP Skadeforsikring AS'!F116+'Landkreditt Forsikring'!F116+Insr!F116+'Nordea Liv '!F116+'Oslo Pensjonsforsikring'!F116+'Protector Forsikring'!F116+'SHB Liv'!F116+'Sparebank 1'!F116+'Storebrand Livsforsikring'!F116+'Telenor Forsikring'!F116+'Tryg Forsikring'!F116+'WaterCircles F'!F116+'Codan Forsikring'!F116+'Euro Accident'!F116+'Youplus Livsforsikring'!F116</f>
        <v>10108.107</v>
      </c>
      <c r="F116" s="44">
        <f>'Fremtind Livsforsikring'!G116+'Danica Pensjonsforsikring'!G116+'DNB Livsforsikring'!G116+'Eika Forsikring AS'!G116+'Frende Livsforsikring'!G116+'Frende Skadeforsikring'!G116+'Gjensidige Forsikring'!G116+'Gjensidige Pensjon'!G116+'Handelsbanken Liv'!G116+'If Skadeforsikring NUF'!G116+KLP!G116+'KLP Skadeforsikring AS'!G116+'Landkreditt Forsikring'!G116+Insr!G116+'Nordea Liv '!G116+'Oslo Pensjonsforsikring'!G116+'Protector Forsikring'!G116+'SHB Liv'!G116+'Sparebank 1'!G116+'Storebrand Livsforsikring'!G116+'Telenor Forsikring'!G116+'Tryg Forsikring'!G116+'WaterCircles F'!G116+'Codan Forsikring'!G116+'Euro Accident'!G116+'Youplus Livsforsikring'!G116</f>
        <v>178.94800000000001</v>
      </c>
      <c r="G116" s="165">
        <f t="shared" si="24"/>
        <v>-98.2</v>
      </c>
      <c r="H116" s="233">
        <f t="shared" si="39"/>
        <v>53246.533519999997</v>
      </c>
      <c r="I116" s="233">
        <f t="shared" si="40"/>
        <v>43529.258839999995</v>
      </c>
      <c r="J116" s="23">
        <f t="shared" si="41"/>
        <v>-18.2</v>
      </c>
    </row>
    <row r="117" spans="1:10" ht="15.75" customHeight="1" x14ac:dyDescent="0.2">
      <c r="A117" s="21" t="s">
        <v>430</v>
      </c>
      <c r="B117" s="233">
        <f>'Fremtind Livsforsikring'!B117+'Danica Pensjonsforsikring'!B117+'DNB Livsforsikring'!B117+'Eika Forsikring AS'!B117+'Frende Livsforsikring'!B117+'Frende Skadeforsikring'!B117+'Gjensidige Forsikring'!B117+'Gjensidige Pensjon'!B117+'Handelsbanken Liv'!B117+'If Skadeforsikring NUF'!B117+KLP!B117+'KLP Skadeforsikring AS'!B117+'Landkreditt Forsikring'!B117+Insr!B117+'Nordea Liv '!B117+'Oslo Pensjonsforsikring'!B117+'Protector Forsikring'!B117+'SHB Liv'!B117+'Sparebank 1'!B117+'Storebrand Livsforsikring'!B117+'Telenor Forsikring'!B117+'Tryg Forsikring'!B117+'WaterCircles F'!B117+'Codan Forsikring'!B117+'Euro Accident'!B117+'Youplus Livsforsikring'!B117</f>
        <v>0</v>
      </c>
      <c r="C117" s="233">
        <f>'Fremtind Livsforsikring'!C117+'Danica Pensjonsforsikring'!C117+'DNB Livsforsikring'!C117+'Eika Forsikring AS'!C117+'Frende Livsforsikring'!C117+'Frende Skadeforsikring'!C117+'Gjensidige Forsikring'!C117+'Gjensidige Pensjon'!C117+'Handelsbanken Liv'!C117+'If Skadeforsikring NUF'!C117+KLP!C117+'KLP Skadeforsikring AS'!C117+'Landkreditt Forsikring'!C117+Insr!C117+'Nordea Liv '!C117+'Oslo Pensjonsforsikring'!C117+'Protector Forsikring'!C117+'SHB Liv'!C117+'Sparebank 1'!C117+'Storebrand Livsforsikring'!C117+'Telenor Forsikring'!C117+'Tryg Forsikring'!C117+'WaterCircles F'!C117+'Codan Forsikring'!C117+'Euro Accident'!C117+'Youplus Livsforsikring'!C117</f>
        <v>0</v>
      </c>
      <c r="D117" s="23"/>
      <c r="E117" s="44">
        <f>'Fremtind Livsforsikring'!F117+'Danica Pensjonsforsikring'!F117+'DNB Livsforsikring'!F117+'Eika Forsikring AS'!F117+'Frende Livsforsikring'!F117+'Frende Skadeforsikring'!F117+'Gjensidige Forsikring'!F117+'Gjensidige Pensjon'!F117+'Handelsbanken Liv'!F117+'If Skadeforsikring NUF'!F117+KLP!F117+'KLP Skadeforsikring AS'!F117+'Landkreditt Forsikring'!F117+Insr!F117+'Nordea Liv '!F117+'Oslo Pensjonsforsikring'!F117+'Protector Forsikring'!F117+'SHB Liv'!F117+'Sparebank 1'!F117+'Storebrand Livsforsikring'!F117+'Telenor Forsikring'!F117+'Tryg Forsikring'!F117+'WaterCircles F'!F117+'Codan Forsikring'!F117+'Euro Accident'!F117+'Youplus Livsforsikring'!F117</f>
        <v>932744.38943999994</v>
      </c>
      <c r="F117" s="44">
        <f>'Fremtind Livsforsikring'!G117+'Danica Pensjonsforsikring'!G117+'DNB Livsforsikring'!G117+'Eika Forsikring AS'!G117+'Frende Livsforsikring'!G117+'Frende Skadeforsikring'!G117+'Gjensidige Forsikring'!G117+'Gjensidige Pensjon'!G117+'Handelsbanken Liv'!G117+'If Skadeforsikring NUF'!G117+KLP!G117+'KLP Skadeforsikring AS'!G117+'Landkreditt Forsikring'!G117+Insr!G117+'Nordea Liv '!G117+'Oslo Pensjonsforsikring'!G117+'Protector Forsikring'!G117+'SHB Liv'!G117+'Sparebank 1'!G117+'Storebrand Livsforsikring'!G117+'Telenor Forsikring'!G117+'Tryg Forsikring'!G117+'WaterCircles F'!G117+'Codan Forsikring'!G117+'Euro Accident'!G117+'Youplus Livsforsikring'!G117</f>
        <v>5754575.4539799979</v>
      </c>
      <c r="G117" s="165">
        <f t="shared" si="24"/>
        <v>517</v>
      </c>
      <c r="H117" s="233">
        <f t="shared" si="39"/>
        <v>932744.38943999994</v>
      </c>
      <c r="I117" s="233">
        <f t="shared" si="40"/>
        <v>5754575.4539799979</v>
      </c>
      <c r="J117" s="23">
        <f t="shared" si="41"/>
        <v>517</v>
      </c>
    </row>
    <row r="118" spans="1:10" ht="15.75" customHeight="1" x14ac:dyDescent="0.2">
      <c r="A118" s="21" t="s">
        <v>379</v>
      </c>
      <c r="B118" s="233">
        <f>'Fremtind Livsforsikring'!B118+'Danica Pensjonsforsikring'!B118+'DNB Livsforsikring'!B118+'Eika Forsikring AS'!B118+'Frende Livsforsikring'!B118+'Frende Skadeforsikring'!B118+'Gjensidige Forsikring'!B118+'Gjensidige Pensjon'!B118+'Handelsbanken Liv'!B118+'If Skadeforsikring NUF'!B118+KLP!B118+'KLP Skadeforsikring AS'!B118+'Landkreditt Forsikring'!B118+Insr!B118+'Nordea Liv '!B118+'Oslo Pensjonsforsikring'!B118+'Protector Forsikring'!B118+'SHB Liv'!B118+'Sparebank 1'!B118+'Storebrand Livsforsikring'!B118+'Telenor Forsikring'!B118+'Tryg Forsikring'!B118+'WaterCircles F'!B118+'Codan Forsikring'!B118+'Euro Accident'!B118+'Youplus Livsforsikring'!B118</f>
        <v>0</v>
      </c>
      <c r="C118" s="233">
        <f>'Fremtind Livsforsikring'!C118+'Danica Pensjonsforsikring'!C118+'DNB Livsforsikring'!C118+'Eika Forsikring AS'!C118+'Frende Livsforsikring'!C118+'Frende Skadeforsikring'!C118+'Gjensidige Forsikring'!C118+'Gjensidige Pensjon'!C118+'Handelsbanken Liv'!C118+'If Skadeforsikring NUF'!C118+KLP!C118+'KLP Skadeforsikring AS'!C118+'Landkreditt Forsikring'!C118+Insr!C118+'Nordea Liv '!C118+'Oslo Pensjonsforsikring'!C118+'Protector Forsikring'!C118+'SHB Liv'!C118+'Sparebank 1'!C118+'Storebrand Livsforsikring'!C118+'Telenor Forsikring'!C118+'Tryg Forsikring'!C118+'WaterCircles F'!C118+'Codan Forsikring'!C118+'Euro Accident'!C118+'Youplus Livsforsikring'!C118</f>
        <v>0</v>
      </c>
      <c r="D118" s="23"/>
      <c r="E118" s="44">
        <f>'Fremtind Livsforsikring'!F118+'Danica Pensjonsforsikring'!F118+'DNB Livsforsikring'!F118+'Eika Forsikring AS'!F118+'Frende Livsforsikring'!F118+'Frende Skadeforsikring'!F118+'Gjensidige Forsikring'!F118+'Gjensidige Pensjon'!F118+'Handelsbanken Liv'!F118+'If Skadeforsikring NUF'!F118+KLP!F118+'KLP Skadeforsikring AS'!F118+'Landkreditt Forsikring'!F118+Insr!F118+'Nordea Liv '!F118+'Oslo Pensjonsforsikring'!F118+'Protector Forsikring'!F118+'SHB Liv'!F118+'Sparebank 1'!F118+'Storebrand Livsforsikring'!F118+'Telenor Forsikring'!F118+'Tryg Forsikring'!F118+'WaterCircles F'!F118+'Codan Forsikring'!F118+'Euro Accident'!F118+'Youplus Livsforsikring'!F118</f>
        <v>0</v>
      </c>
      <c r="F118" s="44">
        <f>'Fremtind Livsforsikring'!G118+'Danica Pensjonsforsikring'!G118+'DNB Livsforsikring'!G118+'Eika Forsikring AS'!G118+'Frende Livsforsikring'!G118+'Frende Skadeforsikring'!G118+'Gjensidige Forsikring'!G118+'Gjensidige Pensjon'!G118+'Handelsbanken Liv'!G118+'If Skadeforsikring NUF'!G118+KLP!G118+'KLP Skadeforsikring AS'!G118+'Landkreditt Forsikring'!G118+Insr!G118+'Nordea Liv '!G118+'Oslo Pensjonsforsikring'!G118+'Protector Forsikring'!G118+'SHB Liv'!G118+'Sparebank 1'!G118+'Storebrand Livsforsikring'!G118+'Telenor Forsikring'!G118+'Tryg Forsikring'!G118+'WaterCircles F'!G118+'Codan Forsikring'!G118+'Euro Accident'!G118+'Youplus Livsforsikring'!G118</f>
        <v>0</v>
      </c>
      <c r="G118" s="165"/>
      <c r="H118" s="233">
        <f t="shared" si="39"/>
        <v>0</v>
      </c>
      <c r="I118" s="233">
        <f t="shared" si="40"/>
        <v>0</v>
      </c>
      <c r="J118" s="23"/>
    </row>
    <row r="119" spans="1:10" s="43" customFormat="1" ht="15.75" customHeight="1" x14ac:dyDescent="0.2">
      <c r="A119" s="13" t="s">
        <v>361</v>
      </c>
      <c r="B119" s="319">
        <f>'Fremtind Livsforsikring'!B119+'Danica Pensjonsforsikring'!B119+'DNB Livsforsikring'!B119+'Eika Forsikring AS'!B119+'Frende Livsforsikring'!B119+'Frende Skadeforsikring'!B119+'Gjensidige Forsikring'!B119+'Gjensidige Pensjon'!B119+'Handelsbanken Liv'!B119+'If Skadeforsikring NUF'!B119+KLP!B119+'KLP Skadeforsikring AS'!B119+'Landkreditt Forsikring'!B119+Insr!B119+'Nordea Liv '!B119+'Oslo Pensjonsforsikring'!B119+'Protector Forsikring'!B119+'SHB Liv'!B119+'Sparebank 1'!B119+'Storebrand Livsforsikring'!B119+'Telenor Forsikring'!B119+'Tryg Forsikring'!B119+'WaterCircles F'!B119+'Codan Forsikring'!B119+'Euro Accident'!B119+'Youplus Livsforsikring'!B119</f>
        <v>130891.23568</v>
      </c>
      <c r="C119" s="319">
        <f>'Fremtind Livsforsikring'!C119+'Danica Pensjonsforsikring'!C119+'DNB Livsforsikring'!C119+'Eika Forsikring AS'!C119+'Frende Livsforsikring'!C119+'Frende Skadeforsikring'!C119+'Gjensidige Forsikring'!C119+'Gjensidige Pensjon'!C119+'Handelsbanken Liv'!C119+'If Skadeforsikring NUF'!C119+KLP!C119+'KLP Skadeforsikring AS'!C119+'Landkreditt Forsikring'!C119+Insr!C119+'Nordea Liv '!C119+'Oslo Pensjonsforsikring'!C119+'Protector Forsikring'!C119+'SHB Liv'!C119+'Sparebank 1'!C119+'Storebrand Livsforsikring'!C119+'Telenor Forsikring'!C119+'Tryg Forsikring'!C119+'WaterCircles F'!C119+'Codan Forsikring'!C119+'Euro Accident'!C119+'Youplus Livsforsikring'!C119</f>
        <v>355518.63146000012</v>
      </c>
      <c r="D119" s="24">
        <f t="shared" si="38"/>
        <v>171.6</v>
      </c>
      <c r="E119" s="232">
        <f>'Fremtind Livsforsikring'!F119+'Danica Pensjonsforsikring'!F119+'DNB Livsforsikring'!F119+'Eika Forsikring AS'!F119+'Frende Livsforsikring'!F119+'Frende Skadeforsikring'!F119+'Gjensidige Forsikring'!F119+'Gjensidige Pensjon'!F119+'Handelsbanken Liv'!F119+'If Skadeforsikring NUF'!F119+KLP!F119+'KLP Skadeforsikring AS'!F119+'Landkreditt Forsikring'!F119+Insr!F119+'Nordea Liv '!F119+'Oslo Pensjonsforsikring'!F119+'Protector Forsikring'!F119+'SHB Liv'!F119+'Sparebank 1'!F119+'Storebrand Livsforsikring'!F119+'Telenor Forsikring'!F119+'Tryg Forsikring'!F119+'WaterCircles F'!F119+'Codan Forsikring'!F119+'Euro Accident'!F119+'Youplus Livsforsikring'!F119</f>
        <v>12094950.20933</v>
      </c>
      <c r="F119" s="232">
        <f>'Fremtind Livsforsikring'!G119+'Danica Pensjonsforsikring'!G119+'DNB Livsforsikring'!G119+'Eika Forsikring AS'!G119+'Frende Livsforsikring'!G119+'Frende Skadeforsikring'!G119+'Gjensidige Forsikring'!G119+'Gjensidige Pensjon'!G119+'Handelsbanken Liv'!G119+'If Skadeforsikring NUF'!G119+KLP!G119+'KLP Skadeforsikring AS'!G119+'Landkreditt Forsikring'!G119+Insr!G119+'Nordea Liv '!G119+'Oslo Pensjonsforsikring'!G119+'Protector Forsikring'!G119+'SHB Liv'!G119+'Sparebank 1'!G119+'Storebrand Livsforsikring'!G119+'Telenor Forsikring'!G119+'Tryg Forsikring'!G119+'WaterCircles F'!G119+'Codan Forsikring'!G119+'Euro Accident'!G119+'Youplus Livsforsikring'!G119</f>
        <v>12122042.954369999</v>
      </c>
      <c r="G119" s="170">
        <f t="shared" si="24"/>
        <v>0.2</v>
      </c>
      <c r="H119" s="319">
        <f t="shared" si="39"/>
        <v>12225841.445010001</v>
      </c>
      <c r="I119" s="319">
        <f t="shared" si="40"/>
        <v>12477561.585829999</v>
      </c>
      <c r="J119" s="24">
        <f t="shared" si="41"/>
        <v>2.1</v>
      </c>
    </row>
    <row r="120" spans="1:10" ht="15.75" customHeight="1" x14ac:dyDescent="0.2">
      <c r="A120" s="21" t="s">
        <v>9</v>
      </c>
      <c r="B120" s="233">
        <f>'Fremtind Livsforsikring'!B120+'Danica Pensjonsforsikring'!B120+'DNB Livsforsikring'!B120+'Eika Forsikring AS'!B120+'Frende Livsforsikring'!B120+'Frende Skadeforsikring'!B120+'Gjensidige Forsikring'!B120+'Gjensidige Pensjon'!B120+'Handelsbanken Liv'!B120+'If Skadeforsikring NUF'!B120+KLP!B120+'KLP Skadeforsikring AS'!B120+'Landkreditt Forsikring'!B120+Insr!B120+'Nordea Liv '!B120+'Oslo Pensjonsforsikring'!B120+'Protector Forsikring'!B120+'SHB Liv'!B120+'Sparebank 1'!B120+'Storebrand Livsforsikring'!B120+'Telenor Forsikring'!B120+'Tryg Forsikring'!B120+'WaterCircles F'!B120+'Codan Forsikring'!B120+'Euro Accident'!B120+'Youplus Livsforsikring'!B120</f>
        <v>78656.675470000002</v>
      </c>
      <c r="C120" s="233">
        <f>'Fremtind Livsforsikring'!C120+'Danica Pensjonsforsikring'!C120+'DNB Livsforsikring'!C120+'Eika Forsikring AS'!C120+'Frende Livsforsikring'!C120+'Frende Skadeforsikring'!C120+'Gjensidige Forsikring'!C120+'Gjensidige Pensjon'!C120+'Handelsbanken Liv'!C120+'If Skadeforsikring NUF'!C120+KLP!C120+'KLP Skadeforsikring AS'!C120+'Landkreditt Forsikring'!C120+Insr!C120+'Nordea Liv '!C120+'Oslo Pensjonsforsikring'!C120+'Protector Forsikring'!C120+'SHB Liv'!C120+'Sparebank 1'!C120+'Storebrand Livsforsikring'!C120+'Telenor Forsikring'!C120+'Tryg Forsikring'!C120+'WaterCircles F'!C120+'Codan Forsikring'!C120+'Euro Accident'!C120+'Youplus Livsforsikring'!C120</f>
        <v>86736.129210000086</v>
      </c>
      <c r="D120" s="23">
        <f t="shared" si="38"/>
        <v>10.3</v>
      </c>
      <c r="E120" s="44">
        <f>'Fremtind Livsforsikring'!F120+'Danica Pensjonsforsikring'!F120+'DNB Livsforsikring'!F120+'Eika Forsikring AS'!F120+'Frende Livsforsikring'!F120+'Frende Skadeforsikring'!F120+'Gjensidige Forsikring'!F120+'Gjensidige Pensjon'!F120+'Handelsbanken Liv'!F120+'If Skadeforsikring NUF'!F120+KLP!F120+'KLP Skadeforsikring AS'!F120+'Landkreditt Forsikring'!F120+Insr!F120+'Nordea Liv '!F120+'Oslo Pensjonsforsikring'!F120+'Protector Forsikring'!F120+'SHB Liv'!F120+'Sparebank 1'!F120+'Storebrand Livsforsikring'!F120+'Telenor Forsikring'!F120+'Tryg Forsikring'!F120+'WaterCircles F'!F120+'Codan Forsikring'!F120+'Euro Accident'!F120+'Youplus Livsforsikring'!F120</f>
        <v>0</v>
      </c>
      <c r="F120" s="44">
        <f>'Fremtind Livsforsikring'!G120+'Danica Pensjonsforsikring'!G120+'DNB Livsforsikring'!G120+'Eika Forsikring AS'!G120+'Frende Livsforsikring'!G120+'Frende Skadeforsikring'!G120+'Gjensidige Forsikring'!G120+'Gjensidige Pensjon'!G120+'Handelsbanken Liv'!G120+'If Skadeforsikring NUF'!G120+KLP!G120+'KLP Skadeforsikring AS'!G120+'Landkreditt Forsikring'!G120+Insr!G120+'Nordea Liv '!G120+'Oslo Pensjonsforsikring'!G120+'Protector Forsikring'!G120+'SHB Liv'!G120+'Sparebank 1'!G120+'Storebrand Livsforsikring'!G120+'Telenor Forsikring'!G120+'Tryg Forsikring'!G120+'WaterCircles F'!G120+'Codan Forsikring'!G120+'Euro Accident'!G120+'Youplus Livsforsikring'!G120</f>
        <v>0</v>
      </c>
      <c r="G120" s="165"/>
      <c r="H120" s="233">
        <f t="shared" si="39"/>
        <v>78656.675470000002</v>
      </c>
      <c r="I120" s="233">
        <f t="shared" si="40"/>
        <v>86736.129210000086</v>
      </c>
      <c r="J120" s="23">
        <f t="shared" si="41"/>
        <v>10.3</v>
      </c>
    </row>
    <row r="121" spans="1:10" ht="15.75" customHeight="1" x14ac:dyDescent="0.2">
      <c r="A121" s="21" t="s">
        <v>10</v>
      </c>
      <c r="B121" s="233">
        <f>'Fremtind Livsforsikring'!B121+'Danica Pensjonsforsikring'!B121+'DNB Livsforsikring'!B121+'Eika Forsikring AS'!B121+'Frende Livsforsikring'!B121+'Frende Skadeforsikring'!B121+'Gjensidige Forsikring'!B121+'Gjensidige Pensjon'!B121+'Handelsbanken Liv'!B121+'If Skadeforsikring NUF'!B121+KLP!B121+'KLP Skadeforsikring AS'!B121+'Landkreditt Forsikring'!B121+Insr!B121+'Nordea Liv '!B121+'Oslo Pensjonsforsikring'!B121+'Protector Forsikring'!B121+'SHB Liv'!B121+'Sparebank 1'!B121+'Storebrand Livsforsikring'!B121+'Telenor Forsikring'!B121+'Tryg Forsikring'!B121+'WaterCircles F'!B121+'Codan Forsikring'!B121+'Euro Accident'!B121+'Youplus Livsforsikring'!B121</f>
        <v>10577.130450000001</v>
      </c>
      <c r="C121" s="233">
        <f>'Fremtind Livsforsikring'!C121+'Danica Pensjonsforsikring'!C121+'DNB Livsforsikring'!C121+'Eika Forsikring AS'!C121+'Frende Livsforsikring'!C121+'Frende Skadeforsikring'!C121+'Gjensidige Forsikring'!C121+'Gjensidige Pensjon'!C121+'Handelsbanken Liv'!C121+'If Skadeforsikring NUF'!C121+KLP!C121+'KLP Skadeforsikring AS'!C121+'Landkreditt Forsikring'!C121+Insr!C121+'Nordea Liv '!C121+'Oslo Pensjonsforsikring'!C121+'Protector Forsikring'!C121+'SHB Liv'!C121+'Sparebank 1'!C121+'Storebrand Livsforsikring'!C121+'Telenor Forsikring'!C121+'Tryg Forsikring'!C121+'WaterCircles F'!C121+'Codan Forsikring'!C121+'Euro Accident'!C121+'Youplus Livsforsikring'!C121</f>
        <v>5116.5181000000002</v>
      </c>
      <c r="D121" s="23">
        <f t="shared" si="38"/>
        <v>-51.6</v>
      </c>
      <c r="E121" s="44">
        <f>'Fremtind Livsforsikring'!F121+'Danica Pensjonsforsikring'!F121+'DNB Livsforsikring'!F121+'Eika Forsikring AS'!F121+'Frende Livsforsikring'!F121+'Frende Skadeforsikring'!F121+'Gjensidige Forsikring'!F121+'Gjensidige Pensjon'!F121+'Handelsbanken Liv'!F121+'If Skadeforsikring NUF'!F121+KLP!F121+'KLP Skadeforsikring AS'!F121+'Landkreditt Forsikring'!F121+Insr!F121+'Nordea Liv '!F121+'Oslo Pensjonsforsikring'!F121+'Protector Forsikring'!F121+'SHB Liv'!F121+'Sparebank 1'!F121+'Storebrand Livsforsikring'!F121+'Telenor Forsikring'!F121+'Tryg Forsikring'!F121+'WaterCircles F'!F121+'Codan Forsikring'!F121+'Euro Accident'!F121+'Youplus Livsforsikring'!F121</f>
        <v>12094950.20933</v>
      </c>
      <c r="F121" s="44">
        <f>'Fremtind Livsforsikring'!G121+'Danica Pensjonsforsikring'!G121+'DNB Livsforsikring'!G121+'Eika Forsikring AS'!G121+'Frende Livsforsikring'!G121+'Frende Skadeforsikring'!G121+'Gjensidige Forsikring'!G121+'Gjensidige Pensjon'!G121+'Handelsbanken Liv'!G121+'If Skadeforsikring NUF'!G121+KLP!G121+'KLP Skadeforsikring AS'!G121+'Landkreditt Forsikring'!G121+Insr!G121+'Nordea Liv '!G121+'Oslo Pensjonsforsikring'!G121+'Protector Forsikring'!G121+'SHB Liv'!G121+'Sparebank 1'!G121+'Storebrand Livsforsikring'!G121+'Telenor Forsikring'!G121+'Tryg Forsikring'!G121+'WaterCircles F'!G121+'Codan Forsikring'!G121+'Euro Accident'!G121+'Youplus Livsforsikring'!G121</f>
        <v>12122042.954369999</v>
      </c>
      <c r="G121" s="165">
        <f t="shared" si="24"/>
        <v>0.2</v>
      </c>
      <c r="H121" s="233">
        <f t="shared" si="39"/>
        <v>12105527.339779999</v>
      </c>
      <c r="I121" s="233">
        <f t="shared" si="40"/>
        <v>12127159.47247</v>
      </c>
      <c r="J121" s="23">
        <f t="shared" si="41"/>
        <v>0.2</v>
      </c>
    </row>
    <row r="122" spans="1:10" ht="15.75" customHeight="1" x14ac:dyDescent="0.2">
      <c r="A122" s="21" t="s">
        <v>26</v>
      </c>
      <c r="B122" s="233">
        <f>'Fremtind Livsforsikring'!B122+'Danica Pensjonsforsikring'!B122+'DNB Livsforsikring'!B122+'Eika Forsikring AS'!B122+'Frende Livsforsikring'!B122+'Frende Skadeforsikring'!B122+'Gjensidige Forsikring'!B122+'Gjensidige Pensjon'!B122+'Handelsbanken Liv'!B122+'If Skadeforsikring NUF'!B122+KLP!B122+'KLP Skadeforsikring AS'!B122+'Landkreditt Forsikring'!B122+Insr!B122+'Nordea Liv '!B122+'Oslo Pensjonsforsikring'!B122+'Protector Forsikring'!B122+'SHB Liv'!B122+'Sparebank 1'!B122+'Storebrand Livsforsikring'!B122+'Telenor Forsikring'!B122+'Tryg Forsikring'!B122+'WaterCircles F'!B122+'Codan Forsikring'!B122+'Euro Accident'!B122+'Youplus Livsforsikring'!B122</f>
        <v>41657.429759999999</v>
      </c>
      <c r="C122" s="233">
        <f>'Fremtind Livsforsikring'!C122+'Danica Pensjonsforsikring'!C122+'DNB Livsforsikring'!C122+'Eika Forsikring AS'!C122+'Frende Livsforsikring'!C122+'Frende Skadeforsikring'!C122+'Gjensidige Forsikring'!C122+'Gjensidige Pensjon'!C122+'Handelsbanken Liv'!C122+'If Skadeforsikring NUF'!C122+KLP!C122+'KLP Skadeforsikring AS'!C122+'Landkreditt Forsikring'!C122+Insr!C122+'Nordea Liv '!C122+'Oslo Pensjonsforsikring'!C122+'Protector Forsikring'!C122+'SHB Liv'!C122+'Sparebank 1'!C122+'Storebrand Livsforsikring'!C122+'Telenor Forsikring'!C122+'Tryg Forsikring'!C122+'WaterCircles F'!C122+'Codan Forsikring'!C122+'Euro Accident'!C122+'Youplus Livsforsikring'!C122</f>
        <v>263665.98415000003</v>
      </c>
      <c r="D122" s="23">
        <f t="shared" si="38"/>
        <v>532.9</v>
      </c>
      <c r="E122" s="44">
        <f>'Fremtind Livsforsikring'!F122+'Danica Pensjonsforsikring'!F122+'DNB Livsforsikring'!F122+'Eika Forsikring AS'!F122+'Frende Livsforsikring'!F122+'Frende Skadeforsikring'!F122+'Gjensidige Forsikring'!F122+'Gjensidige Pensjon'!F122+'Handelsbanken Liv'!F122+'If Skadeforsikring NUF'!F122+KLP!F122+'KLP Skadeforsikring AS'!F122+'Landkreditt Forsikring'!F122+Insr!F122+'Nordea Liv '!F122+'Oslo Pensjonsforsikring'!F122+'Protector Forsikring'!F122+'SHB Liv'!F122+'Sparebank 1'!F122+'Storebrand Livsforsikring'!F122+'Telenor Forsikring'!F122+'Tryg Forsikring'!F122+'WaterCircles F'!F122+'Codan Forsikring'!F122+'Euro Accident'!F122+'Youplus Livsforsikring'!F122</f>
        <v>0</v>
      </c>
      <c r="F122" s="44">
        <f>'Fremtind Livsforsikring'!G122+'Danica Pensjonsforsikring'!G122+'DNB Livsforsikring'!G122+'Eika Forsikring AS'!G122+'Frende Livsforsikring'!G122+'Frende Skadeforsikring'!G122+'Gjensidige Forsikring'!G122+'Gjensidige Pensjon'!G122+'Handelsbanken Liv'!G122+'If Skadeforsikring NUF'!G122+KLP!G122+'KLP Skadeforsikring AS'!G122+'Landkreditt Forsikring'!G122+Insr!G122+'Nordea Liv '!G122+'Oslo Pensjonsforsikring'!G122+'Protector Forsikring'!G122+'SHB Liv'!G122+'Sparebank 1'!G122+'Storebrand Livsforsikring'!G122+'Telenor Forsikring'!G122+'Tryg Forsikring'!G122+'WaterCircles F'!G122+'Codan Forsikring'!G122+'Euro Accident'!G122+'Youplus Livsforsikring'!G122</f>
        <v>0</v>
      </c>
      <c r="G122" s="165"/>
      <c r="H122" s="233">
        <f t="shared" si="39"/>
        <v>41657.429759999999</v>
      </c>
      <c r="I122" s="233">
        <f t="shared" si="40"/>
        <v>263665.98415000003</v>
      </c>
      <c r="J122" s="23">
        <f t="shared" si="41"/>
        <v>532.9</v>
      </c>
    </row>
    <row r="123" spans="1:10" ht="15.75" customHeight="1" x14ac:dyDescent="0.2">
      <c r="A123" s="289" t="s">
        <v>14</v>
      </c>
      <c r="B123" s="281"/>
      <c r="C123" s="281"/>
      <c r="D123" s="27"/>
      <c r="E123" s="281"/>
      <c r="F123" s="281"/>
      <c r="G123" s="165"/>
      <c r="H123" s="281"/>
      <c r="I123" s="281"/>
      <c r="J123" s="23"/>
    </row>
    <row r="124" spans="1:10" ht="15.75" customHeight="1" x14ac:dyDescent="0.2">
      <c r="A124" s="21" t="s">
        <v>378</v>
      </c>
      <c r="B124" s="233">
        <f>'Fremtind Livsforsikring'!B124+'Danica Pensjonsforsikring'!B124+'DNB Livsforsikring'!B124+'Eika Forsikring AS'!B124+'Frende Livsforsikring'!B124+'Frende Skadeforsikring'!B124+'Gjensidige Forsikring'!B124+'Gjensidige Pensjon'!B124+'Handelsbanken Liv'!B124+'If Skadeforsikring NUF'!B124+KLP!B124+'KLP Skadeforsikring AS'!B124+'Landkreditt Forsikring'!B124+Insr!B124+'Nordea Liv '!B124+'Oslo Pensjonsforsikring'!B124+'Protector Forsikring'!B124+'SHB Liv'!B124+'Sparebank 1'!B124+'Storebrand Livsforsikring'!B124+'Telenor Forsikring'!B124+'Tryg Forsikring'!B124+'WaterCircles F'!B124+'Codan Forsikring'!B124+'Euro Accident'!B124+'Youplus Livsforsikring'!B124</f>
        <v>10290.612000000001</v>
      </c>
      <c r="C124" s="233">
        <f>'Fremtind Livsforsikring'!C124+'Danica Pensjonsforsikring'!C124+'DNB Livsforsikring'!C124+'Eika Forsikring AS'!C124+'Frende Livsforsikring'!C124+'Frende Skadeforsikring'!C124+'Gjensidige Forsikring'!C124+'Gjensidige Pensjon'!C124+'Handelsbanken Liv'!C124+'If Skadeforsikring NUF'!C124+KLP!C124+'KLP Skadeforsikring AS'!C124+'Landkreditt Forsikring'!C124+Insr!C124+'Nordea Liv '!C124+'Oslo Pensjonsforsikring'!C124+'Protector Forsikring'!C124+'SHB Liv'!C124+'Sparebank 1'!C124+'Storebrand Livsforsikring'!C124+'Telenor Forsikring'!C124+'Tryg Forsikring'!C124+'WaterCircles F'!C124+'Codan Forsikring'!C124+'Euro Accident'!C124+'Youplus Livsforsikring'!C124</f>
        <v>15594.816000000001</v>
      </c>
      <c r="D124" s="23">
        <f t="shared" si="38"/>
        <v>51.5</v>
      </c>
      <c r="E124" s="44">
        <f>'Fremtind Livsforsikring'!F124+'Danica Pensjonsforsikring'!F124+'DNB Livsforsikring'!F124+'Eika Forsikring AS'!F124+'Frende Livsforsikring'!F124+'Frende Skadeforsikring'!F124+'Gjensidige Forsikring'!F124+'Gjensidige Pensjon'!F124+'Handelsbanken Liv'!F124+'If Skadeforsikring NUF'!F124+KLP!F124+'KLP Skadeforsikring AS'!F124+'Landkreditt Forsikring'!F124+Insr!F124+'Nordea Liv '!F124+'Oslo Pensjonsforsikring'!F124+'Protector Forsikring'!F124+'SHB Liv'!F124+'Sparebank 1'!F124+'Storebrand Livsforsikring'!F124+'Telenor Forsikring'!F124+'Tryg Forsikring'!F124+'WaterCircles F'!F124+'Codan Forsikring'!F124+'Euro Accident'!F124+'Youplus Livsforsikring'!F124</f>
        <v>8860.5679999999993</v>
      </c>
      <c r="F124" s="44">
        <f>'Fremtind Livsforsikring'!G124+'Danica Pensjonsforsikring'!G124+'DNB Livsforsikring'!G124+'Eika Forsikring AS'!G124+'Frende Livsforsikring'!G124+'Frende Skadeforsikring'!G124+'Gjensidige Forsikring'!G124+'Gjensidige Pensjon'!G124+'Handelsbanken Liv'!G124+'If Skadeforsikring NUF'!G124+KLP!G124+'KLP Skadeforsikring AS'!G124+'Landkreditt Forsikring'!G124+Insr!G124+'Nordea Liv '!G124+'Oslo Pensjonsforsikring'!G124+'Protector Forsikring'!G124+'SHB Liv'!G124+'Sparebank 1'!G124+'Storebrand Livsforsikring'!G124+'Telenor Forsikring'!G124+'Tryg Forsikring'!G124+'WaterCircles F'!G124+'Codan Forsikring'!G124+'Euro Accident'!G124+'Youplus Livsforsikring'!G124</f>
        <v>3363.8870000000002</v>
      </c>
      <c r="G124" s="165">
        <f t="shared" si="24"/>
        <v>-62</v>
      </c>
      <c r="H124" s="233">
        <f t="shared" si="39"/>
        <v>19151.18</v>
      </c>
      <c r="I124" s="233">
        <f t="shared" si="40"/>
        <v>18958.703000000001</v>
      </c>
      <c r="J124" s="23">
        <f t="shared" si="41"/>
        <v>-1</v>
      </c>
    </row>
    <row r="125" spans="1:10" ht="15.75" customHeight="1" x14ac:dyDescent="0.2">
      <c r="A125" s="21" t="s">
        <v>430</v>
      </c>
      <c r="B125" s="233">
        <f>'Fremtind Livsforsikring'!B125+'Danica Pensjonsforsikring'!B125+'DNB Livsforsikring'!B125+'Eika Forsikring AS'!B125+'Frende Livsforsikring'!B125+'Frende Skadeforsikring'!B125+'Gjensidige Forsikring'!B125+'Gjensidige Pensjon'!B125+'Handelsbanken Liv'!B125+'If Skadeforsikring NUF'!B125+KLP!B125+'KLP Skadeforsikring AS'!B125+'Landkreditt Forsikring'!B125+Insr!B125+'Nordea Liv '!B125+'Oslo Pensjonsforsikring'!B125+'Protector Forsikring'!B125+'SHB Liv'!B125+'Sparebank 1'!B125+'Storebrand Livsforsikring'!B125+'Telenor Forsikring'!B125+'Tryg Forsikring'!B125+'WaterCircles F'!B125+'Codan Forsikring'!B125+'Euro Accident'!B125+'Youplus Livsforsikring'!B125</f>
        <v>174.10499999999999</v>
      </c>
      <c r="C125" s="233">
        <f>'Fremtind Livsforsikring'!C125+'Danica Pensjonsforsikring'!C125+'DNB Livsforsikring'!C125+'Eika Forsikring AS'!C125+'Frende Livsforsikring'!C125+'Frende Skadeforsikring'!C125+'Gjensidige Forsikring'!C125+'Gjensidige Pensjon'!C125+'Handelsbanken Liv'!C125+'If Skadeforsikring NUF'!C125+KLP!C125+'KLP Skadeforsikring AS'!C125+'Landkreditt Forsikring'!C125+Insr!C125+'Nordea Liv '!C125+'Oslo Pensjonsforsikring'!C125+'Protector Forsikring'!C125+'SHB Liv'!C125+'Sparebank 1'!C125+'Storebrand Livsforsikring'!C125+'Telenor Forsikring'!C125+'Tryg Forsikring'!C125+'WaterCircles F'!C125+'Codan Forsikring'!C125+'Euro Accident'!C125+'Youplus Livsforsikring'!C125</f>
        <v>16.37509</v>
      </c>
      <c r="D125" s="23">
        <f t="shared" si="38"/>
        <v>-90.6</v>
      </c>
      <c r="E125" s="44">
        <f>'Fremtind Livsforsikring'!F125+'Danica Pensjonsforsikring'!F125+'DNB Livsforsikring'!F125+'Eika Forsikring AS'!F125+'Frende Livsforsikring'!F125+'Frende Skadeforsikring'!F125+'Gjensidige Forsikring'!F125+'Gjensidige Pensjon'!F125+'Handelsbanken Liv'!F125+'If Skadeforsikring NUF'!F125+KLP!F125+'KLP Skadeforsikring AS'!F125+'Landkreditt Forsikring'!F125+Insr!F125+'Nordea Liv '!F125+'Oslo Pensjonsforsikring'!F125+'Protector Forsikring'!F125+'SHB Liv'!F125+'Sparebank 1'!F125+'Storebrand Livsforsikring'!F125+'Telenor Forsikring'!F125+'Tryg Forsikring'!F125+'WaterCircles F'!F125+'Codan Forsikring'!F125+'Euro Accident'!F125+'Youplus Livsforsikring'!F125</f>
        <v>2730385.5548599996</v>
      </c>
      <c r="F125" s="44">
        <f>'Fremtind Livsforsikring'!G125+'Danica Pensjonsforsikring'!G125+'DNB Livsforsikring'!G125+'Eika Forsikring AS'!G125+'Frende Livsforsikring'!G125+'Frende Skadeforsikring'!G125+'Gjensidige Forsikring'!G125+'Gjensidige Pensjon'!G125+'Handelsbanken Liv'!G125+'If Skadeforsikring NUF'!G125+KLP!G125+'KLP Skadeforsikring AS'!G125+'Landkreditt Forsikring'!G125+Insr!G125+'Nordea Liv '!G125+'Oslo Pensjonsforsikring'!G125+'Protector Forsikring'!G125+'SHB Liv'!G125+'Sparebank 1'!G125+'Storebrand Livsforsikring'!G125+'Telenor Forsikring'!G125+'Tryg Forsikring'!G125+'WaterCircles F'!G125+'Codan Forsikring'!G125+'Euro Accident'!G125+'Youplus Livsforsikring'!G125</f>
        <v>5683949.9210500009</v>
      </c>
      <c r="G125" s="165">
        <f t="shared" si="24"/>
        <v>108.2</v>
      </c>
      <c r="H125" s="233">
        <f t="shared" si="39"/>
        <v>2730559.6598599995</v>
      </c>
      <c r="I125" s="233">
        <f t="shared" si="40"/>
        <v>5683966.2961400012</v>
      </c>
      <c r="J125" s="23">
        <f t="shared" si="41"/>
        <v>108.2</v>
      </c>
    </row>
    <row r="126" spans="1:10" ht="15.75" customHeight="1" x14ac:dyDescent="0.2">
      <c r="A126" s="10" t="s">
        <v>379</v>
      </c>
      <c r="B126" s="234"/>
      <c r="C126" s="235"/>
      <c r="D126" s="22"/>
      <c r="E126" s="45"/>
      <c r="F126" s="45"/>
      <c r="G126" s="166"/>
      <c r="H126" s="234"/>
      <c r="I126" s="235"/>
      <c r="J126" s="22"/>
    </row>
    <row r="127" spans="1:10" ht="15.75" customHeight="1" x14ac:dyDescent="0.2">
      <c r="A127" s="154"/>
    </row>
    <row r="128" spans="1:10" ht="15.75" customHeight="1" x14ac:dyDescent="0.2">
      <c r="A128" s="149"/>
    </row>
    <row r="129" spans="1:15" ht="15.75" customHeight="1" x14ac:dyDescent="0.25">
      <c r="A129" s="164" t="s">
        <v>27</v>
      </c>
    </row>
    <row r="130" spans="1:15" ht="15.75" customHeight="1" x14ac:dyDescent="0.25">
      <c r="A130" s="149"/>
      <c r="B130" s="719"/>
      <c r="C130" s="719"/>
      <c r="D130" s="719"/>
      <c r="E130" s="719"/>
      <c r="F130" s="719"/>
      <c r="G130" s="719"/>
      <c r="H130" s="719"/>
      <c r="I130" s="719"/>
      <c r="J130" s="719"/>
    </row>
    <row r="131" spans="1:15" s="3" customFormat="1" ht="20.100000000000001" customHeight="1" x14ac:dyDescent="0.2">
      <c r="A131" s="144"/>
      <c r="B131" s="720" t="s">
        <v>0</v>
      </c>
      <c r="C131" s="721"/>
      <c r="D131" s="722"/>
      <c r="E131" s="721" t="s">
        <v>1</v>
      </c>
      <c r="F131" s="721"/>
      <c r="G131" s="721"/>
      <c r="H131" s="720" t="s">
        <v>2</v>
      </c>
      <c r="I131" s="721"/>
      <c r="J131" s="722"/>
    </row>
    <row r="132" spans="1:15" s="3" customFormat="1" ht="15.75" customHeight="1" x14ac:dyDescent="0.2">
      <c r="A132" s="140"/>
      <c r="B132" s="20">
        <v>44286</v>
      </c>
      <c r="C132" s="20">
        <v>44651</v>
      </c>
      <c r="D132" s="19" t="s">
        <v>3</v>
      </c>
      <c r="E132" s="20">
        <v>44286</v>
      </c>
      <c r="F132" s="20">
        <v>44651</v>
      </c>
      <c r="G132" s="19" t="s">
        <v>3</v>
      </c>
      <c r="H132" s="20">
        <v>44286</v>
      </c>
      <c r="I132" s="20">
        <v>44651</v>
      </c>
      <c r="J132" s="19" t="s">
        <v>3</v>
      </c>
    </row>
    <row r="133" spans="1:15" s="3" customFormat="1" ht="15.75" customHeight="1" x14ac:dyDescent="0.2">
      <c r="A133" s="701"/>
      <c r="B133" s="15"/>
      <c r="C133" s="15"/>
      <c r="D133" s="17" t="s">
        <v>4</v>
      </c>
      <c r="E133" s="16"/>
      <c r="F133" s="16"/>
      <c r="G133" s="15" t="s">
        <v>4</v>
      </c>
      <c r="H133" s="16"/>
      <c r="I133" s="16"/>
      <c r="J133" s="15" t="s">
        <v>4</v>
      </c>
    </row>
    <row r="134" spans="1:15" s="406" customFormat="1" ht="15.75" customHeight="1" x14ac:dyDescent="0.2">
      <c r="A134" s="14" t="s">
        <v>381</v>
      </c>
      <c r="B134" s="232">
        <f>'Fremtind Livsforsikring'!B134+'Danica Pensjonsforsikring'!B134+'DNB Livsforsikring'!B134+'Eika Forsikring AS'!B134+'Frende Livsforsikring'!B134+'Frende Skadeforsikring'!B134+'Gjensidige Forsikring'!B134+'Gjensidige Pensjon'!B134+'Handelsbanken Liv'!B134+'If Skadeforsikring NUF'!B134+KLP!B134+'KLP Skadeforsikring AS'!B134+'Landkreditt Forsikring'!B134+Insr!B134+'Nordea Liv '!B134+'Oslo Pensjonsforsikring'!B134+'Protector Forsikring'!B134+'SHB Liv'!B134+'Sparebank 1'!B134+'Storebrand Livsforsikring'!B134+'Telenor Forsikring'!B134+'Tryg Forsikring'!B134+'WaterCircles F'!B134+'Codan Forsikring'!B134+'Euro Accident'!B134+'Youplus Livsforsikring'!B134</f>
        <v>7939140.04</v>
      </c>
      <c r="C134" s="232">
        <f>'Fremtind Livsforsikring'!C134+'Danica Pensjonsforsikring'!C134+'DNB Livsforsikring'!C134+'Eika Forsikring AS'!C134+'Frende Livsforsikring'!C134+'Frende Skadeforsikring'!C134+'Gjensidige Forsikring'!C134+'Gjensidige Pensjon'!C134+'Handelsbanken Liv'!C134+'If Skadeforsikring NUF'!C134+KLP!C134+'KLP Skadeforsikring AS'!C134+'Landkreditt Forsikring'!C134+Insr!C134+'Nordea Liv '!C134+'Oslo Pensjonsforsikring'!C134+'Protector Forsikring'!C134+'SHB Liv'!C134+'Sparebank 1'!C134+'Storebrand Livsforsikring'!C134+'Telenor Forsikring'!C134+'Tryg Forsikring'!C134+'WaterCircles F'!C134+'Codan Forsikring'!C134+'Euro Accident'!C134+'Youplus Livsforsikring'!C134</f>
        <v>8497291.137050001</v>
      </c>
      <c r="D134" s="11">
        <f t="shared" ref="D134:D137" si="42">IF(B134=0, "    ---- ", IF(ABS(ROUND(100/B134*C134-100,1))&lt;999,ROUND(100/B134*C134-100,1),IF(ROUND(100/B134*C134-100,1)&gt;999,999,-999)))</f>
        <v>7</v>
      </c>
      <c r="E134" s="232">
        <f>'Fremtind Livsforsikring'!F134+'Danica Pensjonsforsikring'!F134+'DNB Livsforsikring'!F134+'Eika Forsikring AS'!F134+'Frende Livsforsikring'!F134+'Frende Skadeforsikring'!F134+'Gjensidige Forsikring'!F134+'Gjensidige Pensjon'!F134+'Handelsbanken Liv'!F134+'If Skadeforsikring NUF'!F134+KLP!F134+'KLP Skadeforsikring AS'!F134+'Landkreditt Forsikring'!F134+Insr!F134+'Nordea Liv '!F134+'Oslo Pensjonsforsikring'!F134+'Protector Forsikring'!F134+'SHB Liv'!F134+'Sparebank 1'!F134+'Storebrand Livsforsikring'!F134+'Telenor Forsikring'!F134+'Tryg Forsikring'!F134+'WaterCircles F'!F134+'Codan Forsikring'!F134+'Euro Accident'!F134+'Youplus Livsforsikring'!F134</f>
        <v>13768.486000000001</v>
      </c>
      <c r="F134" s="232">
        <f>'Fremtind Livsforsikring'!G134+'Danica Pensjonsforsikring'!G134+'DNB Livsforsikring'!G134+'Eika Forsikring AS'!G134+'Frende Livsforsikring'!G134+'Frende Skadeforsikring'!G134+'Gjensidige Forsikring'!G134+'Gjensidige Pensjon'!G134+'Handelsbanken Liv'!G134+'If Skadeforsikring NUF'!G134+KLP!G134+'KLP Skadeforsikring AS'!G134+'Landkreditt Forsikring'!G134+Insr!G134+'Nordea Liv '!G134+'Oslo Pensjonsforsikring'!G134+'Protector Forsikring'!G134+'SHB Liv'!G134+'Sparebank 1'!G134+'Storebrand Livsforsikring'!G134+'Telenor Forsikring'!G134+'Tryg Forsikring'!G134+'WaterCircles F'!G134+'Codan Forsikring'!G134+'Euro Accident'!G134+'Youplus Livsforsikring'!G134</f>
        <v>7778.8180000000002</v>
      </c>
      <c r="G134" s="11">
        <f t="shared" ref="G134:G136" si="43">IF(E134=0, "    ---- ", IF(ABS(ROUND(100/E134*F134-100,1))&lt;999,ROUND(100/E134*F134-100,1),IF(ROUND(100/E134*F134-100,1)&gt;999,999,-999)))</f>
        <v>-43.5</v>
      </c>
      <c r="H134" s="232">
        <f t="shared" ref="H134:I137" si="44">SUM(B134,E134)</f>
        <v>7952908.5259999996</v>
      </c>
      <c r="I134" s="232">
        <f t="shared" si="44"/>
        <v>8505069.9550500009</v>
      </c>
      <c r="J134" s="11">
        <f t="shared" ref="J134:J137" si="45">IF(H134=0, "    ---- ", IF(ABS(ROUND(100/H134*I134-100,1))&lt;999,ROUND(100/H134*I134-100,1),IF(ROUND(100/H134*I134-100,1)&gt;999,999,-999)))</f>
        <v>6.9</v>
      </c>
    </row>
    <row r="135" spans="1:15" s="406" customFormat="1" ht="15.75" customHeight="1" x14ac:dyDescent="0.2">
      <c r="A135" s="13" t="s">
        <v>382</v>
      </c>
      <c r="B135" s="232">
        <f>'Fremtind Livsforsikring'!B135+'Danica Pensjonsforsikring'!B135+'DNB Livsforsikring'!B135+'Eika Forsikring AS'!B135+'Frende Livsforsikring'!B135+'Frende Skadeforsikring'!B135+'Gjensidige Forsikring'!B135+'Gjensidige Pensjon'!B135+'Handelsbanken Liv'!B135+'If Skadeforsikring NUF'!B135+KLP!B135+'KLP Skadeforsikring AS'!B135+'Landkreditt Forsikring'!B135+Insr!B135+'Nordea Liv '!B135+'Oslo Pensjonsforsikring'!B135+'Protector Forsikring'!B135+'SHB Liv'!B135+'Sparebank 1'!B135+'Storebrand Livsforsikring'!B135+'Telenor Forsikring'!B135+'Tryg Forsikring'!B135+'WaterCircles F'!B135+'Codan Forsikring'!B135+'Euro Accident'!B135+'Youplus Livsforsikring'!B135</f>
        <v>627915331.98663998</v>
      </c>
      <c r="C135" s="232">
        <f>'Fremtind Livsforsikring'!C135+'Danica Pensjonsforsikring'!C135+'DNB Livsforsikring'!C135+'Eika Forsikring AS'!C135+'Frende Livsforsikring'!C135+'Frende Skadeforsikring'!C135+'Gjensidige Forsikring'!C135+'Gjensidige Pensjon'!C135+'Handelsbanken Liv'!C135+'If Skadeforsikring NUF'!C135+KLP!C135+'KLP Skadeforsikring AS'!C135+'Landkreditt Forsikring'!C135+Insr!C135+'Nordea Liv '!C135+'Oslo Pensjonsforsikring'!C135+'Protector Forsikring'!C135+'SHB Liv'!C135+'Sparebank 1'!C135+'Storebrand Livsforsikring'!C135+'Telenor Forsikring'!C135+'Tryg Forsikring'!C135+'WaterCircles F'!C135+'Codan Forsikring'!C135+'Euro Accident'!C135+'Youplus Livsforsikring'!C135</f>
        <v>739551747.40679002</v>
      </c>
      <c r="D135" s="11">
        <f t="shared" si="42"/>
        <v>17.8</v>
      </c>
      <c r="E135" s="232">
        <f>'Fremtind Livsforsikring'!F135+'Danica Pensjonsforsikring'!F135+'DNB Livsforsikring'!F135+'Eika Forsikring AS'!F135+'Frende Livsforsikring'!F135+'Frende Skadeforsikring'!F135+'Gjensidige Forsikring'!F135+'Gjensidige Pensjon'!F135+'Handelsbanken Liv'!F135+'If Skadeforsikring NUF'!F135+KLP!F135+'KLP Skadeforsikring AS'!F135+'Landkreditt Forsikring'!F135+Insr!F135+'Nordea Liv '!F135+'Oslo Pensjonsforsikring'!F135+'Protector Forsikring'!F135+'SHB Liv'!F135+'Sparebank 1'!F135+'Storebrand Livsforsikring'!F135+'Telenor Forsikring'!F135+'Tryg Forsikring'!F135+'WaterCircles F'!F135+'Codan Forsikring'!F135+'Euro Accident'!F135+'Youplus Livsforsikring'!F135</f>
        <v>2073544.89796</v>
      </c>
      <c r="F135" s="232">
        <f>'Fremtind Livsforsikring'!G135+'Danica Pensjonsforsikring'!G135+'DNB Livsforsikring'!G135+'Eika Forsikring AS'!G135+'Frende Livsforsikring'!G135+'Frende Skadeforsikring'!G135+'Gjensidige Forsikring'!G135+'Gjensidige Pensjon'!G135+'Handelsbanken Liv'!G135+'If Skadeforsikring NUF'!G135+KLP!G135+'KLP Skadeforsikring AS'!G135+'Landkreditt Forsikring'!G135+Insr!G135+'Nordea Liv '!G135+'Oslo Pensjonsforsikring'!G135+'Protector Forsikring'!G135+'SHB Liv'!G135+'Sparebank 1'!G135+'Storebrand Livsforsikring'!G135+'Telenor Forsikring'!G135+'Tryg Forsikring'!G135+'WaterCircles F'!G135+'Codan Forsikring'!G135+'Euro Accident'!G135+'Youplus Livsforsikring'!G135</f>
        <v>2847329.1389299999</v>
      </c>
      <c r="G135" s="11">
        <f t="shared" si="43"/>
        <v>37.299999999999997</v>
      </c>
      <c r="H135" s="232">
        <f t="shared" si="44"/>
        <v>629988876.88459992</v>
      </c>
      <c r="I135" s="232">
        <f t="shared" si="44"/>
        <v>742399076.54571998</v>
      </c>
      <c r="J135" s="11">
        <f t="shared" si="45"/>
        <v>17.8</v>
      </c>
      <c r="M135" s="412"/>
      <c r="N135" s="412"/>
      <c r="O135" s="3"/>
    </row>
    <row r="136" spans="1:15" s="406" customFormat="1" ht="15.75" customHeight="1" x14ac:dyDescent="0.2">
      <c r="A136" s="13" t="s">
        <v>383</v>
      </c>
      <c r="B136" s="232">
        <f>'Fremtind Livsforsikring'!B136+'Danica Pensjonsforsikring'!B136+'DNB Livsforsikring'!B136+'Eika Forsikring AS'!B136+'Frende Livsforsikring'!B136+'Frende Skadeforsikring'!B136+'Gjensidige Forsikring'!B136+'Gjensidige Pensjon'!B136+'Handelsbanken Liv'!B136+'If Skadeforsikring NUF'!B136+KLP!B136+'KLP Skadeforsikring AS'!B136+'Landkreditt Forsikring'!B136+Insr!B136+'Nordea Liv '!B136+'Oslo Pensjonsforsikring'!B136+'Protector Forsikring'!B136+'SHB Liv'!B136+'Sparebank 1'!B136+'Storebrand Livsforsikring'!B136+'Telenor Forsikring'!B136+'Tryg Forsikring'!B136+'WaterCircles F'!B136+'Codan Forsikring'!B136+'Euro Accident'!B136+'Youplus Livsforsikring'!B136</f>
        <v>7005645.1660000002</v>
      </c>
      <c r="C136" s="232">
        <f>'Fremtind Livsforsikring'!C136+'Danica Pensjonsforsikring'!C136+'DNB Livsforsikring'!C136+'Eika Forsikring AS'!C136+'Frende Livsforsikring'!C136+'Frende Skadeforsikring'!C136+'Gjensidige Forsikring'!C136+'Gjensidige Pensjon'!C136+'Handelsbanken Liv'!C136+'If Skadeforsikring NUF'!C136+KLP!C136+'KLP Skadeforsikring AS'!C136+'Landkreditt Forsikring'!C136+Insr!C136+'Nordea Liv '!C136+'Oslo Pensjonsforsikring'!C136+'Protector Forsikring'!C136+'SHB Liv'!C136+'Sparebank 1'!C136+'Storebrand Livsforsikring'!C136+'Telenor Forsikring'!C136+'Tryg Forsikring'!C136+'WaterCircles F'!C136+'Codan Forsikring'!C136+'Euro Accident'!C136+'Youplus Livsforsikring'!C136</f>
        <v>3131923.139</v>
      </c>
      <c r="D136" s="11">
        <f t="shared" si="42"/>
        <v>-55.3</v>
      </c>
      <c r="E136" s="232">
        <f>'Fremtind Livsforsikring'!F136+'Danica Pensjonsforsikring'!F136+'DNB Livsforsikring'!F136+'Eika Forsikring AS'!F136+'Frende Livsforsikring'!F136+'Frende Skadeforsikring'!F136+'Gjensidige Forsikring'!F136+'Gjensidige Pensjon'!F136+'Handelsbanken Liv'!F136+'If Skadeforsikring NUF'!F136+KLP!F136+'KLP Skadeforsikring AS'!F136+'Landkreditt Forsikring'!F136+Insr!F136+'Nordea Liv '!F136+'Oslo Pensjonsforsikring'!F136+'Protector Forsikring'!F136+'SHB Liv'!F136+'Sparebank 1'!F136+'Storebrand Livsforsikring'!F136+'Telenor Forsikring'!F136+'Tryg Forsikring'!F136+'WaterCircles F'!F136+'Codan Forsikring'!F136+'Euro Accident'!F136+'Youplus Livsforsikring'!F136</f>
        <v>0</v>
      </c>
      <c r="F136" s="232">
        <f>'Fremtind Livsforsikring'!G136+'Danica Pensjonsforsikring'!G136+'DNB Livsforsikring'!G136+'Eika Forsikring AS'!G136+'Frende Livsforsikring'!G136+'Frende Skadeforsikring'!G136+'Gjensidige Forsikring'!G136+'Gjensidige Pensjon'!G136+'Handelsbanken Liv'!G136+'If Skadeforsikring NUF'!G136+KLP!G136+'KLP Skadeforsikring AS'!G136+'Landkreditt Forsikring'!G136+Insr!G136+'Nordea Liv '!G136+'Oslo Pensjonsforsikring'!G136+'Protector Forsikring'!G136+'SHB Liv'!G136+'Sparebank 1'!G136+'Storebrand Livsforsikring'!G136+'Telenor Forsikring'!G136+'Tryg Forsikring'!G136+'WaterCircles F'!G136+'Codan Forsikring'!G136+'Euro Accident'!G136+'Youplus Livsforsikring'!G136</f>
        <v>376440.52899999998</v>
      </c>
      <c r="G136" s="11" t="str">
        <f t="shared" si="43"/>
        <v xml:space="preserve">    ---- </v>
      </c>
      <c r="H136" s="232">
        <f t="shared" si="44"/>
        <v>7005645.1660000002</v>
      </c>
      <c r="I136" s="232">
        <f t="shared" si="44"/>
        <v>3508363.6680000001</v>
      </c>
      <c r="J136" s="11">
        <f t="shared" si="45"/>
        <v>-49.9</v>
      </c>
    </row>
    <row r="137" spans="1:15" s="406" customFormat="1" ht="15.75" customHeight="1" x14ac:dyDescent="0.2">
      <c r="A137" s="41" t="s">
        <v>384</v>
      </c>
      <c r="B137" s="272">
        <f>'Fremtind Livsforsikring'!B137+'Danica Pensjonsforsikring'!B137+'DNB Livsforsikring'!B137+'Eika Forsikring AS'!B137+'Frende Livsforsikring'!B137+'Frende Skadeforsikring'!B137+'Gjensidige Forsikring'!B137+'Gjensidige Pensjon'!B137+'Handelsbanken Liv'!B137+'If Skadeforsikring NUF'!B137+KLP!B137+'KLP Skadeforsikring AS'!B137+'Landkreditt Forsikring'!B137+Insr!B137+'Nordea Liv '!B137+'Oslo Pensjonsforsikring'!B137+'Protector Forsikring'!B137+'SHB Liv'!B137+'Sparebank 1'!B137+'Storebrand Livsforsikring'!B137+'Telenor Forsikring'!B137+'Tryg Forsikring'!B137+'WaterCircles F'!B137+'Codan Forsikring'!B137+'Euro Accident'!B137+'Youplus Livsforsikring'!B137</f>
        <v>8418803.5179999992</v>
      </c>
      <c r="C137" s="272">
        <f>'Fremtind Livsforsikring'!C137+'Danica Pensjonsforsikring'!C137+'DNB Livsforsikring'!C137+'Eika Forsikring AS'!C137+'Frende Livsforsikring'!C137+'Frende Skadeforsikring'!C137+'Gjensidige Forsikring'!C137+'Gjensidige Pensjon'!C137+'Handelsbanken Liv'!C137+'If Skadeforsikring NUF'!C137+KLP!C137+'KLP Skadeforsikring AS'!C137+'Landkreditt Forsikring'!C137+Insr!C137+'Nordea Liv '!C137+'Oslo Pensjonsforsikring'!C137+'Protector Forsikring'!C137+'SHB Liv'!C137+'Sparebank 1'!C137+'Storebrand Livsforsikring'!C137+'Telenor Forsikring'!C137+'Tryg Forsikring'!C137+'WaterCircles F'!C137+'Codan Forsikring'!C137+'Euro Accident'!C137+'Youplus Livsforsikring'!C137</f>
        <v>4875400.2249999996</v>
      </c>
      <c r="D137" s="9">
        <f t="shared" si="42"/>
        <v>-42.1</v>
      </c>
      <c r="E137" s="272">
        <f>'Fremtind Livsforsikring'!F137+'Danica Pensjonsforsikring'!F137+'DNB Livsforsikring'!F137+'Eika Forsikring AS'!F137+'Frende Livsforsikring'!F137+'Frende Skadeforsikring'!F137+'Gjensidige Forsikring'!F137+'Gjensidige Pensjon'!F137+'Handelsbanken Liv'!F137+'If Skadeforsikring NUF'!F137+KLP!F137+'KLP Skadeforsikring AS'!F137+'Landkreditt Forsikring'!F137+Insr!F137+'Nordea Liv '!F137+'Oslo Pensjonsforsikring'!F137+'Protector Forsikring'!F137+'SHB Liv'!F137+'Sparebank 1'!F137+'Storebrand Livsforsikring'!F137+'Telenor Forsikring'!F137+'Tryg Forsikring'!F137+'WaterCircles F'!F137+'Codan Forsikring'!F137+'Euro Accident'!F137+'Youplus Livsforsikring'!F137</f>
        <v>0</v>
      </c>
      <c r="F137" s="272">
        <f>'Fremtind Livsforsikring'!G137+'Danica Pensjonsforsikring'!G137+'DNB Livsforsikring'!G137+'Eika Forsikring AS'!G137+'Frende Livsforsikring'!G137+'Frende Skadeforsikring'!G137+'Gjensidige Forsikring'!G137+'Gjensidige Pensjon'!G137+'Handelsbanken Liv'!G137+'If Skadeforsikring NUF'!G137+KLP!G137+'KLP Skadeforsikring AS'!G137+'Landkreditt Forsikring'!G137+Insr!G137+'Nordea Liv '!G137+'Oslo Pensjonsforsikring'!G137+'Protector Forsikring'!G137+'SHB Liv'!G137+'Sparebank 1'!G137+'Storebrand Livsforsikring'!G137+'Telenor Forsikring'!G137+'Tryg Forsikring'!G137+'WaterCircles F'!G137+'Codan Forsikring'!G137+'Euro Accident'!G137+'Youplus Livsforsikring'!G137</f>
        <v>0</v>
      </c>
      <c r="G137" s="9"/>
      <c r="H137" s="272">
        <f t="shared" si="44"/>
        <v>8418803.5179999992</v>
      </c>
      <c r="I137" s="272">
        <f t="shared" si="44"/>
        <v>4875400.2249999996</v>
      </c>
      <c r="J137" s="9">
        <f t="shared" si="45"/>
        <v>-42.1</v>
      </c>
    </row>
    <row r="138" spans="1:15" s="3" customFormat="1" ht="15.75" customHeight="1" x14ac:dyDescent="0.2">
      <c r="A138" s="8"/>
      <c r="E138" s="7"/>
      <c r="F138" s="7"/>
      <c r="G138" s="6"/>
      <c r="H138" s="7"/>
      <c r="I138" s="7"/>
      <c r="J138" s="6"/>
    </row>
    <row r="139" spans="1:15" ht="15.75" customHeight="1" x14ac:dyDescent="0.2"/>
    <row r="140" spans="1:15" ht="15.75" customHeight="1" x14ac:dyDescent="0.2"/>
    <row r="141" spans="1:15" ht="15.75" customHeight="1" x14ac:dyDescent="0.2"/>
    <row r="142" spans="1:15" ht="15.75" customHeight="1" x14ac:dyDescent="0.2"/>
    <row r="143" spans="1:15" ht="15.75" customHeight="1" x14ac:dyDescent="0.2"/>
    <row r="144" spans="1:15"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sheetData>
  <mergeCells count="27">
    <mergeCell ref="B131:D131"/>
    <mergeCell ref="E131:G131"/>
    <mergeCell ref="H131:J131"/>
    <mergeCell ref="B130:D130"/>
    <mergeCell ref="E130:G130"/>
    <mergeCell ref="H130:J130"/>
    <mergeCell ref="B63:D63"/>
    <mergeCell ref="E63:G63"/>
    <mergeCell ref="H63:J63"/>
    <mergeCell ref="B19:D19"/>
    <mergeCell ref="E19:G19"/>
    <mergeCell ref="H19:J19"/>
    <mergeCell ref="B62:D62"/>
    <mergeCell ref="E62:G62"/>
    <mergeCell ref="H62:J62"/>
    <mergeCell ref="B42:D42"/>
    <mergeCell ref="E42:G42"/>
    <mergeCell ref="H42:J42"/>
    <mergeCell ref="B18:D18"/>
    <mergeCell ref="E18:G18"/>
    <mergeCell ref="H18:J18"/>
    <mergeCell ref="B2:D2"/>
    <mergeCell ref="E2:G2"/>
    <mergeCell ref="H2:J2"/>
    <mergeCell ref="B4:D4"/>
    <mergeCell ref="E4:G4"/>
    <mergeCell ref="H4:J4"/>
  </mergeCells>
  <conditionalFormatting sqref="A50:A52">
    <cfRule type="expression" dxfId="426" priority="71">
      <formula>kvartal &lt; 4</formula>
    </cfRule>
  </conditionalFormatting>
  <conditionalFormatting sqref="A69:A74">
    <cfRule type="expression" dxfId="425" priority="69">
      <formula>kvartal &lt; 4</formula>
    </cfRule>
  </conditionalFormatting>
  <conditionalFormatting sqref="A80:A85">
    <cfRule type="expression" dxfId="424" priority="68">
      <formula>kvartal &lt; 4</formula>
    </cfRule>
  </conditionalFormatting>
  <conditionalFormatting sqref="A90:A95">
    <cfRule type="expression" dxfId="423" priority="65">
      <formula>kvartal &lt; 4</formula>
    </cfRule>
  </conditionalFormatting>
  <conditionalFormatting sqref="A101:A106">
    <cfRule type="expression" dxfId="422" priority="64">
      <formula>kvartal &lt; 4</formula>
    </cfRule>
  </conditionalFormatting>
  <conditionalFormatting sqref="A115">
    <cfRule type="expression" dxfId="421" priority="63">
      <formula>kvartal &lt; 4</formula>
    </cfRule>
  </conditionalFormatting>
  <conditionalFormatting sqref="A123">
    <cfRule type="expression" dxfId="420" priority="62">
      <formula>kvartal &lt; 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94B19-5AA5-4C19-88FF-6DC20058C969}">
  <dimension ref="A1:N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244" t="s">
        <v>411</v>
      </c>
      <c r="D1" s="26"/>
      <c r="E1" s="26"/>
      <c r="F1" s="26"/>
      <c r="G1" s="26"/>
      <c r="H1" s="26"/>
      <c r="I1" s="26"/>
      <c r="J1" s="26"/>
      <c r="K1" s="26"/>
      <c r="L1" s="26"/>
      <c r="M1" s="26"/>
    </row>
    <row r="2" spans="1:14" ht="15.75" x14ac:dyDescent="0.25">
      <c r="A2" s="164" t="s">
        <v>28</v>
      </c>
      <c r="B2" s="729"/>
      <c r="C2" s="729"/>
      <c r="D2" s="729"/>
      <c r="E2" s="629"/>
      <c r="F2" s="729"/>
      <c r="G2" s="729"/>
      <c r="H2" s="729"/>
      <c r="I2" s="629"/>
      <c r="J2" s="729"/>
      <c r="K2" s="729"/>
      <c r="L2" s="729"/>
      <c r="M2" s="629"/>
    </row>
    <row r="3" spans="1:14" ht="15.75" x14ac:dyDescent="0.25">
      <c r="A3" s="162"/>
      <c r="B3" s="629"/>
      <c r="C3" s="629"/>
      <c r="D3" s="629"/>
      <c r="E3" s="629"/>
      <c r="F3" s="629"/>
      <c r="G3" s="629"/>
      <c r="H3" s="629"/>
      <c r="I3" s="629"/>
      <c r="J3" s="629"/>
      <c r="K3" s="629"/>
      <c r="L3" s="629"/>
      <c r="M3" s="629"/>
    </row>
    <row r="4" spans="1:14" x14ac:dyDescent="0.2">
      <c r="A4" s="144"/>
      <c r="B4" s="725" t="s">
        <v>0</v>
      </c>
      <c r="C4" s="726"/>
      <c r="D4" s="726"/>
      <c r="E4" s="627"/>
      <c r="F4" s="725" t="s">
        <v>1</v>
      </c>
      <c r="G4" s="726"/>
      <c r="H4" s="726"/>
      <c r="I4" s="628"/>
      <c r="J4" s="725" t="s">
        <v>2</v>
      </c>
      <c r="K4" s="726"/>
      <c r="L4" s="726"/>
      <c r="M4" s="628"/>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c r="C7" s="300"/>
      <c r="D7" s="340"/>
      <c r="E7" s="11"/>
      <c r="F7" s="299"/>
      <c r="G7" s="300"/>
      <c r="H7" s="340"/>
      <c r="I7" s="159"/>
      <c r="J7" s="301"/>
      <c r="K7" s="302"/>
      <c r="L7" s="413"/>
      <c r="M7" s="11"/>
    </row>
    <row r="8" spans="1:14" ht="15.75" x14ac:dyDescent="0.2">
      <c r="A8" s="21" t="s">
        <v>25</v>
      </c>
      <c r="B8" s="277"/>
      <c r="C8" s="278"/>
      <c r="D8" s="165"/>
      <c r="E8" s="27"/>
      <c r="F8" s="281"/>
      <c r="G8" s="282"/>
      <c r="H8" s="165"/>
      <c r="I8" s="174"/>
      <c r="J8" s="230"/>
      <c r="K8" s="283"/>
      <c r="L8" s="165"/>
      <c r="M8" s="27"/>
    </row>
    <row r="9" spans="1:14" ht="15.75" x14ac:dyDescent="0.2">
      <c r="A9" s="21" t="s">
        <v>24</v>
      </c>
      <c r="B9" s="277"/>
      <c r="C9" s="278"/>
      <c r="D9" s="165"/>
      <c r="E9" s="27"/>
      <c r="F9" s="281"/>
      <c r="G9" s="282"/>
      <c r="H9" s="165"/>
      <c r="I9" s="174"/>
      <c r="J9" s="230"/>
      <c r="K9" s="283"/>
      <c r="L9" s="165"/>
      <c r="M9" s="27"/>
    </row>
    <row r="10" spans="1:14" ht="15.75" x14ac:dyDescent="0.2">
      <c r="A10" s="13" t="s">
        <v>359</v>
      </c>
      <c r="B10" s="303"/>
      <c r="C10" s="304"/>
      <c r="D10" s="170"/>
      <c r="E10" s="11"/>
      <c r="F10" s="303"/>
      <c r="G10" s="304"/>
      <c r="H10" s="170"/>
      <c r="I10" s="159"/>
      <c r="J10" s="301"/>
      <c r="K10" s="302"/>
      <c r="L10" s="414"/>
      <c r="M10" s="11"/>
    </row>
    <row r="11" spans="1:14" s="43" customFormat="1" ht="15.75" x14ac:dyDescent="0.2">
      <c r="A11" s="13" t="s">
        <v>360</v>
      </c>
      <c r="B11" s="303"/>
      <c r="C11" s="304"/>
      <c r="D11" s="170"/>
      <c r="E11" s="11"/>
      <c r="F11" s="303"/>
      <c r="G11" s="304"/>
      <c r="H11" s="170"/>
      <c r="I11" s="159"/>
      <c r="J11" s="301"/>
      <c r="K11" s="302"/>
      <c r="L11" s="414"/>
      <c r="M11" s="11"/>
      <c r="N11" s="143"/>
    </row>
    <row r="12" spans="1:14" s="43" customFormat="1" ht="15.75" x14ac:dyDescent="0.2">
      <c r="A12" s="41" t="s">
        <v>361</v>
      </c>
      <c r="B12" s="305"/>
      <c r="C12" s="306"/>
      <c r="D12" s="168"/>
      <c r="E12" s="36"/>
      <c r="F12" s="305"/>
      <c r="G12" s="306"/>
      <c r="H12" s="168"/>
      <c r="I12" s="168"/>
      <c r="J12" s="307"/>
      <c r="K12" s="308"/>
      <c r="L12" s="415"/>
      <c r="M12" s="36"/>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629"/>
      <c r="F18" s="724"/>
      <c r="G18" s="724"/>
      <c r="H18" s="724"/>
      <c r="I18" s="629"/>
      <c r="J18" s="724"/>
      <c r="K18" s="724"/>
      <c r="L18" s="724"/>
      <c r="M18" s="629"/>
    </row>
    <row r="19" spans="1:14" x14ac:dyDescent="0.2">
      <c r="A19" s="144"/>
      <c r="B19" s="725" t="s">
        <v>0</v>
      </c>
      <c r="C19" s="726"/>
      <c r="D19" s="726"/>
      <c r="E19" s="627"/>
      <c r="F19" s="725" t="s">
        <v>1</v>
      </c>
      <c r="G19" s="726"/>
      <c r="H19" s="726"/>
      <c r="I19" s="628"/>
      <c r="J19" s="725" t="s">
        <v>2</v>
      </c>
      <c r="K19" s="726"/>
      <c r="L19" s="726"/>
      <c r="M19" s="628"/>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402" t="s">
        <v>30</v>
      </c>
      <c r="F21" s="160"/>
      <c r="G21" s="160"/>
      <c r="H21" s="241" t="s">
        <v>4</v>
      </c>
      <c r="I21" s="155" t="s">
        <v>30</v>
      </c>
      <c r="J21" s="160"/>
      <c r="K21" s="160"/>
      <c r="L21" s="155" t="s">
        <v>4</v>
      </c>
      <c r="M21" s="155" t="s">
        <v>30</v>
      </c>
    </row>
    <row r="22" spans="1:14" ht="15.75" x14ac:dyDescent="0.2">
      <c r="A22" s="14" t="s">
        <v>23</v>
      </c>
      <c r="B22" s="303"/>
      <c r="C22" s="303"/>
      <c r="D22" s="340"/>
      <c r="E22" s="11"/>
      <c r="F22" s="311"/>
      <c r="G22" s="311"/>
      <c r="H22" s="340"/>
      <c r="I22" s="159"/>
      <c r="J22" s="309"/>
      <c r="K22" s="309"/>
      <c r="L22" s="413"/>
      <c r="M22" s="24"/>
    </row>
    <row r="23" spans="1:14" ht="15.75" x14ac:dyDescent="0.2">
      <c r="A23" s="555" t="s">
        <v>362</v>
      </c>
      <c r="B23" s="277"/>
      <c r="C23" s="277"/>
      <c r="D23" s="165"/>
      <c r="E23" s="11"/>
      <c r="F23" s="286"/>
      <c r="G23" s="286"/>
      <c r="H23" s="165"/>
      <c r="I23" s="236"/>
      <c r="J23" s="286"/>
      <c r="K23" s="286"/>
      <c r="L23" s="165"/>
      <c r="M23" s="23"/>
    </row>
    <row r="24" spans="1:14" ht="15.75" x14ac:dyDescent="0.2">
      <c r="A24" s="555" t="s">
        <v>363</v>
      </c>
      <c r="B24" s="277"/>
      <c r="C24" s="277"/>
      <c r="D24" s="165"/>
      <c r="E24" s="11"/>
      <c r="F24" s="286"/>
      <c r="G24" s="286"/>
      <c r="H24" s="165"/>
      <c r="I24" s="236"/>
      <c r="J24" s="286"/>
      <c r="K24" s="286"/>
      <c r="L24" s="165"/>
      <c r="M24" s="23"/>
    </row>
    <row r="25" spans="1:14" ht="15.75" x14ac:dyDescent="0.2">
      <c r="A25" s="555" t="s">
        <v>364</v>
      </c>
      <c r="B25" s="277"/>
      <c r="C25" s="277"/>
      <c r="D25" s="165"/>
      <c r="E25" s="11"/>
      <c r="F25" s="286"/>
      <c r="G25" s="286"/>
      <c r="H25" s="165"/>
      <c r="I25" s="236"/>
      <c r="J25" s="286"/>
      <c r="K25" s="286"/>
      <c r="L25" s="165"/>
      <c r="M25" s="23"/>
    </row>
    <row r="26" spans="1:14" ht="15.75" x14ac:dyDescent="0.2">
      <c r="A26" s="555" t="s">
        <v>365</v>
      </c>
      <c r="B26" s="277"/>
      <c r="C26" s="277"/>
      <c r="D26" s="165"/>
      <c r="E26" s="11"/>
      <c r="F26" s="286"/>
      <c r="G26" s="286"/>
      <c r="H26" s="165"/>
      <c r="I26" s="236"/>
      <c r="J26" s="286"/>
      <c r="K26" s="286"/>
      <c r="L26" s="165"/>
      <c r="M26" s="23"/>
    </row>
    <row r="27" spans="1:14" x14ac:dyDescent="0.2">
      <c r="A27" s="555" t="s">
        <v>11</v>
      </c>
      <c r="B27" s="277"/>
      <c r="C27" s="277"/>
      <c r="D27" s="165"/>
      <c r="E27" s="11"/>
      <c r="F27" s="286"/>
      <c r="G27" s="286"/>
      <c r="H27" s="165"/>
      <c r="I27" s="236"/>
      <c r="J27" s="286"/>
      <c r="K27" s="286"/>
      <c r="L27" s="165"/>
      <c r="M27" s="23"/>
    </row>
    <row r="28" spans="1:14" ht="15.75" x14ac:dyDescent="0.2">
      <c r="A28" s="49" t="s">
        <v>270</v>
      </c>
      <c r="B28" s="44"/>
      <c r="C28" s="283"/>
      <c r="D28" s="165"/>
      <c r="E28" s="11"/>
      <c r="F28" s="230"/>
      <c r="G28" s="283"/>
      <c r="H28" s="165"/>
      <c r="I28" s="174"/>
      <c r="J28" s="44"/>
      <c r="K28" s="44"/>
      <c r="L28" s="250"/>
      <c r="M28" s="23"/>
    </row>
    <row r="29" spans="1:14" s="3" customFormat="1" ht="15.75" x14ac:dyDescent="0.2">
      <c r="A29" s="13" t="s">
        <v>359</v>
      </c>
      <c r="B29" s="232"/>
      <c r="C29" s="232"/>
      <c r="D29" s="170"/>
      <c r="E29" s="11"/>
      <c r="F29" s="301"/>
      <c r="G29" s="301"/>
      <c r="H29" s="170"/>
      <c r="I29" s="159"/>
      <c r="J29" s="232"/>
      <c r="K29" s="232"/>
      <c r="L29" s="414"/>
      <c r="M29" s="24"/>
      <c r="N29" s="148"/>
    </row>
    <row r="30" spans="1:14" s="3" customFormat="1" ht="15.75" x14ac:dyDescent="0.2">
      <c r="A30" s="555" t="s">
        <v>362</v>
      </c>
      <c r="B30" s="277"/>
      <c r="C30" s="277"/>
      <c r="D30" s="165"/>
      <c r="E30" s="11"/>
      <c r="F30" s="286"/>
      <c r="G30" s="286"/>
      <c r="H30" s="165"/>
      <c r="I30" s="236"/>
      <c r="J30" s="286"/>
      <c r="K30" s="286"/>
      <c r="L30" s="165"/>
      <c r="M30" s="23"/>
      <c r="N30" s="148"/>
    </row>
    <row r="31" spans="1:14" s="3" customFormat="1" ht="15.75" x14ac:dyDescent="0.2">
      <c r="A31" s="555" t="s">
        <v>363</v>
      </c>
      <c r="B31" s="277"/>
      <c r="C31" s="277"/>
      <c r="D31" s="165"/>
      <c r="E31" s="11"/>
      <c r="F31" s="286"/>
      <c r="G31" s="286"/>
      <c r="H31" s="165"/>
      <c r="I31" s="236"/>
      <c r="J31" s="286"/>
      <c r="K31" s="286"/>
      <c r="L31" s="165"/>
      <c r="M31" s="23"/>
      <c r="N31" s="148"/>
    </row>
    <row r="32" spans="1:14" ht="15.75" x14ac:dyDescent="0.2">
      <c r="A32" s="555" t="s">
        <v>364</v>
      </c>
      <c r="B32" s="277"/>
      <c r="C32" s="277"/>
      <c r="D32" s="165"/>
      <c r="E32" s="11"/>
      <c r="F32" s="286"/>
      <c r="G32" s="286"/>
      <c r="H32" s="165"/>
      <c r="I32" s="236"/>
      <c r="J32" s="286"/>
      <c r="K32" s="286"/>
      <c r="L32" s="165"/>
      <c r="M32" s="23"/>
    </row>
    <row r="33" spans="1:14" ht="15.75" x14ac:dyDescent="0.2">
      <c r="A33" s="555" t="s">
        <v>365</v>
      </c>
      <c r="B33" s="277"/>
      <c r="C33" s="277"/>
      <c r="D33" s="165"/>
      <c r="E33" s="11"/>
      <c r="F33" s="286"/>
      <c r="G33" s="286"/>
      <c r="H33" s="165"/>
      <c r="I33" s="236"/>
      <c r="J33" s="286"/>
      <c r="K33" s="286"/>
      <c r="L33" s="165"/>
      <c r="M33" s="23"/>
    </row>
    <row r="34" spans="1:14" ht="15.75" x14ac:dyDescent="0.2">
      <c r="A34" s="13" t="s">
        <v>360</v>
      </c>
      <c r="B34" s="232"/>
      <c r="C34" s="302"/>
      <c r="D34" s="170"/>
      <c r="E34" s="11"/>
      <c r="F34" s="301"/>
      <c r="G34" s="302"/>
      <c r="H34" s="170"/>
      <c r="I34" s="159"/>
      <c r="J34" s="232"/>
      <c r="K34" s="232"/>
      <c r="L34" s="414"/>
      <c r="M34" s="24"/>
    </row>
    <row r="35" spans="1:14" ht="15.75" x14ac:dyDescent="0.2">
      <c r="A35" s="13" t="s">
        <v>361</v>
      </c>
      <c r="B35" s="232"/>
      <c r="C35" s="302"/>
      <c r="D35" s="170"/>
      <c r="E35" s="11"/>
      <c r="F35" s="301"/>
      <c r="G35" s="302"/>
      <c r="H35" s="170"/>
      <c r="I35" s="159"/>
      <c r="J35" s="232"/>
      <c r="K35" s="232"/>
      <c r="L35" s="414"/>
      <c r="M35" s="24"/>
    </row>
    <row r="36" spans="1:14" ht="15.75" x14ac:dyDescent="0.2">
      <c r="A36" s="12" t="s">
        <v>278</v>
      </c>
      <c r="B36" s="232"/>
      <c r="C36" s="302"/>
      <c r="D36" s="170"/>
      <c r="E36" s="11"/>
      <c r="F36" s="312"/>
      <c r="G36" s="313"/>
      <c r="H36" s="170"/>
      <c r="I36" s="416"/>
      <c r="J36" s="232"/>
      <c r="K36" s="232"/>
      <c r="L36" s="414"/>
      <c r="M36" s="24"/>
    </row>
    <row r="37" spans="1:14" ht="15.75" x14ac:dyDescent="0.2">
      <c r="A37" s="12" t="s">
        <v>367</v>
      </c>
      <c r="B37" s="232"/>
      <c r="C37" s="302"/>
      <c r="D37" s="170"/>
      <c r="E37" s="11"/>
      <c r="F37" s="312"/>
      <c r="G37" s="314"/>
      <c r="H37" s="170"/>
      <c r="I37" s="416"/>
      <c r="J37" s="232"/>
      <c r="K37" s="232"/>
      <c r="L37" s="414"/>
      <c r="M37" s="24"/>
    </row>
    <row r="38" spans="1:14" ht="15.75" x14ac:dyDescent="0.2">
      <c r="A38" s="12" t="s">
        <v>368</v>
      </c>
      <c r="B38" s="232"/>
      <c r="C38" s="302"/>
      <c r="D38" s="170"/>
      <c r="E38" s="24"/>
      <c r="F38" s="312"/>
      <c r="G38" s="313"/>
      <c r="H38" s="170"/>
      <c r="I38" s="416"/>
      <c r="J38" s="232"/>
      <c r="K38" s="232"/>
      <c r="L38" s="414"/>
      <c r="M38" s="24"/>
    </row>
    <row r="39" spans="1:14" ht="15.75" x14ac:dyDescent="0.2">
      <c r="A39" s="18" t="s">
        <v>369</v>
      </c>
      <c r="B39" s="272"/>
      <c r="C39" s="308"/>
      <c r="D39" s="168"/>
      <c r="E39" s="36"/>
      <c r="F39" s="315"/>
      <c r="G39" s="316"/>
      <c r="H39" s="168"/>
      <c r="I39" s="168"/>
      <c r="J39" s="232"/>
      <c r="K39" s="232"/>
      <c r="L39" s="415"/>
      <c r="M39" s="36"/>
    </row>
    <row r="40" spans="1:14" ht="15.75" x14ac:dyDescent="0.25">
      <c r="A40" s="47"/>
      <c r="B40" s="249"/>
      <c r="C40" s="249"/>
      <c r="D40" s="728"/>
      <c r="E40" s="728"/>
      <c r="F40" s="728"/>
      <c r="G40" s="728"/>
      <c r="H40" s="728"/>
      <c r="I40" s="728"/>
      <c r="J40" s="728"/>
      <c r="K40" s="728"/>
      <c r="L40" s="728"/>
      <c r="M40" s="630"/>
    </row>
    <row r="41" spans="1:14" x14ac:dyDescent="0.2">
      <c r="A41" s="154"/>
    </row>
    <row r="42" spans="1:14" ht="15.75" x14ac:dyDescent="0.25">
      <c r="A42" s="147" t="s">
        <v>267</v>
      </c>
      <c r="B42" s="729"/>
      <c r="C42" s="729"/>
      <c r="D42" s="729"/>
      <c r="E42" s="629"/>
      <c r="F42" s="730"/>
      <c r="G42" s="730"/>
      <c r="H42" s="730"/>
      <c r="I42" s="630"/>
      <c r="J42" s="730"/>
      <c r="K42" s="730"/>
      <c r="L42" s="730"/>
      <c r="M42" s="630"/>
    </row>
    <row r="43" spans="1:14" ht="15.75" x14ac:dyDescent="0.25">
      <c r="A43" s="162"/>
      <c r="B43" s="625"/>
      <c r="C43" s="625"/>
      <c r="D43" s="625"/>
      <c r="E43" s="625"/>
      <c r="F43" s="630"/>
      <c r="G43" s="630"/>
      <c r="H43" s="630"/>
      <c r="I43" s="630"/>
      <c r="J43" s="630"/>
      <c r="K43" s="630"/>
      <c r="L43" s="630"/>
      <c r="M43" s="630"/>
    </row>
    <row r="44" spans="1:14" ht="15.75" x14ac:dyDescent="0.25">
      <c r="A44" s="243"/>
      <c r="B44" s="725" t="s">
        <v>0</v>
      </c>
      <c r="C44" s="726"/>
      <c r="D44" s="726"/>
      <c r="E44" s="239"/>
      <c r="F44" s="630"/>
      <c r="G44" s="630"/>
      <c r="H44" s="630"/>
      <c r="I44" s="630"/>
      <c r="J44" s="630"/>
      <c r="K44" s="630"/>
      <c r="L44" s="630"/>
      <c r="M44" s="630"/>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v>47791</v>
      </c>
      <c r="C47" s="304">
        <v>49378</v>
      </c>
      <c r="D47" s="413">
        <f t="shared" ref="D47:D57" si="0">IF(B47=0, "    ---- ", IF(ABS(ROUND(100/B47*C47-100,1))&lt;999,ROUND(100/B47*C47-100,1),IF(ROUND(100/B47*C47-100,1)&gt;999,999,-999)))</f>
        <v>3.3</v>
      </c>
      <c r="E47" s="11">
        <f>IFERROR(100/'Skjema total MA'!C47*C47,0)</f>
        <v>1.4289720102506529</v>
      </c>
      <c r="F47" s="145"/>
      <c r="G47" s="33"/>
      <c r="H47" s="158"/>
      <c r="I47" s="158"/>
      <c r="J47" s="37"/>
      <c r="K47" s="37"/>
      <c r="L47" s="158"/>
      <c r="M47" s="158"/>
      <c r="N47" s="148"/>
    </row>
    <row r="48" spans="1:14" s="3" customFormat="1" ht="15.75" x14ac:dyDescent="0.2">
      <c r="A48" s="38" t="s">
        <v>370</v>
      </c>
      <c r="B48" s="277">
        <v>47791</v>
      </c>
      <c r="C48" s="278">
        <v>49378</v>
      </c>
      <c r="D48" s="250">
        <f t="shared" si="0"/>
        <v>3.3</v>
      </c>
      <c r="E48" s="27">
        <f>IFERROR(100/'Skjema total MA'!C48*C48,0)</f>
        <v>2.612995297662585</v>
      </c>
      <c r="F48" s="145"/>
      <c r="G48" s="33"/>
      <c r="H48" s="145"/>
      <c r="I48" s="145"/>
      <c r="J48" s="33"/>
      <c r="K48" s="33"/>
      <c r="L48" s="158"/>
      <c r="M48" s="158"/>
      <c r="N48" s="148"/>
    </row>
    <row r="49" spans="1:14" s="3" customFormat="1" ht="15.75" x14ac:dyDescent="0.2">
      <c r="A49" s="38" t="s">
        <v>371</v>
      </c>
      <c r="B49" s="44"/>
      <c r="C49" s="283"/>
      <c r="D49" s="250"/>
      <c r="E49" s="27"/>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v>1358</v>
      </c>
      <c r="C53" s="304"/>
      <c r="D53" s="250">
        <f t="shared" si="0"/>
        <v>-100</v>
      </c>
      <c r="E53" s="11">
        <f>IFERROR(100/'Skjema total MA'!C53*C53,0)</f>
        <v>0</v>
      </c>
      <c r="F53" s="145"/>
      <c r="G53" s="33"/>
      <c r="H53" s="145"/>
      <c r="I53" s="145"/>
      <c r="J53" s="33"/>
      <c r="K53" s="33"/>
      <c r="L53" s="158"/>
      <c r="M53" s="158"/>
      <c r="N53" s="148"/>
    </row>
    <row r="54" spans="1:14" s="3" customFormat="1" ht="15.75" x14ac:dyDescent="0.2">
      <c r="A54" s="38" t="s">
        <v>370</v>
      </c>
      <c r="B54" s="277">
        <v>1358</v>
      </c>
      <c r="C54" s="278"/>
      <c r="D54" s="250">
        <f t="shared" si="0"/>
        <v>-100</v>
      </c>
      <c r="E54" s="27">
        <f>IFERROR(100/'Skjema total MA'!C54*C54,0)</f>
        <v>0</v>
      </c>
      <c r="F54" s="145"/>
      <c r="G54" s="33"/>
      <c r="H54" s="145"/>
      <c r="I54" s="145"/>
      <c r="J54" s="33"/>
      <c r="K54" s="33"/>
      <c r="L54" s="158"/>
      <c r="M54" s="158"/>
      <c r="N54" s="148"/>
    </row>
    <row r="55" spans="1:14" s="3" customFormat="1" ht="15.75" x14ac:dyDescent="0.2">
      <c r="A55" s="38" t="s">
        <v>371</v>
      </c>
      <c r="B55" s="277"/>
      <c r="C55" s="278"/>
      <c r="D55" s="250"/>
      <c r="E55" s="27"/>
      <c r="F55" s="145"/>
      <c r="G55" s="33"/>
      <c r="H55" s="145"/>
      <c r="I55" s="145"/>
      <c r="J55" s="33"/>
      <c r="K55" s="33"/>
      <c r="L55" s="158"/>
      <c r="M55" s="158"/>
      <c r="N55" s="148"/>
    </row>
    <row r="56" spans="1:14" s="3" customFormat="1" ht="15.75" x14ac:dyDescent="0.2">
      <c r="A56" s="39" t="s">
        <v>373</v>
      </c>
      <c r="B56" s="303">
        <v>2214</v>
      </c>
      <c r="C56" s="304"/>
      <c r="D56" s="250">
        <f t="shared" si="0"/>
        <v>-100</v>
      </c>
      <c r="E56" s="11">
        <f>IFERROR(100/'Skjema total MA'!C56*C56,0)</f>
        <v>0</v>
      </c>
      <c r="F56" s="145"/>
      <c r="G56" s="33"/>
      <c r="H56" s="145"/>
      <c r="I56" s="145"/>
      <c r="J56" s="33"/>
      <c r="K56" s="33"/>
      <c r="L56" s="158"/>
      <c r="M56" s="158"/>
      <c r="N56" s="148"/>
    </row>
    <row r="57" spans="1:14" s="3" customFormat="1" ht="15.75" x14ac:dyDescent="0.2">
      <c r="A57" s="38" t="s">
        <v>370</v>
      </c>
      <c r="B57" s="277">
        <v>2214</v>
      </c>
      <c r="C57" s="278"/>
      <c r="D57" s="250">
        <f t="shared" si="0"/>
        <v>-100</v>
      </c>
      <c r="E57" s="27">
        <f>IFERROR(100/'Skjema total MA'!C57*C57,0)</f>
        <v>0</v>
      </c>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629"/>
      <c r="F62" s="724"/>
      <c r="G62" s="724"/>
      <c r="H62" s="724"/>
      <c r="I62" s="629"/>
      <c r="J62" s="724"/>
      <c r="K62" s="724"/>
      <c r="L62" s="724"/>
      <c r="M62" s="629"/>
    </row>
    <row r="63" spans="1:14" x14ac:dyDescent="0.2">
      <c r="A63" s="144"/>
      <c r="B63" s="725" t="s">
        <v>0</v>
      </c>
      <c r="C63" s="726"/>
      <c r="D63" s="727"/>
      <c r="E63" s="626"/>
      <c r="F63" s="726" t="s">
        <v>1</v>
      </c>
      <c r="G63" s="726"/>
      <c r="H63" s="726"/>
      <c r="I63" s="628"/>
      <c r="J63" s="725" t="s">
        <v>2</v>
      </c>
      <c r="K63" s="726"/>
      <c r="L63" s="726"/>
      <c r="M63" s="628"/>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c r="C66" s="343"/>
      <c r="D66" s="340"/>
      <c r="E66" s="11"/>
      <c r="F66" s="342"/>
      <c r="G66" s="342"/>
      <c r="H66" s="340"/>
      <c r="I66" s="11"/>
      <c r="J66" s="302"/>
      <c r="K66" s="309"/>
      <c r="L66" s="414"/>
      <c r="M66" s="11"/>
    </row>
    <row r="67" spans="1:14" x14ac:dyDescent="0.2">
      <c r="A67" s="21" t="s">
        <v>9</v>
      </c>
      <c r="B67" s="44"/>
      <c r="C67" s="145"/>
      <c r="D67" s="165"/>
      <c r="E67" s="27"/>
      <c r="F67" s="230"/>
      <c r="G67" s="145"/>
      <c r="H67" s="165"/>
      <c r="I67" s="27"/>
      <c r="J67" s="283"/>
      <c r="K67" s="44"/>
      <c r="L67" s="250"/>
      <c r="M67" s="27"/>
    </row>
    <row r="68" spans="1:14" x14ac:dyDescent="0.2">
      <c r="A68" s="21" t="s">
        <v>10</v>
      </c>
      <c r="B68" s="287"/>
      <c r="C68" s="288"/>
      <c r="D68" s="165"/>
      <c r="E68" s="27"/>
      <c r="F68" s="287"/>
      <c r="G68" s="288"/>
      <c r="H68" s="165"/>
      <c r="I68" s="27"/>
      <c r="J68" s="283"/>
      <c r="K68" s="44"/>
      <c r="L68" s="250"/>
      <c r="M68" s="27"/>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c r="C75" s="145"/>
      <c r="D75" s="165"/>
      <c r="E75" s="27"/>
      <c r="F75" s="230"/>
      <c r="G75" s="145"/>
      <c r="H75" s="165"/>
      <c r="I75" s="27"/>
      <c r="J75" s="283"/>
      <c r="K75" s="44"/>
      <c r="L75" s="250"/>
      <c r="M75" s="27"/>
      <c r="N75" s="148"/>
    </row>
    <row r="76" spans="1:14" s="3" customFormat="1" x14ac:dyDescent="0.2">
      <c r="A76" s="21" t="s">
        <v>343</v>
      </c>
      <c r="B76" s="230"/>
      <c r="C76" s="145"/>
      <c r="D76" s="165"/>
      <c r="E76" s="27"/>
      <c r="F76" s="230"/>
      <c r="G76" s="145"/>
      <c r="H76" s="165"/>
      <c r="I76" s="27"/>
      <c r="J76" s="283"/>
      <c r="K76" s="44"/>
      <c r="L76" s="250"/>
      <c r="M76" s="27"/>
      <c r="N76" s="148"/>
    </row>
    <row r="77" spans="1:14" ht="15.75" x14ac:dyDescent="0.2">
      <c r="A77" s="21" t="s">
        <v>376</v>
      </c>
      <c r="B77" s="230"/>
      <c r="C77" s="230"/>
      <c r="D77" s="165"/>
      <c r="E77" s="27"/>
      <c r="F77" s="230"/>
      <c r="G77" s="145"/>
      <c r="H77" s="165"/>
      <c r="I77" s="27"/>
      <c r="J77" s="283"/>
      <c r="K77" s="44"/>
      <c r="L77" s="250"/>
      <c r="M77" s="27"/>
    </row>
    <row r="78" spans="1:14" x14ac:dyDescent="0.2">
      <c r="A78" s="21" t="s">
        <v>9</v>
      </c>
      <c r="B78" s="230"/>
      <c r="C78" s="145"/>
      <c r="D78" s="165"/>
      <c r="E78" s="27"/>
      <c r="F78" s="230"/>
      <c r="G78" s="145"/>
      <c r="H78" s="165"/>
      <c r="I78" s="27"/>
      <c r="J78" s="283"/>
      <c r="K78" s="44"/>
      <c r="L78" s="250"/>
      <c r="M78" s="27"/>
    </row>
    <row r="79" spans="1:14" x14ac:dyDescent="0.2">
      <c r="A79" s="38" t="s">
        <v>413</v>
      </c>
      <c r="B79" s="287"/>
      <c r="C79" s="288"/>
      <c r="D79" s="165"/>
      <c r="E79" s="27"/>
      <c r="F79" s="287"/>
      <c r="G79" s="288"/>
      <c r="H79" s="165"/>
      <c r="I79" s="27"/>
      <c r="J79" s="283"/>
      <c r="K79" s="44"/>
      <c r="L79" s="250"/>
      <c r="M79" s="27"/>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c r="C86" s="145"/>
      <c r="D86" s="165"/>
      <c r="E86" s="27"/>
      <c r="F86" s="230"/>
      <c r="G86" s="145"/>
      <c r="H86" s="165"/>
      <c r="I86" s="27"/>
      <c r="J86" s="283"/>
      <c r="K86" s="44"/>
      <c r="L86" s="250"/>
      <c r="M86" s="27"/>
    </row>
    <row r="87" spans="1:13" ht="15.75" x14ac:dyDescent="0.2">
      <c r="A87" s="13" t="s">
        <v>359</v>
      </c>
      <c r="B87" s="343"/>
      <c r="C87" s="343"/>
      <c r="D87" s="170"/>
      <c r="E87" s="11"/>
      <c r="F87" s="342"/>
      <c r="G87" s="342"/>
      <c r="H87" s="170"/>
      <c r="I87" s="11"/>
      <c r="J87" s="302"/>
      <c r="K87" s="232"/>
      <c r="L87" s="414"/>
      <c r="M87" s="11"/>
    </row>
    <row r="88" spans="1:13" x14ac:dyDescent="0.2">
      <c r="A88" s="21" t="s">
        <v>9</v>
      </c>
      <c r="B88" s="230"/>
      <c r="C88" s="145"/>
      <c r="D88" s="165"/>
      <c r="E88" s="27"/>
      <c r="F88" s="230"/>
      <c r="G88" s="145"/>
      <c r="H88" s="165"/>
      <c r="I88" s="27"/>
      <c r="J88" s="283"/>
      <c r="K88" s="44"/>
      <c r="L88" s="250"/>
      <c r="M88" s="27"/>
    </row>
    <row r="89" spans="1:13" x14ac:dyDescent="0.2">
      <c r="A89" s="21" t="s">
        <v>10</v>
      </c>
      <c r="B89" s="230"/>
      <c r="C89" s="145"/>
      <c r="D89" s="165"/>
      <c r="E89" s="27"/>
      <c r="F89" s="230"/>
      <c r="G89" s="145"/>
      <c r="H89" s="165"/>
      <c r="I89" s="27"/>
      <c r="J89" s="283"/>
      <c r="K89" s="44"/>
      <c r="L89" s="250"/>
      <c r="M89" s="27"/>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c r="C97" s="145"/>
      <c r="D97" s="165"/>
      <c r="E97" s="27"/>
      <c r="F97" s="230"/>
      <c r="G97" s="145"/>
      <c r="H97" s="165"/>
      <c r="I97" s="27"/>
      <c r="J97" s="283"/>
      <c r="K97" s="44"/>
      <c r="L97" s="250"/>
      <c r="M97" s="27"/>
    </row>
    <row r="98" spans="1:13" ht="15.75" x14ac:dyDescent="0.2">
      <c r="A98" s="21" t="s">
        <v>376</v>
      </c>
      <c r="B98" s="230"/>
      <c r="C98" s="230"/>
      <c r="D98" s="165"/>
      <c r="E98" s="27"/>
      <c r="F98" s="287"/>
      <c r="G98" s="287"/>
      <c r="H98" s="165"/>
      <c r="I98" s="27"/>
      <c r="J98" s="283"/>
      <c r="K98" s="44"/>
      <c r="L98" s="250"/>
      <c r="M98" s="27"/>
    </row>
    <row r="99" spans="1:13" x14ac:dyDescent="0.2">
      <c r="A99" s="21" t="s">
        <v>9</v>
      </c>
      <c r="B99" s="287"/>
      <c r="C99" s="288"/>
      <c r="D99" s="165"/>
      <c r="E99" s="27"/>
      <c r="F99" s="230"/>
      <c r="G99" s="145"/>
      <c r="H99" s="165"/>
      <c r="I99" s="27"/>
      <c r="J99" s="283"/>
      <c r="K99" s="44"/>
      <c r="L99" s="250"/>
      <c r="M99" s="27"/>
    </row>
    <row r="100" spans="1:13" x14ac:dyDescent="0.2">
      <c r="A100" s="38" t="s">
        <v>413</v>
      </c>
      <c r="B100" s="287"/>
      <c r="C100" s="288"/>
      <c r="D100" s="165"/>
      <c r="E100" s="27"/>
      <c r="F100" s="230"/>
      <c r="G100" s="230"/>
      <c r="H100" s="165"/>
      <c r="I100" s="27"/>
      <c r="J100" s="283"/>
      <c r="K100" s="44"/>
      <c r="L100" s="250"/>
      <c r="M100" s="27"/>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c r="C107" s="145"/>
      <c r="D107" s="165"/>
      <c r="E107" s="27"/>
      <c r="F107" s="230"/>
      <c r="G107" s="145"/>
      <c r="H107" s="165"/>
      <c r="I107" s="27"/>
      <c r="J107" s="283"/>
      <c r="K107" s="44"/>
      <c r="L107" s="250"/>
      <c r="M107" s="27"/>
    </row>
    <row r="108" spans="1:13" ht="15.75" x14ac:dyDescent="0.2">
      <c r="A108" s="21" t="s">
        <v>378</v>
      </c>
      <c r="B108" s="230"/>
      <c r="C108" s="230"/>
      <c r="D108" s="165"/>
      <c r="E108" s="27"/>
      <c r="F108" s="230"/>
      <c r="G108" s="230"/>
      <c r="H108" s="165"/>
      <c r="I108" s="27"/>
      <c r="J108" s="283"/>
      <c r="K108" s="44"/>
      <c r="L108" s="250"/>
      <c r="M108" s="27"/>
    </row>
    <row r="109" spans="1:13" ht="15.6" customHeight="1" x14ac:dyDescent="0.2">
      <c r="A109" s="21" t="s">
        <v>430</v>
      </c>
      <c r="B109" s="230"/>
      <c r="C109" s="230"/>
      <c r="D109" s="165"/>
      <c r="E109" s="27"/>
      <c r="F109" s="230"/>
      <c r="G109" s="230"/>
      <c r="H109" s="165"/>
      <c r="I109" s="27"/>
      <c r="J109" s="283"/>
      <c r="K109" s="44"/>
      <c r="L109" s="250"/>
      <c r="M109" s="27"/>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c r="C111" s="158"/>
      <c r="D111" s="170"/>
      <c r="E111" s="11"/>
      <c r="F111" s="301"/>
      <c r="G111" s="158"/>
      <c r="H111" s="170"/>
      <c r="I111" s="11"/>
      <c r="J111" s="302"/>
      <c r="K111" s="232"/>
      <c r="L111" s="414"/>
      <c r="M111" s="11"/>
    </row>
    <row r="112" spans="1:13" x14ac:dyDescent="0.2">
      <c r="A112" s="21" t="s">
        <v>9</v>
      </c>
      <c r="B112" s="230"/>
      <c r="C112" s="145"/>
      <c r="D112" s="165"/>
      <c r="E112" s="27"/>
      <c r="F112" s="230"/>
      <c r="G112" s="145"/>
      <c r="H112" s="165"/>
      <c r="I112" s="27"/>
      <c r="J112" s="283"/>
      <c r="K112" s="44"/>
      <c r="L112" s="250"/>
      <c r="M112" s="27"/>
    </row>
    <row r="113" spans="1:14" x14ac:dyDescent="0.2">
      <c r="A113" s="21" t="s">
        <v>10</v>
      </c>
      <c r="B113" s="230"/>
      <c r="C113" s="145"/>
      <c r="D113" s="165"/>
      <c r="E113" s="27"/>
      <c r="F113" s="230"/>
      <c r="G113" s="145"/>
      <c r="H113" s="165"/>
      <c r="I113" s="27"/>
      <c r="J113" s="283"/>
      <c r="K113" s="44"/>
      <c r="L113" s="250"/>
      <c r="M113" s="27"/>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c r="C116" s="230"/>
      <c r="D116" s="165"/>
      <c r="E116" s="27"/>
      <c r="F116" s="230"/>
      <c r="G116" s="230"/>
      <c r="H116" s="165"/>
      <c r="I116" s="27"/>
      <c r="J116" s="283"/>
      <c r="K116" s="44"/>
      <c r="L116" s="250"/>
      <c r="M116" s="27"/>
    </row>
    <row r="117" spans="1:14" ht="15.6" customHeight="1" x14ac:dyDescent="0.2">
      <c r="A117" s="21" t="s">
        <v>430</v>
      </c>
      <c r="B117" s="230"/>
      <c r="C117" s="230"/>
      <c r="D117" s="165"/>
      <c r="E117" s="27"/>
      <c r="F117" s="230"/>
      <c r="G117" s="230"/>
      <c r="H117" s="165"/>
      <c r="I117" s="27"/>
      <c r="J117" s="283"/>
      <c r="K117" s="44"/>
      <c r="L117" s="250"/>
      <c r="M117" s="27"/>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c r="C119" s="158"/>
      <c r="D119" s="170"/>
      <c r="E119" s="11"/>
      <c r="F119" s="301"/>
      <c r="G119" s="158"/>
      <c r="H119" s="170"/>
      <c r="I119" s="11"/>
      <c r="J119" s="302"/>
      <c r="K119" s="232"/>
      <c r="L119" s="414"/>
      <c r="M119" s="11"/>
    </row>
    <row r="120" spans="1:14" x14ac:dyDescent="0.2">
      <c r="A120" s="21" t="s">
        <v>9</v>
      </c>
      <c r="B120" s="230"/>
      <c r="C120" s="145"/>
      <c r="D120" s="165"/>
      <c r="E120" s="27"/>
      <c r="F120" s="230"/>
      <c r="G120" s="145"/>
      <c r="H120" s="165"/>
      <c r="I120" s="27"/>
      <c r="J120" s="283"/>
      <c r="K120" s="44"/>
      <c r="L120" s="250"/>
      <c r="M120" s="27"/>
    </row>
    <row r="121" spans="1:14" x14ac:dyDescent="0.2">
      <c r="A121" s="21" t="s">
        <v>10</v>
      </c>
      <c r="B121" s="230"/>
      <c r="C121" s="145"/>
      <c r="D121" s="165"/>
      <c r="E121" s="27"/>
      <c r="F121" s="230"/>
      <c r="G121" s="145"/>
      <c r="H121" s="165"/>
      <c r="I121" s="27"/>
      <c r="J121" s="283"/>
      <c r="K121" s="44"/>
      <c r="L121" s="250"/>
      <c r="M121" s="27"/>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c r="C125" s="230"/>
      <c r="D125" s="165"/>
      <c r="E125" s="27"/>
      <c r="F125" s="230"/>
      <c r="G125" s="230"/>
      <c r="H125" s="165"/>
      <c r="I125" s="27"/>
      <c r="J125" s="283"/>
      <c r="K125" s="44"/>
      <c r="L125" s="250"/>
      <c r="M125" s="27"/>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629"/>
      <c r="F130" s="724"/>
      <c r="G130" s="724"/>
      <c r="H130" s="724"/>
      <c r="I130" s="629"/>
      <c r="J130" s="724"/>
      <c r="K130" s="724"/>
      <c r="L130" s="724"/>
      <c r="M130" s="629"/>
    </row>
    <row r="131" spans="1:14" s="3" customFormat="1" x14ac:dyDescent="0.2">
      <c r="A131" s="144"/>
      <c r="B131" s="725" t="s">
        <v>0</v>
      </c>
      <c r="C131" s="726"/>
      <c r="D131" s="726"/>
      <c r="E131" s="627"/>
      <c r="F131" s="725" t="s">
        <v>1</v>
      </c>
      <c r="G131" s="726"/>
      <c r="H131" s="726"/>
      <c r="I131" s="628"/>
      <c r="J131" s="725" t="s">
        <v>2</v>
      </c>
      <c r="K131" s="726"/>
      <c r="L131" s="726"/>
      <c r="M131" s="628"/>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c r="C134" s="302"/>
      <c r="D134" s="340"/>
      <c r="E134" s="11"/>
      <c r="F134" s="309"/>
      <c r="G134" s="310"/>
      <c r="H134" s="417"/>
      <c r="I134" s="24"/>
      <c r="J134" s="311"/>
      <c r="K134" s="311"/>
      <c r="L134" s="413"/>
      <c r="M134" s="11"/>
      <c r="N134" s="148"/>
    </row>
    <row r="135" spans="1:14" s="3" customFormat="1" ht="15.75" x14ac:dyDescent="0.2">
      <c r="A135" s="13" t="s">
        <v>386</v>
      </c>
      <c r="B135" s="232"/>
      <c r="C135" s="302"/>
      <c r="D135" s="170"/>
      <c r="E135" s="11"/>
      <c r="F135" s="232"/>
      <c r="G135" s="302"/>
      <c r="H135" s="418"/>
      <c r="I135" s="24"/>
      <c r="J135" s="301"/>
      <c r="K135" s="301"/>
      <c r="L135" s="414"/>
      <c r="M135" s="11"/>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A50:A52">
    <cfRule type="expression" dxfId="419" priority="7">
      <formula>kvartal &lt; 4</formula>
    </cfRule>
  </conditionalFormatting>
  <conditionalFormatting sqref="A69:A74">
    <cfRule type="expression" dxfId="418" priority="6">
      <formula>kvartal &lt; 4</formula>
    </cfRule>
  </conditionalFormatting>
  <conditionalFormatting sqref="A80:A85">
    <cfRule type="expression" dxfId="417" priority="5">
      <formula>kvartal &lt; 4</formula>
    </cfRule>
  </conditionalFormatting>
  <conditionalFormatting sqref="A90:A95">
    <cfRule type="expression" dxfId="416" priority="4">
      <formula>kvartal &lt; 4</formula>
    </cfRule>
  </conditionalFormatting>
  <conditionalFormatting sqref="A101:A106">
    <cfRule type="expression" dxfId="415" priority="3">
      <formula>kvartal &lt; 4</formula>
    </cfRule>
  </conditionalFormatting>
  <conditionalFormatting sqref="A115">
    <cfRule type="expression" dxfId="414" priority="2">
      <formula>kvartal &lt; 4</formula>
    </cfRule>
  </conditionalFormatting>
  <conditionalFormatting sqref="A123">
    <cfRule type="expression" dxfId="413" priority="1">
      <formula>kvartal &lt; 4</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N144"/>
  <sheetViews>
    <sheetView showGridLines="0" zoomScaleNormal="100" workbookViewId="0"/>
  </sheetViews>
  <sheetFormatPr baseColWidth="10" defaultColWidth="11.42578125" defaultRowHeight="12.75" x14ac:dyDescent="0.2"/>
  <cols>
    <col min="1" max="1" width="45.8554687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1" t="s">
        <v>131</v>
      </c>
      <c r="B1" s="699"/>
      <c r="C1" s="244" t="s">
        <v>83</v>
      </c>
      <c r="D1" s="26"/>
      <c r="E1" s="26"/>
      <c r="F1" s="26"/>
      <c r="G1" s="26"/>
      <c r="H1" s="26"/>
      <c r="I1" s="26"/>
      <c r="J1" s="26"/>
      <c r="K1" s="26"/>
      <c r="L1" s="26"/>
      <c r="M1" s="26"/>
    </row>
    <row r="2" spans="1:14" ht="15.75" x14ac:dyDescent="0.25">
      <c r="A2" s="164" t="s">
        <v>28</v>
      </c>
      <c r="B2" s="729"/>
      <c r="C2" s="729"/>
      <c r="D2" s="729"/>
      <c r="E2" s="392"/>
      <c r="F2" s="729"/>
      <c r="G2" s="729"/>
      <c r="H2" s="729"/>
      <c r="I2" s="392"/>
      <c r="J2" s="729"/>
      <c r="K2" s="729"/>
      <c r="L2" s="729"/>
      <c r="M2" s="392"/>
    </row>
    <row r="3" spans="1:14" ht="15.75" x14ac:dyDescent="0.25">
      <c r="A3" s="162"/>
      <c r="B3" s="392"/>
      <c r="C3" s="392"/>
      <c r="D3" s="392"/>
      <c r="E3" s="392"/>
      <c r="F3" s="392"/>
      <c r="G3" s="392"/>
      <c r="H3" s="392"/>
      <c r="I3" s="392"/>
      <c r="J3" s="392"/>
      <c r="K3" s="392"/>
      <c r="L3" s="392"/>
      <c r="M3" s="392"/>
    </row>
    <row r="4" spans="1:14" x14ac:dyDescent="0.2">
      <c r="A4" s="144"/>
      <c r="B4" s="725" t="s">
        <v>0</v>
      </c>
      <c r="C4" s="726"/>
      <c r="D4" s="726"/>
      <c r="E4" s="391"/>
      <c r="F4" s="725" t="s">
        <v>1</v>
      </c>
      <c r="G4" s="726"/>
      <c r="H4" s="726"/>
      <c r="I4" s="394"/>
      <c r="J4" s="725" t="s">
        <v>2</v>
      </c>
      <c r="K4" s="726"/>
      <c r="L4" s="726"/>
      <c r="M4" s="394"/>
    </row>
    <row r="5" spans="1:14" x14ac:dyDescent="0.2">
      <c r="A5" s="157"/>
      <c r="B5" s="20">
        <v>44286</v>
      </c>
      <c r="C5" s="20">
        <v>44651</v>
      </c>
      <c r="D5" s="241" t="s">
        <v>3</v>
      </c>
      <c r="E5" s="298" t="s">
        <v>29</v>
      </c>
      <c r="F5" s="20">
        <v>44286</v>
      </c>
      <c r="G5" s="20">
        <v>44651</v>
      </c>
      <c r="H5" s="241" t="s">
        <v>3</v>
      </c>
      <c r="I5" s="161" t="s">
        <v>29</v>
      </c>
      <c r="J5" s="20">
        <v>44286</v>
      </c>
      <c r="K5" s="20">
        <v>44651</v>
      </c>
      <c r="L5" s="241" t="s">
        <v>3</v>
      </c>
      <c r="M5" s="161" t="s">
        <v>29</v>
      </c>
    </row>
    <row r="6" spans="1:14" x14ac:dyDescent="0.2">
      <c r="A6" s="700"/>
      <c r="B6" s="155"/>
      <c r="C6" s="155"/>
      <c r="D6" s="242" t="s">
        <v>4</v>
      </c>
      <c r="E6" s="155" t="s">
        <v>30</v>
      </c>
      <c r="F6" s="160"/>
      <c r="G6" s="160"/>
      <c r="H6" s="241" t="s">
        <v>4</v>
      </c>
      <c r="I6" s="155" t="s">
        <v>30</v>
      </c>
      <c r="J6" s="160"/>
      <c r="K6" s="160"/>
      <c r="L6" s="241" t="s">
        <v>4</v>
      </c>
      <c r="M6" s="155" t="s">
        <v>30</v>
      </c>
    </row>
    <row r="7" spans="1:14" ht="15.75" x14ac:dyDescent="0.2">
      <c r="A7" s="14" t="s">
        <v>23</v>
      </c>
      <c r="B7" s="299">
        <v>64910.955999999998</v>
      </c>
      <c r="C7" s="300">
        <v>70325.103000000003</v>
      </c>
      <c r="D7" s="340">
        <f>IF(B7=0, "    ---- ", IF(ABS(ROUND(100/B7*C7-100,1))&lt;999,ROUND(100/B7*C7-100,1),IF(ROUND(100/B7*C7-100,1)&gt;999,999,-999)))</f>
        <v>8.3000000000000007</v>
      </c>
      <c r="E7" s="11">
        <f>IFERROR(100/'Skjema total MA'!C7*C7,0)</f>
        <v>4.0565864186445841</v>
      </c>
      <c r="F7" s="299">
        <v>78207.692999999999</v>
      </c>
      <c r="G7" s="300">
        <v>63670.896000000001</v>
      </c>
      <c r="H7" s="340">
        <f>IF(F7=0, "    ---- ", IF(ABS(ROUND(100/F7*G7-100,1))&lt;999,ROUND(100/F7*G7-100,1),IF(ROUND(100/F7*G7-100,1)&gt;999,999,-999)))</f>
        <v>-18.600000000000001</v>
      </c>
      <c r="I7" s="159">
        <f>IFERROR(100/'Skjema total MA'!F7*G7,0)</f>
        <v>1.8535808255927537</v>
      </c>
      <c r="J7" s="301">
        <f t="shared" ref="J7:K12" si="0">SUM(B7,F7)</f>
        <v>143118.649</v>
      </c>
      <c r="K7" s="302">
        <f t="shared" si="0"/>
        <v>133995.99900000001</v>
      </c>
      <c r="L7" s="413">
        <f>IF(J7=0, "    ---- ", IF(ABS(ROUND(100/J7*K7-100,1))&lt;999,ROUND(100/J7*K7-100,1),IF(ROUND(100/J7*K7-100,1)&gt;999,999,-999)))</f>
        <v>-6.4</v>
      </c>
      <c r="M7" s="11">
        <f>IFERROR(100/'Skjema total MA'!I7*K7,0)</f>
        <v>2.5924886779702554</v>
      </c>
    </row>
    <row r="8" spans="1:14" ht="15.75" x14ac:dyDescent="0.2">
      <c r="A8" s="21" t="s">
        <v>25</v>
      </c>
      <c r="B8" s="277">
        <v>34190.728000000003</v>
      </c>
      <c r="C8" s="278">
        <v>34642.008999999998</v>
      </c>
      <c r="D8" s="165">
        <f t="shared" ref="D8:D10" si="1">IF(B8=0, "    ---- ", IF(ABS(ROUND(100/B8*C8-100,1))&lt;999,ROUND(100/B8*C8-100,1),IF(ROUND(100/B8*C8-100,1)&gt;999,999,-999)))</f>
        <v>1.3</v>
      </c>
      <c r="E8" s="27">
        <f>IFERROR(100/'Skjema total MA'!C8*C8,0)</f>
        <v>2.9786850327240804</v>
      </c>
      <c r="F8" s="281"/>
      <c r="G8" s="282"/>
      <c r="H8" s="165"/>
      <c r="I8" s="174"/>
      <c r="J8" s="230">
        <f t="shared" si="0"/>
        <v>34190.728000000003</v>
      </c>
      <c r="K8" s="283">
        <f t="shared" si="0"/>
        <v>34642.008999999998</v>
      </c>
      <c r="L8" s="165">
        <f t="shared" ref="L8:L9" si="2">IF(J8=0, "    ---- ", IF(ABS(ROUND(100/J8*K8-100,1))&lt;999,ROUND(100/J8*K8-100,1),IF(ROUND(100/J8*K8-100,1)&gt;999,999,-999)))</f>
        <v>1.3</v>
      </c>
      <c r="M8" s="27">
        <f>IFERROR(100/'Skjema total MA'!I8*K8,0)</f>
        <v>2.9786850327240804</v>
      </c>
    </row>
    <row r="9" spans="1:14" ht="15.75" x14ac:dyDescent="0.2">
      <c r="A9" s="21" t="s">
        <v>24</v>
      </c>
      <c r="B9" s="277">
        <v>16292.036</v>
      </c>
      <c r="C9" s="278">
        <v>15652.297</v>
      </c>
      <c r="D9" s="165">
        <f t="shared" si="1"/>
        <v>-3.9</v>
      </c>
      <c r="E9" s="27">
        <f>IFERROR(100/'Skjema total MA'!C9*C9,0)</f>
        <v>4.3278671438092591</v>
      </c>
      <c r="F9" s="281"/>
      <c r="G9" s="282"/>
      <c r="H9" s="165"/>
      <c r="I9" s="174"/>
      <c r="J9" s="230">
        <f t="shared" si="0"/>
        <v>16292.036</v>
      </c>
      <c r="K9" s="283">
        <f t="shared" si="0"/>
        <v>15652.297</v>
      </c>
      <c r="L9" s="165">
        <f t="shared" si="2"/>
        <v>-3.9</v>
      </c>
      <c r="M9" s="27">
        <f>IFERROR(100/'Skjema total MA'!I9*K9,0)</f>
        <v>4.3278671438092591</v>
      </c>
    </row>
    <row r="10" spans="1:14" ht="15.75" x14ac:dyDescent="0.2">
      <c r="A10" s="13" t="s">
        <v>359</v>
      </c>
      <c r="B10" s="303">
        <v>315030.31199999998</v>
      </c>
      <c r="C10" s="304">
        <v>285847.37099999998</v>
      </c>
      <c r="D10" s="170">
        <f t="shared" si="1"/>
        <v>-9.3000000000000007</v>
      </c>
      <c r="E10" s="11">
        <f>IFERROR(100/'Skjema total MA'!C10*C10,0)</f>
        <v>1.742323583086713</v>
      </c>
      <c r="F10" s="303">
        <v>2937767.1239999998</v>
      </c>
      <c r="G10" s="304">
        <v>3090186.1639999999</v>
      </c>
      <c r="H10" s="170">
        <f t="shared" ref="H10:H12" si="3">IF(F10=0, "    ---- ", IF(ABS(ROUND(100/F10*G10-100,1))&lt;999,ROUND(100/F10*G10-100,1),IF(ROUND(100/F10*G10-100,1)&gt;999,999,-999)))</f>
        <v>5.2</v>
      </c>
      <c r="I10" s="159">
        <f>IFERROR(100/'Skjema total MA'!F10*G10,0)</f>
        <v>4.1241390812225562</v>
      </c>
      <c r="J10" s="301">
        <f t="shared" si="0"/>
        <v>3252797.4359999998</v>
      </c>
      <c r="K10" s="302">
        <f t="shared" si="0"/>
        <v>3376033.5349999997</v>
      </c>
      <c r="L10" s="414">
        <f t="shared" ref="L10:L12" si="4">IF(J10=0, "    ---- ", IF(ABS(ROUND(100/J10*K10-100,1))&lt;999,ROUND(100/J10*K10-100,1),IF(ROUND(100/J10*K10-100,1)&gt;999,999,-999)))</f>
        <v>3.8</v>
      </c>
      <c r="M10" s="11">
        <f>IFERROR(100/'Skjema total MA'!I10*K10,0)</f>
        <v>3.6963057289162373</v>
      </c>
    </row>
    <row r="11" spans="1:14" s="43" customFormat="1" ht="15.75" x14ac:dyDescent="0.2">
      <c r="A11" s="13" t="s">
        <v>360</v>
      </c>
      <c r="B11" s="303"/>
      <c r="C11" s="304"/>
      <c r="D11" s="170"/>
      <c r="E11" s="11"/>
      <c r="F11" s="303">
        <v>843.24300000000005</v>
      </c>
      <c r="G11" s="304">
        <v>3492.0790000000002</v>
      </c>
      <c r="H11" s="170">
        <f t="shared" si="3"/>
        <v>314.10000000000002</v>
      </c>
      <c r="I11" s="159">
        <f>IFERROR(100/'Skjema total MA'!F11*G11,0)</f>
        <v>1.1654920312480008</v>
      </c>
      <c r="J11" s="301">
        <f t="shared" si="0"/>
        <v>843.24300000000005</v>
      </c>
      <c r="K11" s="302">
        <f t="shared" si="0"/>
        <v>3492.0790000000002</v>
      </c>
      <c r="L11" s="414">
        <f t="shared" si="4"/>
        <v>314.10000000000002</v>
      </c>
      <c r="M11" s="11">
        <f>IFERROR(100/'Skjema total MA'!I11*K11,0)</f>
        <v>1.1031544077012176</v>
      </c>
      <c r="N11" s="143"/>
    </row>
    <row r="12" spans="1:14" s="43" customFormat="1" ht="15.75" x14ac:dyDescent="0.2">
      <c r="A12" s="41" t="s">
        <v>361</v>
      </c>
      <c r="B12" s="305"/>
      <c r="C12" s="306"/>
      <c r="D12" s="168"/>
      <c r="E12" s="36"/>
      <c r="F12" s="305">
        <v>6122.3879999999999</v>
      </c>
      <c r="G12" s="306">
        <v>13066.204</v>
      </c>
      <c r="H12" s="168">
        <f t="shared" si="3"/>
        <v>113.4</v>
      </c>
      <c r="I12" s="168">
        <f>IFERROR(100/'Skjema total MA'!F12*G12,0)</f>
        <v>24.208862622216547</v>
      </c>
      <c r="J12" s="307">
        <f t="shared" si="0"/>
        <v>6122.3879999999999</v>
      </c>
      <c r="K12" s="308">
        <f t="shared" si="0"/>
        <v>13066.204</v>
      </c>
      <c r="L12" s="415">
        <f t="shared" si="4"/>
        <v>113.4</v>
      </c>
      <c r="M12" s="36">
        <f>IFERROR(100/'Skjema total MA'!I12*K12,0)</f>
        <v>23.530108998104698</v>
      </c>
      <c r="N12" s="143"/>
    </row>
    <row r="13" spans="1:14" s="43" customFormat="1" x14ac:dyDescent="0.2">
      <c r="A13" s="167"/>
      <c r="B13" s="145"/>
      <c r="C13" s="33"/>
      <c r="D13" s="158"/>
      <c r="E13" s="158"/>
      <c r="F13" s="145"/>
      <c r="G13" s="33"/>
      <c r="H13" s="158"/>
      <c r="I13" s="158"/>
      <c r="J13" s="48"/>
      <c r="K13" s="48"/>
      <c r="L13" s="158"/>
      <c r="M13" s="158"/>
      <c r="N13" s="143"/>
    </row>
    <row r="14" spans="1:14" x14ac:dyDescent="0.2">
      <c r="A14" s="152" t="s">
        <v>269</v>
      </c>
      <c r="B14" s="26"/>
    </row>
    <row r="15" spans="1:14" x14ac:dyDescent="0.2">
      <c r="F15" s="146"/>
      <c r="G15" s="146"/>
      <c r="H15" s="146"/>
      <c r="I15" s="146"/>
      <c r="J15" s="146"/>
      <c r="K15" s="146"/>
      <c r="L15" s="146"/>
      <c r="M15" s="146"/>
    </row>
    <row r="16" spans="1:14" s="3" customFormat="1" ht="15.75" x14ac:dyDescent="0.25">
      <c r="A16" s="163"/>
      <c r="B16" s="148"/>
      <c r="C16" s="153"/>
      <c r="D16" s="153"/>
      <c r="E16" s="153"/>
      <c r="F16" s="153"/>
      <c r="G16" s="153"/>
      <c r="H16" s="153"/>
      <c r="I16" s="153"/>
      <c r="J16" s="153"/>
      <c r="K16" s="153"/>
      <c r="L16" s="153"/>
      <c r="M16" s="153"/>
      <c r="N16" s="148"/>
    </row>
    <row r="17" spans="1:14" ht="15.75" x14ac:dyDescent="0.25">
      <c r="A17" s="147" t="s">
        <v>266</v>
      </c>
      <c r="B17" s="156"/>
      <c r="C17" s="156"/>
      <c r="D17" s="151"/>
      <c r="E17" s="151"/>
      <c r="F17" s="156"/>
      <c r="G17" s="156"/>
      <c r="H17" s="156"/>
      <c r="I17" s="156"/>
      <c r="J17" s="156"/>
      <c r="K17" s="156"/>
      <c r="L17" s="156"/>
      <c r="M17" s="156"/>
    </row>
    <row r="18" spans="1:14" ht="15.75" x14ac:dyDescent="0.25">
      <c r="B18" s="724"/>
      <c r="C18" s="724"/>
      <c r="D18" s="724"/>
      <c r="E18" s="392"/>
      <c r="F18" s="724"/>
      <c r="G18" s="724"/>
      <c r="H18" s="724"/>
      <c r="I18" s="392"/>
      <c r="J18" s="724"/>
      <c r="K18" s="724"/>
      <c r="L18" s="724"/>
      <c r="M18" s="392"/>
    </row>
    <row r="19" spans="1:14" x14ac:dyDescent="0.2">
      <c r="A19" s="144"/>
      <c r="B19" s="725" t="s">
        <v>0</v>
      </c>
      <c r="C19" s="726"/>
      <c r="D19" s="726"/>
      <c r="E19" s="391"/>
      <c r="F19" s="725" t="s">
        <v>1</v>
      </c>
      <c r="G19" s="726"/>
      <c r="H19" s="726"/>
      <c r="I19" s="394"/>
      <c r="J19" s="725" t="s">
        <v>2</v>
      </c>
      <c r="K19" s="726"/>
      <c r="L19" s="726"/>
      <c r="M19" s="394"/>
    </row>
    <row r="20" spans="1:14" x14ac:dyDescent="0.2">
      <c r="A20" s="140" t="s">
        <v>5</v>
      </c>
      <c r="B20" s="20">
        <v>44286</v>
      </c>
      <c r="C20" s="20">
        <v>44651</v>
      </c>
      <c r="D20" s="161" t="s">
        <v>3</v>
      </c>
      <c r="E20" s="298" t="s">
        <v>29</v>
      </c>
      <c r="F20" s="20">
        <v>44286</v>
      </c>
      <c r="G20" s="20">
        <v>44651</v>
      </c>
      <c r="H20" s="161" t="s">
        <v>3</v>
      </c>
      <c r="I20" s="161" t="s">
        <v>29</v>
      </c>
      <c r="J20" s="20">
        <v>44286</v>
      </c>
      <c r="K20" s="20">
        <v>44651</v>
      </c>
      <c r="L20" s="161" t="s">
        <v>3</v>
      </c>
      <c r="M20" s="161" t="s">
        <v>29</v>
      </c>
    </row>
    <row r="21" spans="1:14" x14ac:dyDescent="0.2">
      <c r="A21" s="701"/>
      <c r="B21" s="155"/>
      <c r="C21" s="155"/>
      <c r="D21" s="242" t="s">
        <v>4</v>
      </c>
      <c r="E21" s="402" t="s">
        <v>30</v>
      </c>
      <c r="F21" s="160"/>
      <c r="G21" s="160"/>
      <c r="H21" s="241" t="s">
        <v>4</v>
      </c>
      <c r="I21" s="155" t="s">
        <v>30</v>
      </c>
      <c r="J21" s="160"/>
      <c r="K21" s="160"/>
      <c r="L21" s="155" t="s">
        <v>4</v>
      </c>
      <c r="M21" s="155" t="s">
        <v>30</v>
      </c>
    </row>
    <row r="22" spans="1:14" ht="15.75" x14ac:dyDescent="0.2">
      <c r="A22" s="14" t="s">
        <v>23</v>
      </c>
      <c r="B22" s="303">
        <v>3540.9870000000001</v>
      </c>
      <c r="C22" s="303">
        <v>3305.54</v>
      </c>
      <c r="D22" s="340">
        <f t="shared" ref="D22:D29" si="5">IF(B22=0, "    ---- ", IF(ABS(ROUND(100/B22*C22-100,1))&lt;999,ROUND(100/B22*C22-100,1),IF(ROUND(100/B22*C22-100,1)&gt;999,999,-999)))</f>
        <v>-6.6</v>
      </c>
      <c r="E22" s="11">
        <f>IFERROR(100/'Skjema total MA'!C22*C22,0)</f>
        <v>0.43428772697210521</v>
      </c>
      <c r="F22" s="311">
        <v>18361.129000000001</v>
      </c>
      <c r="G22" s="311">
        <v>10861.938</v>
      </c>
      <c r="H22" s="340">
        <f t="shared" ref="H22:H35" si="6">IF(F22=0, "    ---- ", IF(ABS(ROUND(100/F22*G22-100,1))&lt;999,ROUND(100/F22*G22-100,1),IF(ROUND(100/F22*G22-100,1)&gt;999,999,-999)))</f>
        <v>-40.799999999999997</v>
      </c>
      <c r="I22" s="159">
        <f>IFERROR(100/'Skjema total MA'!F22*G22,0)</f>
        <v>3.9731140657433022</v>
      </c>
      <c r="J22" s="309">
        <f t="shared" ref="J22:K35" si="7">SUM(B22,F22)</f>
        <v>21902.116000000002</v>
      </c>
      <c r="K22" s="309">
        <f t="shared" si="7"/>
        <v>14167.477999999999</v>
      </c>
      <c r="L22" s="413">
        <f t="shared" ref="L22:L35" si="8">IF(J22=0, "    ---- ", IF(ABS(ROUND(100/J22*K22-100,1))&lt;999,ROUND(100/J22*K22-100,1),IF(ROUND(100/J22*K22-100,1)&gt;999,999,-999)))</f>
        <v>-35.299999999999997</v>
      </c>
      <c r="M22" s="24">
        <f>IFERROR(100/'Skjema total MA'!I22*K22,0)</f>
        <v>1.3694648870001012</v>
      </c>
    </row>
    <row r="23" spans="1:14" ht="15.75" x14ac:dyDescent="0.2">
      <c r="A23" s="555" t="s">
        <v>362</v>
      </c>
      <c r="B23" s="277"/>
      <c r="C23" s="277"/>
      <c r="D23" s="165"/>
      <c r="E23" s="11"/>
      <c r="F23" s="286">
        <v>1209.787</v>
      </c>
      <c r="G23" s="286">
        <v>1173.212</v>
      </c>
      <c r="H23" s="165">
        <f t="shared" si="6"/>
        <v>-3</v>
      </c>
      <c r="I23" s="236">
        <f>IFERROR(100/'Skjema total MA'!F23*G23,0)</f>
        <v>6.1318909249659646</v>
      </c>
      <c r="J23" s="286">
        <f t="shared" ref="J23:J26" si="9">SUM(B23,F23)</f>
        <v>1209.787</v>
      </c>
      <c r="K23" s="286">
        <f t="shared" ref="K23:K26" si="10">SUM(C23,G23)</f>
        <v>1173.212</v>
      </c>
      <c r="L23" s="165">
        <f t="shared" si="8"/>
        <v>-3</v>
      </c>
      <c r="M23" s="23">
        <f>IFERROR(100/'Skjema total MA'!I23*K23,0)</f>
        <v>0.30871276575929435</v>
      </c>
    </row>
    <row r="24" spans="1:14" ht="15.75" x14ac:dyDescent="0.2">
      <c r="A24" s="555" t="s">
        <v>363</v>
      </c>
      <c r="B24" s="277"/>
      <c r="C24" s="277"/>
      <c r="D24" s="165"/>
      <c r="E24" s="11"/>
      <c r="F24" s="286"/>
      <c r="G24" s="286"/>
      <c r="H24" s="165"/>
      <c r="I24" s="236"/>
      <c r="J24" s="286"/>
      <c r="K24" s="286"/>
      <c r="L24" s="165"/>
      <c r="M24" s="23"/>
    </row>
    <row r="25" spans="1:14" ht="15.75" x14ac:dyDescent="0.2">
      <c r="A25" s="555" t="s">
        <v>364</v>
      </c>
      <c r="B25" s="277"/>
      <c r="C25" s="277"/>
      <c r="D25" s="165"/>
      <c r="E25" s="11"/>
      <c r="F25" s="286">
        <v>353.63799999999998</v>
      </c>
      <c r="G25" s="286">
        <v>296.27600000000001</v>
      </c>
      <c r="H25" s="165">
        <f t="shared" si="6"/>
        <v>-16.2</v>
      </c>
      <c r="I25" s="236">
        <f>IFERROR(100/'Skjema total MA'!F25*G25,0)</f>
        <v>6.5168986389169641</v>
      </c>
      <c r="J25" s="286">
        <f t="shared" si="9"/>
        <v>353.63799999999998</v>
      </c>
      <c r="K25" s="286">
        <f t="shared" si="10"/>
        <v>296.27600000000001</v>
      </c>
      <c r="L25" s="165">
        <f t="shared" si="8"/>
        <v>-16.2</v>
      </c>
      <c r="M25" s="23">
        <f>IFERROR(100/'Skjema total MA'!I25*K25,0)</f>
        <v>2.460256464179511</v>
      </c>
    </row>
    <row r="26" spans="1:14" ht="15.75" x14ac:dyDescent="0.2">
      <c r="A26" s="555" t="s">
        <v>365</v>
      </c>
      <c r="B26" s="277"/>
      <c r="C26" s="277"/>
      <c r="D26" s="165"/>
      <c r="E26" s="11"/>
      <c r="F26" s="286">
        <v>16797.704000000002</v>
      </c>
      <c r="G26" s="286">
        <v>9392.4500000000007</v>
      </c>
      <c r="H26" s="165">
        <f t="shared" si="6"/>
        <v>-44.1</v>
      </c>
      <c r="I26" s="236">
        <f>IFERROR(100/'Skjema total MA'!F26*G26,0)</f>
        <v>3.7639680495351806</v>
      </c>
      <c r="J26" s="286">
        <f t="shared" si="9"/>
        <v>16797.704000000002</v>
      </c>
      <c r="K26" s="286">
        <f t="shared" si="10"/>
        <v>9392.4500000000007</v>
      </c>
      <c r="L26" s="165">
        <f t="shared" si="8"/>
        <v>-44.1</v>
      </c>
      <c r="M26" s="23">
        <f>IFERROR(100/'Skjema total MA'!I26*K26,0)</f>
        <v>3.7639680495351806</v>
      </c>
    </row>
    <row r="27" spans="1:14" x14ac:dyDescent="0.2">
      <c r="A27" s="555" t="s">
        <v>11</v>
      </c>
      <c r="B27" s="277"/>
      <c r="C27" s="277"/>
      <c r="D27" s="165"/>
      <c r="E27" s="11"/>
      <c r="F27" s="286"/>
      <c r="G27" s="286"/>
      <c r="H27" s="165"/>
      <c r="I27" s="236"/>
      <c r="J27" s="286"/>
      <c r="K27" s="286"/>
      <c r="L27" s="165"/>
      <c r="M27" s="23"/>
    </row>
    <row r="28" spans="1:14" ht="15.75" x14ac:dyDescent="0.2">
      <c r="A28" s="49" t="s">
        <v>270</v>
      </c>
      <c r="B28" s="44">
        <v>3540.9870000000001</v>
      </c>
      <c r="C28" s="283">
        <v>3305.54</v>
      </c>
      <c r="D28" s="165">
        <f t="shared" si="5"/>
        <v>-6.6</v>
      </c>
      <c r="E28" s="11">
        <f>IFERROR(100/'Skjema total MA'!C28*C28,0)</f>
        <v>0.39406063117840751</v>
      </c>
      <c r="F28" s="230"/>
      <c r="G28" s="283"/>
      <c r="H28" s="165"/>
      <c r="I28" s="174"/>
      <c r="J28" s="44">
        <f t="shared" si="7"/>
        <v>3540.9870000000001</v>
      </c>
      <c r="K28" s="44">
        <f t="shared" si="7"/>
        <v>3305.54</v>
      </c>
      <c r="L28" s="250">
        <f t="shared" si="8"/>
        <v>-6.6</v>
      </c>
      <c r="M28" s="23">
        <f>IFERROR(100/'Skjema total MA'!I28*K28,0)</f>
        <v>0.39406063117840751</v>
      </c>
    </row>
    <row r="29" spans="1:14" s="3" customFormat="1" ht="15.75" x14ac:dyDescent="0.2">
      <c r="A29" s="13" t="s">
        <v>359</v>
      </c>
      <c r="B29" s="232">
        <v>130370.057</v>
      </c>
      <c r="C29" s="232">
        <v>150843.35699999999</v>
      </c>
      <c r="D29" s="170">
        <f t="shared" si="5"/>
        <v>15.7</v>
      </c>
      <c r="E29" s="11">
        <f>IFERROR(100/'Skjema total MA'!C29*C29,0)</f>
        <v>0.33196317160888378</v>
      </c>
      <c r="F29" s="301">
        <v>2218632.804</v>
      </c>
      <c r="G29" s="301">
        <v>2153602.8149999999</v>
      </c>
      <c r="H29" s="170">
        <f t="shared" si="6"/>
        <v>-2.9</v>
      </c>
      <c r="I29" s="159">
        <f>IFERROR(100/'Skjema total MA'!F29*G29,0)</f>
        <v>8.5234100361388521</v>
      </c>
      <c r="J29" s="232">
        <f t="shared" si="7"/>
        <v>2349002.861</v>
      </c>
      <c r="K29" s="232">
        <f t="shared" si="7"/>
        <v>2304446.1719999998</v>
      </c>
      <c r="L29" s="414">
        <f t="shared" si="8"/>
        <v>-1.9</v>
      </c>
      <c r="M29" s="24">
        <f>IFERROR(100/'Skjema total MA'!I29*K29,0)</f>
        <v>3.2591622858610645</v>
      </c>
      <c r="N29" s="148"/>
    </row>
    <row r="30" spans="1:14" s="3" customFormat="1" ht="15.75" x14ac:dyDescent="0.2">
      <c r="A30" s="555" t="s">
        <v>362</v>
      </c>
      <c r="B30" s="277"/>
      <c r="C30" s="277"/>
      <c r="D30" s="165"/>
      <c r="E30" s="11"/>
      <c r="F30" s="286">
        <v>620876.43599999999</v>
      </c>
      <c r="G30" s="286">
        <v>594110.995</v>
      </c>
      <c r="H30" s="165">
        <f t="shared" si="6"/>
        <v>-4.3</v>
      </c>
      <c r="I30" s="236">
        <f>IFERROR(100/'Skjema total MA'!F30*G30,0)</f>
        <v>15.588651755544786</v>
      </c>
      <c r="J30" s="286">
        <f t="shared" ref="J30:J33" si="11">SUM(B30,F30)</f>
        <v>620876.43599999999</v>
      </c>
      <c r="K30" s="286">
        <f t="shared" ref="K30:K33" si="12">SUM(C30,G30)</f>
        <v>594110.995</v>
      </c>
      <c r="L30" s="165">
        <f t="shared" si="8"/>
        <v>-4.3</v>
      </c>
      <c r="M30" s="23">
        <f>IFERROR(100/'Skjema total MA'!I30*K30,0)</f>
        <v>4.2511904371451958</v>
      </c>
      <c r="N30" s="148"/>
    </row>
    <row r="31" spans="1:14" s="3" customFormat="1" ht="15.75" x14ac:dyDescent="0.2">
      <c r="A31" s="555" t="s">
        <v>363</v>
      </c>
      <c r="B31" s="277"/>
      <c r="C31" s="277"/>
      <c r="D31" s="165"/>
      <c r="E31" s="11"/>
      <c r="F31" s="286">
        <v>1185625.4480000001</v>
      </c>
      <c r="G31" s="286">
        <v>1073183.8489999999</v>
      </c>
      <c r="H31" s="165">
        <f t="shared" si="6"/>
        <v>-9.5</v>
      </c>
      <c r="I31" s="236">
        <f>IFERROR(100/'Skjema total MA'!F31*G31,0)</f>
        <v>12.432439832361965</v>
      </c>
      <c r="J31" s="286">
        <f t="shared" si="11"/>
        <v>1185625.4480000001</v>
      </c>
      <c r="K31" s="286">
        <f t="shared" si="12"/>
        <v>1073183.8489999999</v>
      </c>
      <c r="L31" s="165">
        <f t="shared" si="8"/>
        <v>-9.5</v>
      </c>
      <c r="M31" s="23">
        <f>IFERROR(100/'Skjema total MA'!I31*K31,0)</f>
        <v>3.0962314495300789</v>
      </c>
      <c r="N31" s="148"/>
    </row>
    <row r="32" spans="1:14" ht="15.75" x14ac:dyDescent="0.2">
      <c r="A32" s="555" t="s">
        <v>364</v>
      </c>
      <c r="B32" s="277"/>
      <c r="C32" s="277"/>
      <c r="D32" s="165"/>
      <c r="E32" s="11"/>
      <c r="F32" s="286">
        <v>92727.217000000004</v>
      </c>
      <c r="G32" s="286">
        <v>94651.601999999999</v>
      </c>
      <c r="H32" s="165">
        <f t="shared" si="6"/>
        <v>2.1</v>
      </c>
      <c r="I32" s="236">
        <f>IFERROR(100/'Skjema total MA'!F32*G32,0)</f>
        <v>1.6775759506195973</v>
      </c>
      <c r="J32" s="286">
        <f t="shared" si="11"/>
        <v>92727.217000000004</v>
      </c>
      <c r="K32" s="286">
        <f t="shared" si="12"/>
        <v>94651.601999999999</v>
      </c>
      <c r="L32" s="165">
        <f t="shared" si="8"/>
        <v>2.1</v>
      </c>
      <c r="M32" s="23">
        <f>IFERROR(100/'Skjema total MA'!I32*K32,0)</f>
        <v>1.173548179390258</v>
      </c>
    </row>
    <row r="33" spans="1:14" ht="15.75" x14ac:dyDescent="0.2">
      <c r="A33" s="555" t="s">
        <v>365</v>
      </c>
      <c r="B33" s="277"/>
      <c r="C33" s="277"/>
      <c r="D33" s="165"/>
      <c r="E33" s="11"/>
      <c r="F33" s="286">
        <v>319403.70299999998</v>
      </c>
      <c r="G33" s="286">
        <v>391656.36900000001</v>
      </c>
      <c r="H33" s="165">
        <f t="shared" si="6"/>
        <v>22.6</v>
      </c>
      <c r="I33" s="236">
        <f>IFERROR(100/'Skjema total MA'!F33*G33,0)</f>
        <v>5.4353795149494912</v>
      </c>
      <c r="J33" s="286">
        <f t="shared" si="11"/>
        <v>319403.70299999998</v>
      </c>
      <c r="K33" s="286">
        <f t="shared" si="12"/>
        <v>391656.36900000001</v>
      </c>
      <c r="L33" s="165">
        <f t="shared" si="8"/>
        <v>22.6</v>
      </c>
      <c r="M33" s="23">
        <f>IFERROR(100/'Skjema total MA'!I33*K33,0)</f>
        <v>5.4353795149494912</v>
      </c>
    </row>
    <row r="34" spans="1:14" ht="15.75" x14ac:dyDescent="0.2">
      <c r="A34" s="13" t="s">
        <v>360</v>
      </c>
      <c r="B34" s="232"/>
      <c r="C34" s="302"/>
      <c r="D34" s="170"/>
      <c r="E34" s="11"/>
      <c r="F34" s="301">
        <v>1694.5909999999999</v>
      </c>
      <c r="G34" s="302">
        <v>0</v>
      </c>
      <c r="H34" s="170">
        <f t="shared" si="6"/>
        <v>-100</v>
      </c>
      <c r="I34" s="159">
        <f>IFERROR(100/'Skjema total MA'!F34*G34,0)</f>
        <v>0</v>
      </c>
      <c r="J34" s="232">
        <f t="shared" si="7"/>
        <v>1694.5909999999999</v>
      </c>
      <c r="K34" s="232">
        <f t="shared" si="7"/>
        <v>0</v>
      </c>
      <c r="L34" s="414">
        <f t="shared" si="8"/>
        <v>-100</v>
      </c>
      <c r="M34" s="24">
        <f>IFERROR(100/'Skjema total MA'!I34*K34,0)</f>
        <v>0</v>
      </c>
    </row>
    <row r="35" spans="1:14" ht="15.75" x14ac:dyDescent="0.2">
      <c r="A35" s="13" t="s">
        <v>361</v>
      </c>
      <c r="B35" s="232"/>
      <c r="C35" s="302"/>
      <c r="D35" s="170"/>
      <c r="E35" s="11"/>
      <c r="F35" s="301">
        <v>6915.4030000000002</v>
      </c>
      <c r="G35" s="302">
        <v>0</v>
      </c>
      <c r="H35" s="170">
        <f t="shared" si="6"/>
        <v>-100</v>
      </c>
      <c r="I35" s="159">
        <f>IFERROR(100/'Skjema total MA'!F35*G35,0)</f>
        <v>0</v>
      </c>
      <c r="J35" s="232">
        <f t="shared" si="7"/>
        <v>6915.4030000000002</v>
      </c>
      <c r="K35" s="232">
        <f t="shared" si="7"/>
        <v>0</v>
      </c>
      <c r="L35" s="414">
        <f t="shared" si="8"/>
        <v>-100</v>
      </c>
      <c r="M35" s="24">
        <f>IFERROR(100/'Skjema total MA'!I35*K35,0)</f>
        <v>0</v>
      </c>
    </row>
    <row r="36" spans="1:14" ht="15.75" x14ac:dyDescent="0.2">
      <c r="A36" s="12" t="s">
        <v>278</v>
      </c>
      <c r="B36" s="232"/>
      <c r="C36" s="302"/>
      <c r="D36" s="170"/>
      <c r="E36" s="11"/>
      <c r="F36" s="312"/>
      <c r="G36" s="313"/>
      <c r="H36" s="170"/>
      <c r="I36" s="416"/>
      <c r="J36" s="232"/>
      <c r="K36" s="232"/>
      <c r="L36" s="414"/>
      <c r="M36" s="24"/>
    </row>
    <row r="37" spans="1:14" ht="15.75" x14ac:dyDescent="0.2">
      <c r="A37" s="12" t="s">
        <v>367</v>
      </c>
      <c r="B37" s="232"/>
      <c r="C37" s="302"/>
      <c r="D37" s="170"/>
      <c r="E37" s="11"/>
      <c r="F37" s="312"/>
      <c r="G37" s="314"/>
      <c r="H37" s="170"/>
      <c r="I37" s="416"/>
      <c r="J37" s="232"/>
      <c r="K37" s="232"/>
      <c r="L37" s="414"/>
      <c r="M37" s="24"/>
    </row>
    <row r="38" spans="1:14" ht="15.75" x14ac:dyDescent="0.2">
      <c r="A38" s="12" t="s">
        <v>368</v>
      </c>
      <c r="B38" s="232"/>
      <c r="C38" s="302"/>
      <c r="D38" s="170"/>
      <c r="E38" s="24"/>
      <c r="F38" s="312"/>
      <c r="G38" s="313"/>
      <c r="H38" s="170"/>
      <c r="I38" s="416"/>
      <c r="J38" s="232"/>
      <c r="K38" s="232"/>
      <c r="L38" s="414"/>
      <c r="M38" s="24"/>
    </row>
    <row r="39" spans="1:14" ht="15.75" x14ac:dyDescent="0.2">
      <c r="A39" s="18" t="s">
        <v>369</v>
      </c>
      <c r="B39" s="272"/>
      <c r="C39" s="308"/>
      <c r="D39" s="168"/>
      <c r="E39" s="36"/>
      <c r="F39" s="315"/>
      <c r="G39" s="316"/>
      <c r="H39" s="168"/>
      <c r="I39" s="168"/>
      <c r="J39" s="232"/>
      <c r="K39" s="232"/>
      <c r="L39" s="415"/>
      <c r="M39" s="36"/>
    </row>
    <row r="40" spans="1:14" ht="15.75" x14ac:dyDescent="0.25">
      <c r="A40" s="47"/>
      <c r="B40" s="249"/>
      <c r="C40" s="249"/>
      <c r="D40" s="728"/>
      <c r="E40" s="728"/>
      <c r="F40" s="728"/>
      <c r="G40" s="728"/>
      <c r="H40" s="728"/>
      <c r="I40" s="728"/>
      <c r="J40" s="728"/>
      <c r="K40" s="728"/>
      <c r="L40" s="728"/>
      <c r="M40" s="393"/>
    </row>
    <row r="41" spans="1:14" x14ac:dyDescent="0.2">
      <c r="A41" s="154"/>
    </row>
    <row r="42" spans="1:14" ht="15.75" x14ac:dyDescent="0.25">
      <c r="A42" s="147" t="s">
        <v>267</v>
      </c>
      <c r="B42" s="729"/>
      <c r="C42" s="729"/>
      <c r="D42" s="729"/>
      <c r="E42" s="392"/>
      <c r="F42" s="730"/>
      <c r="G42" s="730"/>
      <c r="H42" s="730"/>
      <c r="I42" s="393"/>
      <c r="J42" s="730"/>
      <c r="K42" s="730"/>
      <c r="L42" s="730"/>
      <c r="M42" s="393"/>
    </row>
    <row r="43" spans="1:14" ht="15.75" x14ac:dyDescent="0.25">
      <c r="A43" s="162"/>
      <c r="B43" s="389"/>
      <c r="C43" s="389"/>
      <c r="D43" s="389"/>
      <c r="E43" s="389"/>
      <c r="F43" s="393"/>
      <c r="G43" s="393"/>
      <c r="H43" s="393"/>
      <c r="I43" s="393"/>
      <c r="J43" s="393"/>
      <c r="K43" s="393"/>
      <c r="L43" s="393"/>
      <c r="M43" s="393"/>
    </row>
    <row r="44" spans="1:14" ht="15.75" x14ac:dyDescent="0.25">
      <c r="A44" s="243"/>
      <c r="B44" s="725" t="s">
        <v>0</v>
      </c>
      <c r="C44" s="726"/>
      <c r="D44" s="726"/>
      <c r="E44" s="239"/>
      <c r="F44" s="393"/>
      <c r="G44" s="393"/>
      <c r="H44" s="393"/>
      <c r="I44" s="393"/>
      <c r="J44" s="393"/>
      <c r="K44" s="393"/>
      <c r="L44" s="393"/>
      <c r="M44" s="393"/>
    </row>
    <row r="45" spans="1:14" s="3" customFormat="1" x14ac:dyDescent="0.2">
      <c r="A45" s="140"/>
      <c r="B45" s="20">
        <v>44286</v>
      </c>
      <c r="C45" s="20">
        <v>44651</v>
      </c>
      <c r="D45" s="161" t="s">
        <v>3</v>
      </c>
      <c r="E45" s="161" t="s">
        <v>29</v>
      </c>
      <c r="F45" s="173"/>
      <c r="G45" s="173"/>
      <c r="H45" s="172"/>
      <c r="I45" s="172"/>
      <c r="J45" s="173"/>
      <c r="K45" s="173"/>
      <c r="L45" s="172"/>
      <c r="M45" s="172"/>
      <c r="N45" s="148"/>
    </row>
    <row r="46" spans="1:14" s="3" customFormat="1" x14ac:dyDescent="0.2">
      <c r="A46" s="701"/>
      <c r="B46" s="240"/>
      <c r="C46" s="240"/>
      <c r="D46" s="241" t="s">
        <v>4</v>
      </c>
      <c r="E46" s="155" t="s">
        <v>30</v>
      </c>
      <c r="F46" s="172"/>
      <c r="G46" s="172"/>
      <c r="H46" s="172"/>
      <c r="I46" s="172"/>
      <c r="J46" s="172"/>
      <c r="K46" s="172"/>
      <c r="L46" s="172"/>
      <c r="M46" s="172"/>
      <c r="N46" s="148"/>
    </row>
    <row r="47" spans="1:14" s="3" customFormat="1" ht="15.75" x14ac:dyDescent="0.2">
      <c r="A47" s="14" t="s">
        <v>23</v>
      </c>
      <c r="B47" s="303">
        <v>2408.3110000000001</v>
      </c>
      <c r="C47" s="304">
        <v>2439.489</v>
      </c>
      <c r="D47" s="413">
        <f t="shared" ref="D47:D48" si="13">IF(B47=0, "    ---- ", IF(ABS(ROUND(100/B47*C47-100,1))&lt;999,ROUND(100/B47*C47-100,1),IF(ROUND(100/B47*C47-100,1)&gt;999,999,-999)))</f>
        <v>1.3</v>
      </c>
      <c r="E47" s="11">
        <f>IFERROR(100/'Skjema total MA'!C47*C47,0)</f>
        <v>7.0597462439028619E-2</v>
      </c>
      <c r="F47" s="145"/>
      <c r="G47" s="33"/>
      <c r="H47" s="158"/>
      <c r="I47" s="158"/>
      <c r="J47" s="37"/>
      <c r="K47" s="37"/>
      <c r="L47" s="158"/>
      <c r="M47" s="158"/>
      <c r="N47" s="148"/>
    </row>
    <row r="48" spans="1:14" s="3" customFormat="1" ht="15.75" x14ac:dyDescent="0.2">
      <c r="A48" s="38" t="s">
        <v>370</v>
      </c>
      <c r="B48" s="277">
        <v>2408.3110000000001</v>
      </c>
      <c r="C48" s="278">
        <v>2439.489</v>
      </c>
      <c r="D48" s="250">
        <f t="shared" si="13"/>
        <v>1.3</v>
      </c>
      <c r="E48" s="27">
        <f>IFERROR(100/'Skjema total MA'!C48*C48,0)</f>
        <v>0.12909338745391877</v>
      </c>
      <c r="F48" s="145"/>
      <c r="G48" s="33"/>
      <c r="H48" s="145"/>
      <c r="I48" s="145"/>
      <c r="J48" s="33"/>
      <c r="K48" s="33"/>
      <c r="L48" s="158"/>
      <c r="M48" s="158"/>
      <c r="N48" s="148"/>
    </row>
    <row r="49" spans="1:14" s="3" customFormat="1" ht="15.75" x14ac:dyDescent="0.2">
      <c r="A49" s="38" t="s">
        <v>371</v>
      </c>
      <c r="B49" s="44"/>
      <c r="C49" s="283"/>
      <c r="D49" s="250"/>
      <c r="E49" s="27"/>
      <c r="F49" s="145"/>
      <c r="G49" s="33"/>
      <c r="H49" s="145"/>
      <c r="I49" s="145"/>
      <c r="J49" s="37"/>
      <c r="K49" s="37"/>
      <c r="L49" s="158"/>
      <c r="M49" s="158"/>
      <c r="N49" s="148"/>
    </row>
    <row r="50" spans="1:14" s="3" customFormat="1" x14ac:dyDescent="0.2">
      <c r="A50" s="289" t="s">
        <v>6</v>
      </c>
      <c r="B50" s="312"/>
      <c r="C50" s="312"/>
      <c r="D50" s="250"/>
      <c r="E50" s="23"/>
      <c r="F50" s="145"/>
      <c r="G50" s="33"/>
      <c r="H50" s="145"/>
      <c r="I50" s="145"/>
      <c r="J50" s="33"/>
      <c r="K50" s="33"/>
      <c r="L50" s="158"/>
      <c r="M50" s="158"/>
      <c r="N50" s="148"/>
    </row>
    <row r="51" spans="1:14" s="3" customFormat="1" x14ac:dyDescent="0.2">
      <c r="A51" s="289" t="s">
        <v>7</v>
      </c>
      <c r="B51" s="312"/>
      <c r="C51" s="312"/>
      <c r="D51" s="250"/>
      <c r="E51" s="23"/>
      <c r="F51" s="145"/>
      <c r="G51" s="33"/>
      <c r="H51" s="145"/>
      <c r="I51" s="145"/>
      <c r="J51" s="33"/>
      <c r="K51" s="33"/>
      <c r="L51" s="158"/>
      <c r="M51" s="158"/>
      <c r="N51" s="148"/>
    </row>
    <row r="52" spans="1:14" s="3" customFormat="1" x14ac:dyDescent="0.2">
      <c r="A52" s="289" t="s">
        <v>8</v>
      </c>
      <c r="B52" s="312"/>
      <c r="C52" s="312"/>
      <c r="D52" s="250"/>
      <c r="E52" s="23"/>
      <c r="F52" s="145"/>
      <c r="G52" s="33"/>
      <c r="H52" s="145"/>
      <c r="I52" s="145"/>
      <c r="J52" s="33"/>
      <c r="K52" s="33"/>
      <c r="L52" s="158"/>
      <c r="M52" s="158"/>
      <c r="N52" s="148"/>
    </row>
    <row r="53" spans="1:14" s="3" customFormat="1" ht="15.75" x14ac:dyDescent="0.2">
      <c r="A53" s="39" t="s">
        <v>372</v>
      </c>
      <c r="B53" s="303"/>
      <c r="C53" s="304"/>
      <c r="D53" s="414"/>
      <c r="E53" s="11"/>
      <c r="F53" s="145"/>
      <c r="G53" s="33"/>
      <c r="H53" s="145"/>
      <c r="I53" s="145"/>
      <c r="J53" s="33"/>
      <c r="K53" s="33"/>
      <c r="L53" s="158"/>
      <c r="M53" s="158"/>
      <c r="N53" s="148"/>
    </row>
    <row r="54" spans="1:14" s="3" customFormat="1" ht="15.75" x14ac:dyDescent="0.2">
      <c r="A54" s="38" t="s">
        <v>370</v>
      </c>
      <c r="B54" s="277"/>
      <c r="C54" s="278"/>
      <c r="D54" s="250"/>
      <c r="E54" s="27"/>
      <c r="F54" s="145"/>
      <c r="G54" s="33"/>
      <c r="H54" s="145"/>
      <c r="I54" s="145"/>
      <c r="J54" s="33"/>
      <c r="K54" s="33"/>
      <c r="L54" s="158"/>
      <c r="M54" s="158"/>
      <c r="N54" s="148"/>
    </row>
    <row r="55" spans="1:14" s="3" customFormat="1" ht="15.75" x14ac:dyDescent="0.2">
      <c r="A55" s="38" t="s">
        <v>371</v>
      </c>
      <c r="B55" s="277"/>
      <c r="C55" s="278"/>
      <c r="D55" s="250"/>
      <c r="E55" s="27"/>
      <c r="F55" s="145"/>
      <c r="G55" s="33"/>
      <c r="H55" s="145"/>
      <c r="I55" s="145"/>
      <c r="J55" s="33"/>
      <c r="K55" s="33"/>
      <c r="L55" s="158"/>
      <c r="M55" s="158"/>
      <c r="N55" s="148"/>
    </row>
    <row r="56" spans="1:14" s="3" customFormat="1" ht="15.75" x14ac:dyDescent="0.2">
      <c r="A56" s="39" t="s">
        <v>373</v>
      </c>
      <c r="B56" s="303"/>
      <c r="C56" s="304"/>
      <c r="D56" s="414"/>
      <c r="E56" s="11"/>
      <c r="F56" s="145"/>
      <c r="G56" s="33"/>
      <c r="H56" s="145"/>
      <c r="I56" s="145"/>
      <c r="J56" s="33"/>
      <c r="K56" s="33"/>
      <c r="L56" s="158"/>
      <c r="M56" s="158"/>
      <c r="N56" s="148"/>
    </row>
    <row r="57" spans="1:14" s="3" customFormat="1" ht="15.75" x14ac:dyDescent="0.2">
      <c r="A57" s="38" t="s">
        <v>370</v>
      </c>
      <c r="B57" s="277"/>
      <c r="C57" s="278"/>
      <c r="D57" s="250"/>
      <c r="E57" s="27"/>
      <c r="F57" s="145"/>
      <c r="G57" s="33"/>
      <c r="H57" s="145"/>
      <c r="I57" s="145"/>
      <c r="J57" s="33"/>
      <c r="K57" s="33"/>
      <c r="L57" s="158"/>
      <c r="M57" s="158"/>
      <c r="N57" s="148"/>
    </row>
    <row r="58" spans="1:14" s="3" customFormat="1" ht="15.75" x14ac:dyDescent="0.2">
      <c r="A58" s="46" t="s">
        <v>371</v>
      </c>
      <c r="B58" s="279"/>
      <c r="C58" s="280"/>
      <c r="D58" s="251"/>
      <c r="E58" s="22"/>
      <c r="F58" s="145"/>
      <c r="G58" s="33"/>
      <c r="H58" s="145"/>
      <c r="I58" s="145"/>
      <c r="J58" s="33"/>
      <c r="K58" s="33"/>
      <c r="L58" s="158"/>
      <c r="M58" s="158"/>
      <c r="N58" s="148"/>
    </row>
    <row r="59" spans="1:14" s="3" customFormat="1" ht="15.75" x14ac:dyDescent="0.25">
      <c r="A59" s="163"/>
      <c r="B59" s="153"/>
      <c r="C59" s="153"/>
      <c r="D59" s="153"/>
      <c r="E59" s="153"/>
      <c r="F59" s="142"/>
      <c r="G59" s="142"/>
      <c r="H59" s="142"/>
      <c r="I59" s="142"/>
      <c r="J59" s="142"/>
      <c r="K59" s="142"/>
      <c r="L59" s="142"/>
      <c r="M59" s="142"/>
      <c r="N59" s="148"/>
    </row>
    <row r="60" spans="1:14" x14ac:dyDescent="0.2">
      <c r="A60" s="154"/>
    </row>
    <row r="61" spans="1:14" ht="15.75" x14ac:dyDescent="0.25">
      <c r="A61" s="147" t="s">
        <v>268</v>
      </c>
      <c r="C61" s="26"/>
      <c r="D61" s="26"/>
      <c r="E61" s="26"/>
      <c r="F61" s="26"/>
      <c r="G61" s="26"/>
      <c r="H61" s="26"/>
      <c r="I61" s="26"/>
      <c r="J61" s="26"/>
      <c r="K61" s="26"/>
      <c r="L61" s="26"/>
      <c r="M61" s="26"/>
    </row>
    <row r="62" spans="1:14" ht="15.75" x14ac:dyDescent="0.25">
      <c r="B62" s="724"/>
      <c r="C62" s="724"/>
      <c r="D62" s="724"/>
      <c r="E62" s="392"/>
      <c r="F62" s="724"/>
      <c r="G62" s="724"/>
      <c r="H62" s="724"/>
      <c r="I62" s="392"/>
      <c r="J62" s="724"/>
      <c r="K62" s="724"/>
      <c r="L62" s="724"/>
      <c r="M62" s="392"/>
    </row>
    <row r="63" spans="1:14" x14ac:dyDescent="0.2">
      <c r="A63" s="144"/>
      <c r="B63" s="725" t="s">
        <v>0</v>
      </c>
      <c r="C63" s="726"/>
      <c r="D63" s="727"/>
      <c r="E63" s="390"/>
      <c r="F63" s="726" t="s">
        <v>1</v>
      </c>
      <c r="G63" s="726"/>
      <c r="H63" s="726"/>
      <c r="I63" s="394"/>
      <c r="J63" s="725" t="s">
        <v>2</v>
      </c>
      <c r="K63" s="726"/>
      <c r="L63" s="726"/>
      <c r="M63" s="394"/>
    </row>
    <row r="64" spans="1:14" x14ac:dyDescent="0.2">
      <c r="A64" s="140"/>
      <c r="B64" s="20">
        <v>44286</v>
      </c>
      <c r="C64" s="20">
        <v>44651</v>
      </c>
      <c r="D64" s="241" t="s">
        <v>3</v>
      </c>
      <c r="E64" s="298" t="s">
        <v>29</v>
      </c>
      <c r="F64" s="20">
        <v>44286</v>
      </c>
      <c r="G64" s="20">
        <v>44651</v>
      </c>
      <c r="H64" s="241" t="s">
        <v>3</v>
      </c>
      <c r="I64" s="298" t="s">
        <v>29</v>
      </c>
      <c r="J64" s="20">
        <v>44286</v>
      </c>
      <c r="K64" s="20">
        <v>44651</v>
      </c>
      <c r="L64" s="241" t="s">
        <v>3</v>
      </c>
      <c r="M64" s="161" t="s">
        <v>29</v>
      </c>
    </row>
    <row r="65" spans="1:14" x14ac:dyDescent="0.2">
      <c r="A65" s="701"/>
      <c r="B65" s="155"/>
      <c r="C65" s="155"/>
      <c r="D65" s="242" t="s">
        <v>4</v>
      </c>
      <c r="E65" s="155" t="s">
        <v>30</v>
      </c>
      <c r="F65" s="160"/>
      <c r="G65" s="160"/>
      <c r="H65" s="241" t="s">
        <v>4</v>
      </c>
      <c r="I65" s="155" t="s">
        <v>30</v>
      </c>
      <c r="J65" s="160"/>
      <c r="K65" s="202"/>
      <c r="L65" s="155" t="s">
        <v>4</v>
      </c>
      <c r="M65" s="155" t="s">
        <v>30</v>
      </c>
    </row>
    <row r="66" spans="1:14" ht="15.75" x14ac:dyDescent="0.2">
      <c r="A66" s="14" t="s">
        <v>23</v>
      </c>
      <c r="B66" s="343">
        <v>35123.887000000002</v>
      </c>
      <c r="C66" s="343">
        <v>36822.732000000004</v>
      </c>
      <c r="D66" s="340">
        <f t="shared" ref="D66:D120" si="14">IF(B66=0, "    ---- ", IF(ABS(ROUND(100/B66*C66-100,1))&lt;999,ROUND(100/B66*C66-100,1),IF(ROUND(100/B66*C66-100,1)&gt;999,999,-999)))</f>
        <v>4.8</v>
      </c>
      <c r="E66" s="11">
        <f>IFERROR(100/'Skjema total MA'!C66*C66,0)</f>
        <v>1.3880044704486263</v>
      </c>
      <c r="F66" s="342">
        <v>509055.53499999997</v>
      </c>
      <c r="G66" s="342">
        <v>539672.85800000001</v>
      </c>
      <c r="H66" s="340">
        <f t="shared" ref="H66:H125" si="15">IF(F66=0, "    ---- ", IF(ABS(ROUND(100/F66*G66-100,1))&lt;999,ROUND(100/F66*G66-100,1),IF(ROUND(100/F66*G66-100,1)&gt;999,999,-999)))</f>
        <v>6</v>
      </c>
      <c r="I66" s="11">
        <f>IFERROR(100/'Skjema total MA'!F66*G66,0)</f>
        <v>5.4544542275618211</v>
      </c>
      <c r="J66" s="302">
        <f t="shared" ref="J66:K79" si="16">SUM(B66,F66)</f>
        <v>544179.42200000002</v>
      </c>
      <c r="K66" s="309">
        <f t="shared" si="16"/>
        <v>576495.59</v>
      </c>
      <c r="L66" s="414">
        <f t="shared" ref="L66:L125" si="17">IF(J66=0, "    ---- ", IF(ABS(ROUND(100/J66*K66-100,1))&lt;999,ROUND(100/J66*K66-100,1),IF(ROUND(100/J66*K66-100,1)&gt;999,999,-999)))</f>
        <v>5.9</v>
      </c>
      <c r="M66" s="11">
        <f>IFERROR(100/'Skjema total MA'!I66*K66,0)</f>
        <v>4.5946542997430981</v>
      </c>
    </row>
    <row r="67" spans="1:14" x14ac:dyDescent="0.2">
      <c r="A67" s="21" t="s">
        <v>9</v>
      </c>
      <c r="B67" s="44">
        <v>35123.887000000002</v>
      </c>
      <c r="C67" s="145">
        <v>36822.732000000004</v>
      </c>
      <c r="D67" s="165">
        <f t="shared" si="14"/>
        <v>4.8</v>
      </c>
      <c r="E67" s="27">
        <f>IFERROR(100/'Skjema total MA'!C67*C67,0)</f>
        <v>1.8894985314588588</v>
      </c>
      <c r="F67" s="230"/>
      <c r="G67" s="145"/>
      <c r="H67" s="165"/>
      <c r="I67" s="27"/>
      <c r="J67" s="283">
        <f t="shared" si="16"/>
        <v>35123.887000000002</v>
      </c>
      <c r="K67" s="44">
        <f t="shared" si="16"/>
        <v>36822.732000000004</v>
      </c>
      <c r="L67" s="250">
        <f t="shared" si="17"/>
        <v>4.8</v>
      </c>
      <c r="M67" s="27">
        <f>IFERROR(100/'Skjema total MA'!I67*K67,0)</f>
        <v>1.8894985314588588</v>
      </c>
    </row>
    <row r="68" spans="1:14" x14ac:dyDescent="0.2">
      <c r="A68" s="21" t="s">
        <v>10</v>
      </c>
      <c r="B68" s="287"/>
      <c r="C68" s="288"/>
      <c r="D68" s="165"/>
      <c r="E68" s="27"/>
      <c r="F68" s="287">
        <v>509055.53499999997</v>
      </c>
      <c r="G68" s="288">
        <v>539672.85800000001</v>
      </c>
      <c r="H68" s="165">
        <f t="shared" si="15"/>
        <v>6</v>
      </c>
      <c r="I68" s="27">
        <f>IFERROR(100/'Skjema total MA'!F68*G68,0)</f>
        <v>5.6816081031796077</v>
      </c>
      <c r="J68" s="283">
        <f t="shared" si="16"/>
        <v>509055.53499999997</v>
      </c>
      <c r="K68" s="44">
        <f t="shared" si="16"/>
        <v>539672.85800000001</v>
      </c>
      <c r="L68" s="250">
        <f t="shared" si="17"/>
        <v>6</v>
      </c>
      <c r="M68" s="27">
        <f>IFERROR(100/'Skjema total MA'!I68*K68,0)</f>
        <v>5.6753936179194397</v>
      </c>
    </row>
    <row r="69" spans="1:14" ht="15.75" x14ac:dyDescent="0.2">
      <c r="A69" s="289" t="s">
        <v>374</v>
      </c>
      <c r="B69" s="312"/>
      <c r="C69" s="312"/>
      <c r="D69" s="165"/>
      <c r="E69" s="403"/>
      <c r="F69" s="312"/>
      <c r="G69" s="312"/>
      <c r="H69" s="165"/>
      <c r="I69" s="403"/>
      <c r="J69" s="312"/>
      <c r="K69" s="312"/>
      <c r="L69" s="165"/>
      <c r="M69" s="23"/>
    </row>
    <row r="70" spans="1:14" x14ac:dyDescent="0.2">
      <c r="A70" s="289" t="s">
        <v>12</v>
      </c>
      <c r="B70" s="312"/>
      <c r="C70" s="312"/>
      <c r="D70" s="165"/>
      <c r="E70" s="403"/>
      <c r="F70" s="312"/>
      <c r="G70" s="312"/>
      <c r="H70" s="165"/>
      <c r="I70" s="403"/>
      <c r="J70" s="312"/>
      <c r="K70" s="312"/>
      <c r="L70" s="165"/>
      <c r="M70" s="23"/>
    </row>
    <row r="71" spans="1:14" x14ac:dyDescent="0.2">
      <c r="A71" s="289" t="s">
        <v>13</v>
      </c>
      <c r="B71" s="312"/>
      <c r="C71" s="312"/>
      <c r="D71" s="165"/>
      <c r="E71" s="403"/>
      <c r="F71" s="312"/>
      <c r="G71" s="312"/>
      <c r="H71" s="165"/>
      <c r="I71" s="403"/>
      <c r="J71" s="312"/>
      <c r="K71" s="312"/>
      <c r="L71" s="165"/>
      <c r="M71" s="23"/>
    </row>
    <row r="72" spans="1:14" ht="15.75" x14ac:dyDescent="0.2">
      <c r="A72" s="289" t="s">
        <v>375</v>
      </c>
      <c r="B72" s="312"/>
      <c r="C72" s="312"/>
      <c r="D72" s="165"/>
      <c r="E72" s="403"/>
      <c r="F72" s="312"/>
      <c r="G72" s="312"/>
      <c r="H72" s="165"/>
      <c r="I72" s="403"/>
      <c r="J72" s="312"/>
      <c r="K72" s="312"/>
      <c r="L72" s="165"/>
      <c r="M72" s="23"/>
    </row>
    <row r="73" spans="1:14" x14ac:dyDescent="0.2">
      <c r="A73" s="289" t="s">
        <v>12</v>
      </c>
      <c r="B73" s="231"/>
      <c r="C73" s="285"/>
      <c r="D73" s="165"/>
      <c r="E73" s="403"/>
      <c r="F73" s="312"/>
      <c r="G73" s="312"/>
      <c r="H73" s="165"/>
      <c r="I73" s="403"/>
      <c r="J73" s="312"/>
      <c r="K73" s="312"/>
      <c r="L73" s="165"/>
      <c r="M73" s="23"/>
    </row>
    <row r="74" spans="1:14" s="3" customFormat="1" x14ac:dyDescent="0.2">
      <c r="A74" s="289" t="s">
        <v>13</v>
      </c>
      <c r="B74" s="231"/>
      <c r="C74" s="285"/>
      <c r="D74" s="165"/>
      <c r="E74" s="403"/>
      <c r="F74" s="312"/>
      <c r="G74" s="312"/>
      <c r="H74" s="165"/>
      <c r="I74" s="403"/>
      <c r="J74" s="312"/>
      <c r="K74" s="312"/>
      <c r="L74" s="165"/>
      <c r="M74" s="23"/>
      <c r="N74" s="148"/>
    </row>
    <row r="75" spans="1:14" s="3" customFormat="1" x14ac:dyDescent="0.2">
      <c r="A75" s="21" t="s">
        <v>344</v>
      </c>
      <c r="B75" s="230"/>
      <c r="C75" s="145"/>
      <c r="D75" s="165"/>
      <c r="E75" s="27"/>
      <c r="F75" s="230"/>
      <c r="G75" s="145"/>
      <c r="H75" s="165"/>
      <c r="I75" s="27"/>
      <c r="J75" s="283"/>
      <c r="K75" s="44"/>
      <c r="L75" s="250"/>
      <c r="M75" s="27"/>
      <c r="N75" s="148"/>
    </row>
    <row r="76" spans="1:14" s="3" customFormat="1" x14ac:dyDescent="0.2">
      <c r="A76" s="21" t="s">
        <v>343</v>
      </c>
      <c r="B76" s="230"/>
      <c r="C76" s="145"/>
      <c r="D76" s="165"/>
      <c r="E76" s="27"/>
      <c r="F76" s="230"/>
      <c r="G76" s="145"/>
      <c r="H76" s="165"/>
      <c r="I76" s="27"/>
      <c r="J76" s="283"/>
      <c r="K76" s="44"/>
      <c r="L76" s="250"/>
      <c r="M76" s="27"/>
      <c r="N76" s="148"/>
    </row>
    <row r="77" spans="1:14" ht="15.75" x14ac:dyDescent="0.2">
      <c r="A77" s="21" t="s">
        <v>376</v>
      </c>
      <c r="B77" s="230">
        <v>35123.887000000002</v>
      </c>
      <c r="C77" s="230">
        <v>36822.732000000004</v>
      </c>
      <c r="D77" s="165">
        <f t="shared" si="14"/>
        <v>4.8</v>
      </c>
      <c r="E77" s="27">
        <f>IFERROR(100/'Skjema total MA'!C77*C77,0)</f>
        <v>1.9756570175558432</v>
      </c>
      <c r="F77" s="230">
        <v>509055.53499999997</v>
      </c>
      <c r="G77" s="145">
        <v>539672.85800000001</v>
      </c>
      <c r="H77" s="165">
        <f t="shared" si="15"/>
        <v>6</v>
      </c>
      <c r="I77" s="27">
        <f>IFERROR(100/'Skjema total MA'!F77*G77,0)</f>
        <v>5.683786863856696</v>
      </c>
      <c r="J77" s="283">
        <f t="shared" si="16"/>
        <v>544179.42200000002</v>
      </c>
      <c r="K77" s="44">
        <f t="shared" si="16"/>
        <v>576495.59</v>
      </c>
      <c r="L77" s="250">
        <f t="shared" si="17"/>
        <v>5.9</v>
      </c>
      <c r="M77" s="27">
        <f>IFERROR(100/'Skjema total MA'!I77*K77,0)</f>
        <v>5.0753326392144666</v>
      </c>
    </row>
    <row r="78" spans="1:14" x14ac:dyDescent="0.2">
      <c r="A78" s="21" t="s">
        <v>9</v>
      </c>
      <c r="B78" s="230">
        <v>35123.887000000002</v>
      </c>
      <c r="C78" s="145">
        <v>36822.732000000004</v>
      </c>
      <c r="D78" s="165">
        <f t="shared" si="14"/>
        <v>4.8</v>
      </c>
      <c r="E78" s="27">
        <f>IFERROR(100/'Skjema total MA'!C78*C78,0)</f>
        <v>1.9856362432289865</v>
      </c>
      <c r="F78" s="230"/>
      <c r="G78" s="145"/>
      <c r="H78" s="165"/>
      <c r="I78" s="27"/>
      <c r="J78" s="283">
        <f t="shared" si="16"/>
        <v>35123.887000000002</v>
      </c>
      <c r="K78" s="44">
        <f t="shared" si="16"/>
        <v>36822.732000000004</v>
      </c>
      <c r="L78" s="250">
        <f t="shared" si="17"/>
        <v>4.8</v>
      </c>
      <c r="M78" s="27">
        <f>IFERROR(100/'Skjema total MA'!I78*K78,0)</f>
        <v>1.9856362432289865</v>
      </c>
    </row>
    <row r="79" spans="1:14" x14ac:dyDescent="0.2">
      <c r="A79" s="38" t="s">
        <v>413</v>
      </c>
      <c r="B79" s="287"/>
      <c r="C79" s="288"/>
      <c r="D79" s="165"/>
      <c r="E79" s="27"/>
      <c r="F79" s="287">
        <v>509055.53499999997</v>
      </c>
      <c r="G79" s="288">
        <v>539672.85800000001</v>
      </c>
      <c r="H79" s="165">
        <f t="shared" si="15"/>
        <v>6</v>
      </c>
      <c r="I79" s="27">
        <f>IFERROR(100/'Skjema total MA'!F79*G79,0)</f>
        <v>5.683786863856696</v>
      </c>
      <c r="J79" s="283">
        <f t="shared" si="16"/>
        <v>509055.53499999997</v>
      </c>
      <c r="K79" s="44">
        <f t="shared" si="16"/>
        <v>539672.85800000001</v>
      </c>
      <c r="L79" s="250">
        <f t="shared" si="17"/>
        <v>6</v>
      </c>
      <c r="M79" s="27">
        <f>IFERROR(100/'Skjema total MA'!I79*K79,0)</f>
        <v>5.6781851829256125</v>
      </c>
    </row>
    <row r="80" spans="1:14" ht="15.75" x14ac:dyDescent="0.2">
      <c r="A80" s="289" t="s">
        <v>374</v>
      </c>
      <c r="B80" s="312"/>
      <c r="C80" s="312"/>
      <c r="D80" s="165"/>
      <c r="E80" s="403"/>
      <c r="F80" s="312"/>
      <c r="G80" s="312"/>
      <c r="H80" s="165"/>
      <c r="I80" s="403"/>
      <c r="J80" s="312"/>
      <c r="K80" s="312"/>
      <c r="L80" s="165"/>
      <c r="M80" s="23"/>
    </row>
    <row r="81" spans="1:13" x14ac:dyDescent="0.2">
      <c r="A81" s="289" t="s">
        <v>12</v>
      </c>
      <c r="B81" s="312"/>
      <c r="C81" s="312"/>
      <c r="D81" s="165"/>
      <c r="E81" s="403"/>
      <c r="F81" s="312"/>
      <c r="G81" s="312"/>
      <c r="H81" s="165"/>
      <c r="I81" s="403"/>
      <c r="J81" s="312"/>
      <c r="K81" s="312"/>
      <c r="L81" s="165"/>
      <c r="M81" s="23"/>
    </row>
    <row r="82" spans="1:13" x14ac:dyDescent="0.2">
      <c r="A82" s="289" t="s">
        <v>13</v>
      </c>
      <c r="B82" s="312"/>
      <c r="C82" s="312"/>
      <c r="D82" s="165"/>
      <c r="E82" s="403"/>
      <c r="F82" s="312"/>
      <c r="G82" s="312"/>
      <c r="H82" s="165"/>
      <c r="I82" s="403"/>
      <c r="J82" s="312"/>
      <c r="K82" s="312"/>
      <c r="L82" s="165"/>
      <c r="M82" s="23"/>
    </row>
    <row r="83" spans="1:13" ht="15.75" x14ac:dyDescent="0.2">
      <c r="A83" s="289" t="s">
        <v>375</v>
      </c>
      <c r="B83" s="312"/>
      <c r="C83" s="312"/>
      <c r="D83" s="165"/>
      <c r="E83" s="403"/>
      <c r="F83" s="312"/>
      <c r="G83" s="312"/>
      <c r="H83" s="165"/>
      <c r="I83" s="403"/>
      <c r="J83" s="312"/>
      <c r="K83" s="312"/>
      <c r="L83" s="165"/>
      <c r="M83" s="23"/>
    </row>
    <row r="84" spans="1:13" x14ac:dyDescent="0.2">
      <c r="A84" s="289" t="s">
        <v>12</v>
      </c>
      <c r="B84" s="312"/>
      <c r="C84" s="312"/>
      <c r="D84" s="165"/>
      <c r="E84" s="403"/>
      <c r="F84" s="312"/>
      <c r="G84" s="312"/>
      <c r="H84" s="165"/>
      <c r="I84" s="403"/>
      <c r="J84" s="312"/>
      <c r="K84" s="312"/>
      <c r="L84" s="165"/>
      <c r="M84" s="23"/>
    </row>
    <row r="85" spans="1:13" x14ac:dyDescent="0.2">
      <c r="A85" s="289" t="s">
        <v>13</v>
      </c>
      <c r="B85" s="312"/>
      <c r="C85" s="312"/>
      <c r="D85" s="165"/>
      <c r="E85" s="403"/>
      <c r="F85" s="312"/>
      <c r="G85" s="312"/>
      <c r="H85" s="165"/>
      <c r="I85" s="403"/>
      <c r="J85" s="312"/>
      <c r="K85" s="312"/>
      <c r="L85" s="165"/>
      <c r="M85" s="23"/>
    </row>
    <row r="86" spans="1:13" ht="15.75" x14ac:dyDescent="0.2">
      <c r="A86" s="21" t="s">
        <v>377</v>
      </c>
      <c r="B86" s="230"/>
      <c r="C86" s="145"/>
      <c r="D86" s="165"/>
      <c r="E86" s="27"/>
      <c r="F86" s="230"/>
      <c r="G86" s="145"/>
      <c r="H86" s="165"/>
      <c r="I86" s="27"/>
      <c r="J86" s="283"/>
      <c r="K86" s="44"/>
      <c r="L86" s="250"/>
      <c r="M86" s="27"/>
    </row>
    <row r="87" spans="1:13" ht="15.75" x14ac:dyDescent="0.2">
      <c r="A87" s="13" t="s">
        <v>359</v>
      </c>
      <c r="B87" s="343">
        <v>906555.65899999999</v>
      </c>
      <c r="C87" s="343">
        <v>944853.11100000003</v>
      </c>
      <c r="D87" s="170">
        <f t="shared" si="14"/>
        <v>4.2</v>
      </c>
      <c r="E87" s="11">
        <f>IFERROR(100/'Skjema total MA'!C87*C87,0)</f>
        <v>0.23355581349000282</v>
      </c>
      <c r="F87" s="342">
        <v>20035177.408</v>
      </c>
      <c r="G87" s="342">
        <v>22996320.552000001</v>
      </c>
      <c r="H87" s="170">
        <f t="shared" si="15"/>
        <v>14.8</v>
      </c>
      <c r="I87" s="11">
        <f>IFERROR(100/'Skjema total MA'!F87*G87,0)</f>
        <v>5.1896331772878641</v>
      </c>
      <c r="J87" s="302">
        <f t="shared" ref="J87:K111" si="18">SUM(B87,F87)</f>
        <v>20941733.067000002</v>
      </c>
      <c r="K87" s="232">
        <f t="shared" si="18"/>
        <v>23941173.663000003</v>
      </c>
      <c r="L87" s="414">
        <f t="shared" si="17"/>
        <v>14.3</v>
      </c>
      <c r="M87" s="11">
        <f>IFERROR(100/'Skjema total MA'!I87*K87,0)</f>
        <v>2.8243451771027734</v>
      </c>
    </row>
    <row r="88" spans="1:13" x14ac:dyDescent="0.2">
      <c r="A88" s="21" t="s">
        <v>9</v>
      </c>
      <c r="B88" s="230">
        <v>906555.65899999999</v>
      </c>
      <c r="C88" s="145">
        <v>944853.11100000003</v>
      </c>
      <c r="D88" s="165">
        <f t="shared" si="14"/>
        <v>4.2</v>
      </c>
      <c r="E88" s="27">
        <f>IFERROR(100/'Skjema total MA'!C88*C88,0)</f>
        <v>0.24210061468915592</v>
      </c>
      <c r="F88" s="230"/>
      <c r="G88" s="145"/>
      <c r="H88" s="165"/>
      <c r="I88" s="27"/>
      <c r="J88" s="283">
        <f t="shared" si="18"/>
        <v>906555.65899999999</v>
      </c>
      <c r="K88" s="44">
        <f t="shared" si="18"/>
        <v>944853.11100000003</v>
      </c>
      <c r="L88" s="250">
        <f t="shared" si="17"/>
        <v>4.2</v>
      </c>
      <c r="M88" s="27">
        <f>IFERROR(100/'Skjema total MA'!I88*K88,0)</f>
        <v>0.24210061468915592</v>
      </c>
    </row>
    <row r="89" spans="1:13" x14ac:dyDescent="0.2">
      <c r="A89" s="21" t="s">
        <v>10</v>
      </c>
      <c r="B89" s="230"/>
      <c r="C89" s="145"/>
      <c r="D89" s="165"/>
      <c r="E89" s="27"/>
      <c r="F89" s="230">
        <v>20035177.408</v>
      </c>
      <c r="G89" s="145">
        <v>22996320.552000001</v>
      </c>
      <c r="H89" s="165">
        <f t="shared" si="15"/>
        <v>14.8</v>
      </c>
      <c r="I89" s="27">
        <f>IFERROR(100/'Skjema total MA'!F89*G89,0)</f>
        <v>5.2485513470081138</v>
      </c>
      <c r="J89" s="283">
        <f t="shared" si="18"/>
        <v>20035177.408</v>
      </c>
      <c r="K89" s="44">
        <f t="shared" si="18"/>
        <v>22996320.552000001</v>
      </c>
      <c r="L89" s="250">
        <f t="shared" si="17"/>
        <v>14.8</v>
      </c>
      <c r="M89" s="27">
        <f>IFERROR(100/'Skjema total MA'!I89*K89,0)</f>
        <v>5.210968137683083</v>
      </c>
    </row>
    <row r="90" spans="1:13" ht="15.75" x14ac:dyDescent="0.2">
      <c r="A90" s="289" t="s">
        <v>374</v>
      </c>
      <c r="B90" s="312"/>
      <c r="C90" s="312"/>
      <c r="D90" s="165"/>
      <c r="E90" s="403"/>
      <c r="F90" s="312"/>
      <c r="G90" s="312"/>
      <c r="H90" s="165"/>
      <c r="I90" s="403"/>
      <c r="J90" s="312"/>
      <c r="K90" s="312"/>
      <c r="L90" s="165"/>
      <c r="M90" s="23"/>
    </row>
    <row r="91" spans="1:13" x14ac:dyDescent="0.2">
      <c r="A91" s="289" t="s">
        <v>12</v>
      </c>
      <c r="B91" s="312"/>
      <c r="C91" s="312"/>
      <c r="D91" s="165"/>
      <c r="E91" s="403"/>
      <c r="F91" s="312"/>
      <c r="G91" s="312"/>
      <c r="H91" s="165"/>
      <c r="I91" s="403"/>
      <c r="J91" s="312"/>
      <c r="K91" s="312"/>
      <c r="L91" s="165"/>
      <c r="M91" s="23"/>
    </row>
    <row r="92" spans="1:13" x14ac:dyDescent="0.2">
      <c r="A92" s="289" t="s">
        <v>13</v>
      </c>
      <c r="B92" s="312"/>
      <c r="C92" s="312"/>
      <c r="D92" s="165"/>
      <c r="E92" s="403"/>
      <c r="F92" s="312"/>
      <c r="G92" s="312"/>
      <c r="H92" s="165"/>
      <c r="I92" s="403"/>
      <c r="J92" s="312"/>
      <c r="K92" s="312"/>
      <c r="L92" s="165"/>
      <c r="M92" s="23"/>
    </row>
    <row r="93" spans="1:13" ht="15.75" x14ac:dyDescent="0.2">
      <c r="A93" s="289" t="s">
        <v>375</v>
      </c>
      <c r="B93" s="312"/>
      <c r="C93" s="312"/>
      <c r="D93" s="165"/>
      <c r="E93" s="403"/>
      <c r="F93" s="312"/>
      <c r="G93" s="312"/>
      <c r="H93" s="165"/>
      <c r="I93" s="403"/>
      <c r="J93" s="312"/>
      <c r="K93" s="312"/>
      <c r="L93" s="165"/>
      <c r="M93" s="23"/>
    </row>
    <row r="94" spans="1:13" x14ac:dyDescent="0.2">
      <c r="A94" s="289" t="s">
        <v>12</v>
      </c>
      <c r="B94" s="231"/>
      <c r="C94" s="285"/>
      <c r="D94" s="165"/>
      <c r="E94" s="403"/>
      <c r="F94" s="312"/>
      <c r="G94" s="312"/>
      <c r="H94" s="165"/>
      <c r="I94" s="403"/>
      <c r="J94" s="312"/>
      <c r="K94" s="312"/>
      <c r="L94" s="165"/>
      <c r="M94" s="23"/>
    </row>
    <row r="95" spans="1:13" x14ac:dyDescent="0.2">
      <c r="A95" s="289" t="s">
        <v>13</v>
      </c>
      <c r="B95" s="231"/>
      <c r="C95" s="285"/>
      <c r="D95" s="165"/>
      <c r="E95" s="403"/>
      <c r="F95" s="312"/>
      <c r="G95" s="312"/>
      <c r="H95" s="165"/>
      <c r="I95" s="403"/>
      <c r="J95" s="312"/>
      <c r="K95" s="312"/>
      <c r="L95" s="165"/>
      <c r="M95" s="23"/>
    </row>
    <row r="96" spans="1:13" x14ac:dyDescent="0.2">
      <c r="A96" s="21" t="s">
        <v>342</v>
      </c>
      <c r="B96" s="230"/>
      <c r="C96" s="145"/>
      <c r="D96" s="165"/>
      <c r="E96" s="27"/>
      <c r="F96" s="230"/>
      <c r="G96" s="145"/>
      <c r="H96" s="165"/>
      <c r="I96" s="27"/>
      <c r="J96" s="283"/>
      <c r="K96" s="44"/>
      <c r="L96" s="250"/>
      <c r="M96" s="27"/>
    </row>
    <row r="97" spans="1:13" x14ac:dyDescent="0.2">
      <c r="A97" s="21" t="s">
        <v>341</v>
      </c>
      <c r="B97" s="230"/>
      <c r="C97" s="145"/>
      <c r="D97" s="165"/>
      <c r="E97" s="27"/>
      <c r="F97" s="230"/>
      <c r="G97" s="145"/>
      <c r="H97" s="165"/>
      <c r="I97" s="27"/>
      <c r="J97" s="283"/>
      <c r="K97" s="44"/>
      <c r="L97" s="250"/>
      <c r="M97" s="27"/>
    </row>
    <row r="98" spans="1:13" ht="15.75" x14ac:dyDescent="0.2">
      <c r="A98" s="21" t="s">
        <v>376</v>
      </c>
      <c r="B98" s="230">
        <v>906555.65899999999</v>
      </c>
      <c r="C98" s="230">
        <v>944853.11100000003</v>
      </c>
      <c r="D98" s="165">
        <f t="shared" si="14"/>
        <v>4.2</v>
      </c>
      <c r="E98" s="27">
        <f>IFERROR(100/'Skjema total MA'!C98*C98,0)</f>
        <v>0.2429294414839607</v>
      </c>
      <c r="F98" s="287">
        <v>20035177.408</v>
      </c>
      <c r="G98" s="287">
        <v>22996320.552000001</v>
      </c>
      <c r="H98" s="165">
        <f t="shared" si="15"/>
        <v>14.8</v>
      </c>
      <c r="I98" s="27">
        <f>IFERROR(100/'Skjema total MA'!F98*G98,0)</f>
        <v>5.259036180410976</v>
      </c>
      <c r="J98" s="283">
        <f t="shared" si="18"/>
        <v>20941733.067000002</v>
      </c>
      <c r="K98" s="44">
        <f t="shared" si="18"/>
        <v>23941173.663000003</v>
      </c>
      <c r="L98" s="250">
        <f t="shared" si="17"/>
        <v>14.3</v>
      </c>
      <c r="M98" s="27">
        <f>IFERROR(100/'Skjema total MA'!I98*K98,0)</f>
        <v>2.8976967720199522</v>
      </c>
    </row>
    <row r="99" spans="1:13" x14ac:dyDescent="0.2">
      <c r="A99" s="21" t="s">
        <v>9</v>
      </c>
      <c r="B99" s="287">
        <v>906555.65899999999</v>
      </c>
      <c r="C99" s="288">
        <v>944853.11100000003</v>
      </c>
      <c r="D99" s="165">
        <f t="shared" si="14"/>
        <v>4.2</v>
      </c>
      <c r="E99" s="27">
        <f>IFERROR(100/'Skjema total MA'!C99*C99,0)</f>
        <v>0.24491935088000361</v>
      </c>
      <c r="F99" s="230"/>
      <c r="G99" s="145"/>
      <c r="H99" s="165"/>
      <c r="I99" s="27"/>
      <c r="J99" s="283">
        <f t="shared" si="18"/>
        <v>906555.65899999999</v>
      </c>
      <c r="K99" s="44">
        <f t="shared" si="18"/>
        <v>944853.11100000003</v>
      </c>
      <c r="L99" s="250">
        <f t="shared" si="17"/>
        <v>4.2</v>
      </c>
      <c r="M99" s="27">
        <f>IFERROR(100/'Skjema total MA'!I99*K99,0)</f>
        <v>0.24491935088000361</v>
      </c>
    </row>
    <row r="100" spans="1:13" x14ac:dyDescent="0.2">
      <c r="A100" s="38" t="s">
        <v>413</v>
      </c>
      <c r="B100" s="287"/>
      <c r="C100" s="288"/>
      <c r="D100" s="165"/>
      <c r="E100" s="27"/>
      <c r="F100" s="230">
        <v>20035177.408</v>
      </c>
      <c r="G100" s="230">
        <v>22996320.552000001</v>
      </c>
      <c r="H100" s="165">
        <f t="shared" si="15"/>
        <v>14.8</v>
      </c>
      <c r="I100" s="27">
        <f>IFERROR(100/'Skjema total MA'!F100*G100,0)</f>
        <v>5.259036180410976</v>
      </c>
      <c r="J100" s="283">
        <f t="shared" si="18"/>
        <v>20035177.408</v>
      </c>
      <c r="K100" s="44">
        <f t="shared" si="18"/>
        <v>22996320.552000001</v>
      </c>
      <c r="L100" s="250">
        <f t="shared" si="17"/>
        <v>14.8</v>
      </c>
      <c r="M100" s="27">
        <f>IFERROR(100/'Skjema total MA'!I100*K100,0)</f>
        <v>5.2213032037361282</v>
      </c>
    </row>
    <row r="101" spans="1:13" ht="15.75" x14ac:dyDescent="0.2">
      <c r="A101" s="289" t="s">
        <v>374</v>
      </c>
      <c r="B101" s="312"/>
      <c r="C101" s="312"/>
      <c r="D101" s="165"/>
      <c r="E101" s="403"/>
      <c r="F101" s="312"/>
      <c r="G101" s="312"/>
      <c r="H101" s="165"/>
      <c r="I101" s="403"/>
      <c r="J101" s="312"/>
      <c r="K101" s="312"/>
      <c r="L101" s="165"/>
      <c r="M101" s="23"/>
    </row>
    <row r="102" spans="1:13" x14ac:dyDescent="0.2">
      <c r="A102" s="289" t="s">
        <v>12</v>
      </c>
      <c r="B102" s="312"/>
      <c r="C102" s="312"/>
      <c r="D102" s="165"/>
      <c r="E102" s="403"/>
      <c r="F102" s="312"/>
      <c r="G102" s="312"/>
      <c r="H102" s="165"/>
      <c r="I102" s="403"/>
      <c r="J102" s="312"/>
      <c r="K102" s="312"/>
      <c r="L102" s="165"/>
      <c r="M102" s="23"/>
    </row>
    <row r="103" spans="1:13" x14ac:dyDescent="0.2">
      <c r="A103" s="289" t="s">
        <v>13</v>
      </c>
      <c r="B103" s="312"/>
      <c r="C103" s="312"/>
      <c r="D103" s="165"/>
      <c r="E103" s="403"/>
      <c r="F103" s="312"/>
      <c r="G103" s="312"/>
      <c r="H103" s="165"/>
      <c r="I103" s="403"/>
      <c r="J103" s="312"/>
      <c r="K103" s="312"/>
      <c r="L103" s="165"/>
      <c r="M103" s="23"/>
    </row>
    <row r="104" spans="1:13" ht="15.75" x14ac:dyDescent="0.2">
      <c r="A104" s="289" t="s">
        <v>375</v>
      </c>
      <c r="B104" s="312"/>
      <c r="C104" s="312"/>
      <c r="D104" s="165"/>
      <c r="E104" s="403"/>
      <c r="F104" s="312"/>
      <c r="G104" s="312"/>
      <c r="H104" s="165"/>
      <c r="I104" s="403"/>
      <c r="J104" s="312"/>
      <c r="K104" s="312"/>
      <c r="L104" s="165"/>
      <c r="M104" s="23"/>
    </row>
    <row r="105" spans="1:13" x14ac:dyDescent="0.2">
      <c r="A105" s="289" t="s">
        <v>12</v>
      </c>
      <c r="B105" s="231"/>
      <c r="C105" s="285"/>
      <c r="D105" s="165"/>
      <c r="E105" s="403"/>
      <c r="F105" s="312"/>
      <c r="G105" s="312"/>
      <c r="H105" s="165"/>
      <c r="I105" s="403"/>
      <c r="J105" s="312"/>
      <c r="K105" s="312"/>
      <c r="L105" s="165"/>
      <c r="M105" s="23"/>
    </row>
    <row r="106" spans="1:13" x14ac:dyDescent="0.2">
      <c r="A106" s="289" t="s">
        <v>13</v>
      </c>
      <c r="B106" s="231"/>
      <c r="C106" s="285"/>
      <c r="D106" s="165"/>
      <c r="E106" s="403"/>
      <c r="F106" s="312"/>
      <c r="G106" s="312"/>
      <c r="H106" s="165"/>
      <c r="I106" s="403"/>
      <c r="J106" s="312"/>
      <c r="K106" s="312"/>
      <c r="L106" s="165"/>
      <c r="M106" s="23"/>
    </row>
    <row r="107" spans="1:13" ht="15.75" x14ac:dyDescent="0.2">
      <c r="A107" s="21" t="s">
        <v>377</v>
      </c>
      <c r="B107" s="230"/>
      <c r="C107" s="145"/>
      <c r="D107" s="165"/>
      <c r="E107" s="27"/>
      <c r="F107" s="230"/>
      <c r="G107" s="145"/>
      <c r="H107" s="165"/>
      <c r="I107" s="27"/>
      <c r="J107" s="283"/>
      <c r="K107" s="44"/>
      <c r="L107" s="250"/>
      <c r="M107" s="27"/>
    </row>
    <row r="108" spans="1:13" ht="15.75" x14ac:dyDescent="0.2">
      <c r="A108" s="21" t="s">
        <v>378</v>
      </c>
      <c r="B108" s="230">
        <v>212087.158</v>
      </c>
      <c r="C108" s="230">
        <v>154879</v>
      </c>
      <c r="D108" s="165">
        <f t="shared" si="14"/>
        <v>-27</v>
      </c>
      <c r="E108" s="27">
        <f>IFERROR(100/'Skjema total MA'!C108*C108,0)</f>
        <v>4.6216227575183289E-2</v>
      </c>
      <c r="F108" s="230">
        <v>212087.158</v>
      </c>
      <c r="G108" s="230">
        <v>222291.595</v>
      </c>
      <c r="H108" s="165">
        <f t="shared" si="15"/>
        <v>4.8</v>
      </c>
      <c r="I108" s="27">
        <f>IFERROR(100/'Skjema total MA'!F108*G108,0)</f>
        <v>1.0906460536734355</v>
      </c>
      <c r="J108" s="283">
        <f t="shared" si="18"/>
        <v>424174.31599999999</v>
      </c>
      <c r="K108" s="44">
        <f t="shared" si="18"/>
        <v>377170.59499999997</v>
      </c>
      <c r="L108" s="250">
        <f t="shared" si="17"/>
        <v>-11.1</v>
      </c>
      <c r="M108" s="27">
        <f>IFERROR(100/'Skjema total MA'!I108*K108,0)</f>
        <v>0.10609584741202176</v>
      </c>
    </row>
    <row r="109" spans="1:13" ht="15.6" customHeight="1" x14ac:dyDescent="0.2">
      <c r="A109" s="21" t="s">
        <v>430</v>
      </c>
      <c r="B109" s="230"/>
      <c r="C109" s="230"/>
      <c r="D109" s="165"/>
      <c r="E109" s="27"/>
      <c r="F109" s="230">
        <v>6835256.4519999996</v>
      </c>
      <c r="G109" s="230">
        <v>8496128.3369999994</v>
      </c>
      <c r="H109" s="165">
        <f t="shared" si="15"/>
        <v>24.3</v>
      </c>
      <c r="I109" s="27">
        <f>IFERROR(100/'Skjema total MA'!F109*G109,0)</f>
        <v>5.4860223648337438</v>
      </c>
      <c r="J109" s="283">
        <f t="shared" si="18"/>
        <v>6835256.4519999996</v>
      </c>
      <c r="K109" s="44">
        <f t="shared" si="18"/>
        <v>8496128.3369999994</v>
      </c>
      <c r="L109" s="250">
        <f t="shared" si="17"/>
        <v>24.3</v>
      </c>
      <c r="M109" s="27">
        <f>IFERROR(100/'Skjema total MA'!I109*K109,0)</f>
        <v>5.4215776910034208</v>
      </c>
    </row>
    <row r="110" spans="1:13" ht="15.75" x14ac:dyDescent="0.2">
      <c r="A110" s="21" t="s">
        <v>379</v>
      </c>
      <c r="B110" s="230"/>
      <c r="C110" s="230"/>
      <c r="D110" s="165"/>
      <c r="E110" s="27"/>
      <c r="F110" s="230"/>
      <c r="G110" s="230"/>
      <c r="H110" s="165"/>
      <c r="I110" s="27"/>
      <c r="J110" s="283"/>
      <c r="K110" s="44"/>
      <c r="L110" s="250"/>
      <c r="M110" s="27"/>
    </row>
    <row r="111" spans="1:13" ht="15.75" x14ac:dyDescent="0.2">
      <c r="A111" s="13" t="s">
        <v>360</v>
      </c>
      <c r="B111" s="301">
        <v>10744.61</v>
      </c>
      <c r="C111" s="158">
        <v>2178.471</v>
      </c>
      <c r="D111" s="170">
        <f t="shared" si="14"/>
        <v>-79.7</v>
      </c>
      <c r="E111" s="11">
        <f>IFERROR(100/'Skjema total MA'!C111*C111,0)</f>
        <v>0.63255550590808063</v>
      </c>
      <c r="F111" s="301">
        <v>533400.10699999996</v>
      </c>
      <c r="G111" s="158">
        <v>781260.22</v>
      </c>
      <c r="H111" s="170">
        <f t="shared" si="15"/>
        <v>46.5</v>
      </c>
      <c r="I111" s="11">
        <f>IFERROR(100/'Skjema total MA'!F111*G111,0)</f>
        <v>6.9089396475953437</v>
      </c>
      <c r="J111" s="302">
        <f t="shared" si="18"/>
        <v>544144.71699999995</v>
      </c>
      <c r="K111" s="232">
        <f t="shared" si="18"/>
        <v>783438.69099999999</v>
      </c>
      <c r="L111" s="414">
        <f t="shared" si="17"/>
        <v>44</v>
      </c>
      <c r="M111" s="11">
        <f>IFERROR(100/'Skjema total MA'!I111*K111,0)</f>
        <v>6.7234374694828807</v>
      </c>
    </row>
    <row r="112" spans="1:13" x14ac:dyDescent="0.2">
      <c r="A112" s="21" t="s">
        <v>9</v>
      </c>
      <c r="B112" s="230">
        <v>10744.61</v>
      </c>
      <c r="C112" s="145">
        <v>2178.471</v>
      </c>
      <c r="D112" s="165">
        <f t="shared" si="14"/>
        <v>-79.7</v>
      </c>
      <c r="E112" s="27">
        <f>IFERROR(100/'Skjema total MA'!C112*C112,0)</f>
        <v>1.4586336019424309</v>
      </c>
      <c r="F112" s="230"/>
      <c r="G112" s="145"/>
      <c r="H112" s="165"/>
      <c r="I112" s="27"/>
      <c r="J112" s="283">
        <f t="shared" ref="J112:K125" si="19">SUM(B112,F112)</f>
        <v>10744.61</v>
      </c>
      <c r="K112" s="44">
        <f t="shared" si="19"/>
        <v>2178.471</v>
      </c>
      <c r="L112" s="250">
        <f t="shared" si="17"/>
        <v>-79.7</v>
      </c>
      <c r="M112" s="27">
        <f>IFERROR(100/'Skjema total MA'!I112*K112,0)</f>
        <v>1.4568879910490866</v>
      </c>
    </row>
    <row r="113" spans="1:14" x14ac:dyDescent="0.2">
      <c r="A113" s="21" t="s">
        <v>10</v>
      </c>
      <c r="B113" s="230"/>
      <c r="C113" s="145"/>
      <c r="D113" s="165"/>
      <c r="E113" s="27"/>
      <c r="F113" s="230">
        <v>533400.10699999996</v>
      </c>
      <c r="G113" s="145">
        <v>781260.22</v>
      </c>
      <c r="H113" s="165">
        <f t="shared" si="15"/>
        <v>46.5</v>
      </c>
      <c r="I113" s="27">
        <f>IFERROR(100/'Skjema total MA'!F113*G113,0)</f>
        <v>6.9090489829978203</v>
      </c>
      <c r="J113" s="283">
        <f t="shared" si="19"/>
        <v>533400.10699999996</v>
      </c>
      <c r="K113" s="44">
        <f t="shared" si="19"/>
        <v>781260.22</v>
      </c>
      <c r="L113" s="250">
        <f t="shared" si="17"/>
        <v>46.5</v>
      </c>
      <c r="M113" s="27">
        <f>IFERROR(100/'Skjema total MA'!I113*K113,0)</f>
        <v>6.9090489829978203</v>
      </c>
    </row>
    <row r="114" spans="1:14" x14ac:dyDescent="0.2">
      <c r="A114" s="21" t="s">
        <v>26</v>
      </c>
      <c r="B114" s="230"/>
      <c r="C114" s="145"/>
      <c r="D114" s="165"/>
      <c r="E114" s="27"/>
      <c r="F114" s="230"/>
      <c r="G114" s="145"/>
      <c r="H114" s="165"/>
      <c r="I114" s="27"/>
      <c r="J114" s="283"/>
      <c r="K114" s="44"/>
      <c r="L114" s="250"/>
      <c r="M114" s="27"/>
    </row>
    <row r="115" spans="1:14" x14ac:dyDescent="0.2">
      <c r="A115" s="289" t="s">
        <v>15</v>
      </c>
      <c r="B115" s="312"/>
      <c r="C115" s="312"/>
      <c r="D115" s="165"/>
      <c r="E115" s="403"/>
      <c r="F115" s="312"/>
      <c r="G115" s="312"/>
      <c r="H115" s="165"/>
      <c r="I115" s="403"/>
      <c r="J115" s="312"/>
      <c r="K115" s="312"/>
      <c r="L115" s="165"/>
      <c r="M115" s="23"/>
    </row>
    <row r="116" spans="1:14" ht="15.75" x14ac:dyDescent="0.2">
      <c r="A116" s="21" t="s">
        <v>380</v>
      </c>
      <c r="B116" s="230"/>
      <c r="C116" s="230"/>
      <c r="D116" s="165"/>
      <c r="E116" s="27"/>
      <c r="F116" s="230"/>
      <c r="G116" s="230"/>
      <c r="H116" s="165"/>
      <c r="I116" s="27"/>
      <c r="J116" s="283"/>
      <c r="K116" s="44"/>
      <c r="L116" s="250"/>
      <c r="M116" s="27"/>
    </row>
    <row r="117" spans="1:14" ht="18" customHeight="1" x14ac:dyDescent="0.2">
      <c r="A117" s="21" t="s">
        <v>430</v>
      </c>
      <c r="B117" s="230"/>
      <c r="C117" s="230"/>
      <c r="D117" s="165"/>
      <c r="E117" s="27"/>
      <c r="F117" s="230">
        <v>51539.108</v>
      </c>
      <c r="G117" s="230">
        <v>531910</v>
      </c>
      <c r="H117" s="165">
        <f t="shared" si="15"/>
        <v>932.1</v>
      </c>
      <c r="I117" s="27">
        <f>IFERROR(100/'Skjema total MA'!F117*G117,0)</f>
        <v>9.2432535510872267</v>
      </c>
      <c r="J117" s="283">
        <f t="shared" si="19"/>
        <v>51539.108</v>
      </c>
      <c r="K117" s="44">
        <f t="shared" si="19"/>
        <v>531910</v>
      </c>
      <c r="L117" s="250">
        <f t="shared" si="17"/>
        <v>932.1</v>
      </c>
      <c r="M117" s="27">
        <f>IFERROR(100/'Skjema total MA'!I117*K117,0)</f>
        <v>9.2432535510872267</v>
      </c>
    </row>
    <row r="118" spans="1:14" ht="15.75" x14ac:dyDescent="0.2">
      <c r="A118" s="21" t="s">
        <v>379</v>
      </c>
      <c r="B118" s="230"/>
      <c r="C118" s="230"/>
      <c r="D118" s="165"/>
      <c r="E118" s="27"/>
      <c r="F118" s="230"/>
      <c r="G118" s="230"/>
      <c r="H118" s="165"/>
      <c r="I118" s="27"/>
      <c r="J118" s="283"/>
      <c r="K118" s="44"/>
      <c r="L118" s="250"/>
      <c r="M118" s="27"/>
    </row>
    <row r="119" spans="1:14" ht="15.75" x14ac:dyDescent="0.2">
      <c r="A119" s="13" t="s">
        <v>361</v>
      </c>
      <c r="B119" s="301">
        <v>4571.1589999999997</v>
      </c>
      <c r="C119" s="158">
        <v>5931.4139999999998</v>
      </c>
      <c r="D119" s="170">
        <f t="shared" si="14"/>
        <v>29.8</v>
      </c>
      <c r="E119" s="11">
        <f>IFERROR(100/'Skjema total MA'!C119*C119,0)</f>
        <v>1.6683834474839194</v>
      </c>
      <c r="F119" s="301">
        <v>600993.43700000003</v>
      </c>
      <c r="G119" s="158">
        <v>898232.47400000005</v>
      </c>
      <c r="H119" s="170">
        <f t="shared" si="15"/>
        <v>49.5</v>
      </c>
      <c r="I119" s="11">
        <f>IFERROR(100/'Skjema total MA'!F119*G119,0)</f>
        <v>7.4099100075881763</v>
      </c>
      <c r="J119" s="302">
        <f t="shared" si="19"/>
        <v>605564.59600000002</v>
      </c>
      <c r="K119" s="232">
        <f t="shared" si="19"/>
        <v>904163.88800000004</v>
      </c>
      <c r="L119" s="414">
        <f t="shared" si="17"/>
        <v>49.3</v>
      </c>
      <c r="M119" s="11">
        <f>IFERROR(100/'Skjema total MA'!I119*K119,0)</f>
        <v>7.2463187761525738</v>
      </c>
    </row>
    <row r="120" spans="1:14" x14ac:dyDescent="0.2">
      <c r="A120" s="21" t="s">
        <v>9</v>
      </c>
      <c r="B120" s="230">
        <v>4571.1589999999997</v>
      </c>
      <c r="C120" s="145">
        <v>5931.4139999999998</v>
      </c>
      <c r="D120" s="165">
        <f t="shared" si="14"/>
        <v>29.8</v>
      </c>
      <c r="E120" s="27">
        <f>IFERROR(100/'Skjema total MA'!C120*C120,0)</f>
        <v>6.838458268801956</v>
      </c>
      <c r="F120" s="230"/>
      <c r="G120" s="145"/>
      <c r="H120" s="165"/>
      <c r="I120" s="27"/>
      <c r="J120" s="283">
        <f t="shared" si="19"/>
        <v>4571.1589999999997</v>
      </c>
      <c r="K120" s="44">
        <f t="shared" si="19"/>
        <v>5931.4139999999998</v>
      </c>
      <c r="L120" s="250">
        <f t="shared" si="17"/>
        <v>29.8</v>
      </c>
      <c r="M120" s="27">
        <f>IFERROR(100/'Skjema total MA'!I120*K120,0)</f>
        <v>6.838458268801956</v>
      </c>
    </row>
    <row r="121" spans="1:14" x14ac:dyDescent="0.2">
      <c r="A121" s="21" t="s">
        <v>10</v>
      </c>
      <c r="B121" s="230"/>
      <c r="C121" s="145"/>
      <c r="D121" s="165"/>
      <c r="E121" s="27"/>
      <c r="F121" s="230">
        <v>600993.43700000003</v>
      </c>
      <c r="G121" s="145">
        <v>898232.47400000005</v>
      </c>
      <c r="H121" s="165">
        <f t="shared" si="15"/>
        <v>49.5</v>
      </c>
      <c r="I121" s="27">
        <f>IFERROR(100/'Skjema total MA'!F121*G121,0)</f>
        <v>7.4099100075881763</v>
      </c>
      <c r="J121" s="283">
        <f t="shared" si="19"/>
        <v>600993.43700000003</v>
      </c>
      <c r="K121" s="44">
        <f t="shared" si="19"/>
        <v>898232.47400000005</v>
      </c>
      <c r="L121" s="250">
        <f t="shared" si="17"/>
        <v>49.5</v>
      </c>
      <c r="M121" s="27">
        <f>IFERROR(100/'Skjema total MA'!I121*K121,0)</f>
        <v>7.4067837240788954</v>
      </c>
    </row>
    <row r="122" spans="1:14" x14ac:dyDescent="0.2">
      <c r="A122" s="21" t="s">
        <v>26</v>
      </c>
      <c r="B122" s="230"/>
      <c r="C122" s="145"/>
      <c r="D122" s="165"/>
      <c r="E122" s="27"/>
      <c r="F122" s="230"/>
      <c r="G122" s="145"/>
      <c r="H122" s="165"/>
      <c r="I122" s="27"/>
      <c r="J122" s="283"/>
      <c r="K122" s="44"/>
      <c r="L122" s="250"/>
      <c r="M122" s="27"/>
    </row>
    <row r="123" spans="1:14" x14ac:dyDescent="0.2">
      <c r="A123" s="289" t="s">
        <v>14</v>
      </c>
      <c r="B123" s="312"/>
      <c r="C123" s="312"/>
      <c r="D123" s="165"/>
      <c r="E123" s="403"/>
      <c r="F123" s="312"/>
      <c r="G123" s="312"/>
      <c r="H123" s="165"/>
      <c r="I123" s="403"/>
      <c r="J123" s="312"/>
      <c r="K123" s="312"/>
      <c r="L123" s="165"/>
      <c r="M123" s="23"/>
    </row>
    <row r="124" spans="1:14" ht="15.75" x14ac:dyDescent="0.2">
      <c r="A124" s="21" t="s">
        <v>385</v>
      </c>
      <c r="B124" s="230"/>
      <c r="C124" s="230"/>
      <c r="D124" s="165"/>
      <c r="E124" s="27"/>
      <c r="F124" s="230"/>
      <c r="G124" s="230"/>
      <c r="H124" s="165"/>
      <c r="I124" s="27"/>
      <c r="J124" s="283"/>
      <c r="K124" s="44"/>
      <c r="L124" s="250"/>
      <c r="M124" s="27"/>
    </row>
    <row r="125" spans="1:14" ht="16.149999999999999" customHeight="1" x14ac:dyDescent="0.2">
      <c r="A125" s="21" t="s">
        <v>430</v>
      </c>
      <c r="B125" s="230"/>
      <c r="C125" s="230"/>
      <c r="D125" s="165"/>
      <c r="E125" s="27"/>
      <c r="F125" s="230">
        <v>66628.255999999994</v>
      </c>
      <c r="G125" s="230">
        <v>768533</v>
      </c>
      <c r="H125" s="165">
        <f t="shared" si="15"/>
        <v>999</v>
      </c>
      <c r="I125" s="27">
        <f>IFERROR(100/'Skjema total MA'!F125*G125,0)</f>
        <v>13.521107868206345</v>
      </c>
      <c r="J125" s="283">
        <f t="shared" si="19"/>
        <v>66628.255999999994</v>
      </c>
      <c r="K125" s="44">
        <f t="shared" si="19"/>
        <v>768533</v>
      </c>
      <c r="L125" s="250">
        <f t="shared" si="17"/>
        <v>999</v>
      </c>
      <c r="M125" s="27">
        <f>IFERROR(100/'Skjema total MA'!I125*K125,0)</f>
        <v>13.521068914886303</v>
      </c>
    </row>
    <row r="126" spans="1:14" ht="15.75" x14ac:dyDescent="0.2">
      <c r="A126" s="10" t="s">
        <v>379</v>
      </c>
      <c r="B126" s="45"/>
      <c r="C126" s="45"/>
      <c r="D126" s="166"/>
      <c r="E126" s="404"/>
      <c r="F126" s="45"/>
      <c r="G126" s="45"/>
      <c r="H126" s="166"/>
      <c r="I126" s="22"/>
      <c r="J126" s="284"/>
      <c r="K126" s="45"/>
      <c r="L126" s="251"/>
      <c r="M126" s="22"/>
    </row>
    <row r="127" spans="1:14" x14ac:dyDescent="0.2">
      <c r="A127" s="154"/>
      <c r="L127" s="26"/>
      <c r="M127" s="26"/>
      <c r="N127" s="26"/>
    </row>
    <row r="128" spans="1:14" x14ac:dyDescent="0.2">
      <c r="L128" s="26"/>
      <c r="M128" s="26"/>
      <c r="N128" s="26"/>
    </row>
    <row r="129" spans="1:14" ht="15.75" x14ac:dyDescent="0.25">
      <c r="A129" s="164" t="s">
        <v>27</v>
      </c>
    </row>
    <row r="130" spans="1:14" ht="15.75" x14ac:dyDescent="0.25">
      <c r="B130" s="724"/>
      <c r="C130" s="724"/>
      <c r="D130" s="724"/>
      <c r="E130" s="392"/>
      <c r="F130" s="724"/>
      <c r="G130" s="724"/>
      <c r="H130" s="724"/>
      <c r="I130" s="392"/>
      <c r="J130" s="724"/>
      <c r="K130" s="724"/>
      <c r="L130" s="724"/>
      <c r="M130" s="392"/>
    </row>
    <row r="131" spans="1:14" s="3" customFormat="1" x14ac:dyDescent="0.2">
      <c r="A131" s="144"/>
      <c r="B131" s="725" t="s">
        <v>0</v>
      </c>
      <c r="C131" s="726"/>
      <c r="D131" s="726"/>
      <c r="E131" s="391"/>
      <c r="F131" s="725" t="s">
        <v>1</v>
      </c>
      <c r="G131" s="726"/>
      <c r="H131" s="726"/>
      <c r="I131" s="394"/>
      <c r="J131" s="725" t="s">
        <v>2</v>
      </c>
      <c r="K131" s="726"/>
      <c r="L131" s="726"/>
      <c r="M131" s="394"/>
      <c r="N131" s="148"/>
    </row>
    <row r="132" spans="1:14" s="3" customFormat="1" x14ac:dyDescent="0.2">
      <c r="A132" s="140"/>
      <c r="B132" s="20">
        <v>44286</v>
      </c>
      <c r="C132" s="20">
        <v>44651</v>
      </c>
      <c r="D132" s="241" t="s">
        <v>3</v>
      </c>
      <c r="E132" s="298" t="s">
        <v>29</v>
      </c>
      <c r="F132" s="20">
        <v>44286</v>
      </c>
      <c r="G132" s="20">
        <v>44651</v>
      </c>
      <c r="H132" s="202" t="s">
        <v>3</v>
      </c>
      <c r="I132" s="161" t="s">
        <v>29</v>
      </c>
      <c r="J132" s="20">
        <v>44286</v>
      </c>
      <c r="K132" s="20">
        <v>44651</v>
      </c>
      <c r="L132" s="242" t="s">
        <v>3</v>
      </c>
      <c r="M132" s="161" t="s">
        <v>29</v>
      </c>
      <c r="N132" s="148"/>
    </row>
    <row r="133" spans="1:14" s="3" customFormat="1" x14ac:dyDescent="0.2">
      <c r="A133" s="701"/>
      <c r="B133" s="155"/>
      <c r="C133" s="155"/>
      <c r="D133" s="242" t="s">
        <v>4</v>
      </c>
      <c r="E133" s="155" t="s">
        <v>30</v>
      </c>
      <c r="F133" s="160"/>
      <c r="G133" s="160"/>
      <c r="H133" s="202" t="s">
        <v>4</v>
      </c>
      <c r="I133" s="155" t="s">
        <v>30</v>
      </c>
      <c r="J133" s="155"/>
      <c r="K133" s="155"/>
      <c r="L133" s="150" t="s">
        <v>4</v>
      </c>
      <c r="M133" s="155" t="s">
        <v>30</v>
      </c>
      <c r="N133" s="148"/>
    </row>
    <row r="134" spans="1:14" s="3" customFormat="1" ht="15.75" x14ac:dyDescent="0.2">
      <c r="A134" s="14" t="s">
        <v>381</v>
      </c>
      <c r="B134" s="232"/>
      <c r="C134" s="302"/>
      <c r="D134" s="340"/>
      <c r="E134" s="11"/>
      <c r="F134" s="309"/>
      <c r="G134" s="310"/>
      <c r="H134" s="417"/>
      <c r="I134" s="24"/>
      <c r="J134" s="311"/>
      <c r="K134" s="311"/>
      <c r="L134" s="413"/>
      <c r="M134" s="11"/>
      <c r="N134" s="148"/>
    </row>
    <row r="135" spans="1:14" s="3" customFormat="1" ht="15.75" x14ac:dyDescent="0.2">
      <c r="A135" s="13" t="s">
        <v>386</v>
      </c>
      <c r="B135" s="232"/>
      <c r="C135" s="302"/>
      <c r="D135" s="170"/>
      <c r="E135" s="11"/>
      <c r="F135" s="232"/>
      <c r="G135" s="302"/>
      <c r="H135" s="418"/>
      <c r="I135" s="24"/>
      <c r="J135" s="301"/>
      <c r="K135" s="301"/>
      <c r="L135" s="414"/>
      <c r="M135" s="11"/>
      <c r="N135" s="148"/>
    </row>
    <row r="136" spans="1:14" s="3" customFormat="1" ht="15.75" x14ac:dyDescent="0.2">
      <c r="A136" s="13" t="s">
        <v>383</v>
      </c>
      <c r="B136" s="232"/>
      <c r="C136" s="302"/>
      <c r="D136" s="170"/>
      <c r="E136" s="11"/>
      <c r="F136" s="232"/>
      <c r="G136" s="302"/>
      <c r="H136" s="418"/>
      <c r="I136" s="24"/>
      <c r="J136" s="301"/>
      <c r="K136" s="301"/>
      <c r="L136" s="414"/>
      <c r="M136" s="11"/>
      <c r="N136" s="148"/>
    </row>
    <row r="137" spans="1:14" s="3" customFormat="1" ht="15.75" x14ac:dyDescent="0.2">
      <c r="A137" s="41" t="s">
        <v>384</v>
      </c>
      <c r="B137" s="272"/>
      <c r="C137" s="308"/>
      <c r="D137" s="168"/>
      <c r="E137" s="9"/>
      <c r="F137" s="272"/>
      <c r="G137" s="308"/>
      <c r="H137" s="419"/>
      <c r="I137" s="36"/>
      <c r="J137" s="307"/>
      <c r="K137" s="307"/>
      <c r="L137" s="415"/>
      <c r="M137" s="36"/>
      <c r="N137" s="148"/>
    </row>
    <row r="138" spans="1:14" s="3" customFormat="1" x14ac:dyDescent="0.2">
      <c r="A138" s="167"/>
      <c r="B138" s="33"/>
      <c r="C138" s="33"/>
      <c r="D138" s="158"/>
      <c r="E138" s="158"/>
      <c r="F138" s="33"/>
      <c r="G138" s="33"/>
      <c r="H138" s="158"/>
      <c r="I138" s="158"/>
      <c r="J138" s="33"/>
      <c r="K138" s="33"/>
      <c r="L138" s="158"/>
      <c r="M138" s="158"/>
      <c r="N138" s="148"/>
    </row>
    <row r="139" spans="1:14" x14ac:dyDescent="0.2">
      <c r="A139" s="167"/>
      <c r="B139" s="33"/>
      <c r="C139" s="33"/>
      <c r="D139" s="158"/>
      <c r="E139" s="158"/>
      <c r="F139" s="33"/>
      <c r="G139" s="33"/>
      <c r="H139" s="158"/>
      <c r="I139" s="158"/>
      <c r="J139" s="33"/>
      <c r="K139" s="33"/>
      <c r="L139" s="158"/>
      <c r="M139" s="158"/>
      <c r="N139" s="148"/>
    </row>
    <row r="140" spans="1:14" x14ac:dyDescent="0.2">
      <c r="A140" s="167"/>
      <c r="B140" s="33"/>
      <c r="C140" s="33"/>
      <c r="D140" s="158"/>
      <c r="E140" s="158"/>
      <c r="F140" s="33"/>
      <c r="G140" s="33"/>
      <c r="H140" s="158"/>
      <c r="I140" s="158"/>
      <c r="J140" s="33"/>
      <c r="K140" s="33"/>
      <c r="L140" s="158"/>
      <c r="M140" s="158"/>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6"/>
      <c r="C143" s="156"/>
      <c r="D143" s="156"/>
      <c r="E143" s="156"/>
      <c r="F143" s="156"/>
      <c r="G143" s="156"/>
      <c r="H143" s="156"/>
      <c r="I143" s="156"/>
      <c r="J143" s="156"/>
      <c r="K143" s="156"/>
      <c r="L143" s="156"/>
      <c r="M143" s="156"/>
      <c r="N143" s="156"/>
    </row>
    <row r="144" spans="1:14" ht="15.75" x14ac:dyDescent="0.25">
      <c r="B144" s="156"/>
      <c r="C144" s="156"/>
      <c r="D144" s="156"/>
      <c r="E144" s="156"/>
      <c r="F144" s="156"/>
      <c r="G144" s="156"/>
      <c r="H144" s="156"/>
      <c r="I144" s="156"/>
      <c r="J144" s="156"/>
      <c r="K144" s="156"/>
      <c r="L144" s="156"/>
      <c r="M144" s="156"/>
      <c r="N144" s="156"/>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A50:A52">
    <cfRule type="expression" dxfId="412" priority="8">
      <formula>kvartal &lt; 4</formula>
    </cfRule>
  </conditionalFormatting>
  <conditionalFormatting sqref="A69:A74">
    <cfRule type="expression" dxfId="411" priority="7">
      <formula>kvartal &lt; 4</formula>
    </cfRule>
  </conditionalFormatting>
  <conditionalFormatting sqref="A80:A85">
    <cfRule type="expression" dxfId="410" priority="6">
      <formula>kvartal &lt; 4</formula>
    </cfRule>
  </conditionalFormatting>
  <conditionalFormatting sqref="A90:A95">
    <cfRule type="expression" dxfId="409" priority="5">
      <formula>kvartal &lt; 4</formula>
    </cfRule>
  </conditionalFormatting>
  <conditionalFormatting sqref="A101:A106">
    <cfRule type="expression" dxfId="408" priority="4">
      <formula>kvartal &lt; 4</formula>
    </cfRule>
  </conditionalFormatting>
  <conditionalFormatting sqref="A115">
    <cfRule type="expression" dxfId="407" priority="3">
      <formula>kvartal &lt; 4</formula>
    </cfRule>
  </conditionalFormatting>
  <conditionalFormatting sqref="A123">
    <cfRule type="expression" dxfId="406" priority="2">
      <formula>kvartal &lt; 4</formula>
    </cfRule>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A U E A A B Q S w M E F A A C A A g A u m q 7 V K J 5 c d O l A A A A 9 Q A A A B I A H A B D b 2 5 m a W c v U G F j a 2 F n Z S 5 4 b W w g o h g A K K A U A A A A A A A A A A A A A A A A A A A A A A A A A A A A h Y + x D o I w G I R f h X S n L d U Y J D 9 l c B U 1 M T G u t V R o h G J o E d 7 N w U f y F c Q o 6 u Z 4 3 9 0 l d / f r D Z K + K r 2 L a q y u T Y w C T J G n j K w z b f I Y t e 7 o h y j h s B H y J H L l D W F j o 9 7 q G B X O n S N C u q 7 D 3 Q T X T U 4 Y p Q H Z p 8 u t L F Q l f G 2 s E 0 Y q 9 G l l / 1 u I w + 4 1 h j M 8 n + F w y j A F M j J I t f n 6 b J j 7 d H 8 g L N r S t Y 3 i 5 u C v 1 k B G C e R 9 g T 8 A U E s D B B Q A A g A I A L p q u 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6 a r t U B v r 5 6 f 4 A A A B i A Q A A E w A c A E Z v c m 1 1 b G F z L 1 N l Y 3 R p b 2 4 x L m 0 g o h g A K K A U A A A A A A A A A A A A A A A A A A A A A A A A A A A A f Y / B S s N A E I b P D f Q d h j 2 U B t I Q P Q k h I K R B p F C U B C 2 s S 9 g 0 A 8 Z s s n W y K Z X S o 4 / i k / T F u r F F 8 e J c Z m D + b / 7 5 O 1 y b S r e Q n v t V O H b G T v c q C U u Y S y M h A o X G A V s P k m S D B u k J q a z s I t m t U f l x T 4 S t e d Z U F 1 r X U 3 f P l 1 Y X s R 8 9 M n H g s W 6 N l Q k P v o 8 t K l W i v Z G + K 3 / w K W S H U 5 b d z d L V / C a Z B c H 1 y 7 0 F q J W K e c B U t c 0 b a S f + 2 C N 9 R C x Z J T H w s t D C 5 5 s c h 0 / y D W F n L W T 3 p l v h j E a 3 x y + y F g w m s O y b A s n P d I Y 7 M / 2 b h B 8 / S e y D g w s T 5 g 1 Y v Z V k p L q g / 7 O L s / b C A w u Z c J 2 q / c 0 Y n g B Q S w E C L Q A U A A I A C A C 6 a r t U o n l x 0 6 U A A A D 1 A A A A E g A A A A A A A A A A A A A A A A A A A A A A Q 2 9 u Z m l n L 1 B h Y 2 t h Z 2 U u e G 1 s U E s B A i 0 A F A A C A A g A u m q 7 V A / K 6 a u k A A A A 6 Q A A A B M A A A A A A A A A A A A A A A A A 8 Q A A A F t D b 2 5 0 Z W 5 0 X 1 R 5 c G V z X S 5 4 b W x Q S w E C L Q A U A A I A C A C 6 a r t U B v r 5 6 f 4 A A A B i A Q A A E w A A A A A A A A A A A A A A A A D i A Q A A R m 9 y b X V s Y X M v U 2 V j d G l v b j E u b V B L B Q Y A A A A A A w A D A M I A A A A t A w 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7 D C w A A A A A A A K E 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J 1 Z m Z l c k 5 l e H R S Z W Z y Z X N o I i B W Y W x 1 Z T 0 i b D E i I C 8 + P E V u d H J 5 I F R 5 c G U 9 I k Z p b G x F b m F i b G V k I i B W Y W x 1 Z T 0 i b D A i I C 8 + P E V u d H J 5 I F R 5 c G U 9 I k Z p b G x U b 0 R h d G F N b 2 R l b E V u Y W J s Z W Q i I F Z h b H V l P S J s M C I g L z 4 8 R W 5 0 c n k g V H l w Z T 0 i U m V z d W x 0 V H l w Z S I g V m F s d W U 9 I n N U Y W J s Z S I g L z 4 8 R W 5 0 c n k g V H l w Z T 0 i T m F t Z V V w Z G F 0 Z W R B Z n R l c k Z p b G w i I F Z h b H V l P S J s M C I g L z 4 8 R W 5 0 c n k g V H l w Z T 0 i R m l s b G V k Q 2 9 t c G x l d G V S Z X N 1 b H R U b 1 d v c m t z a G V l d C I g V m F s d W U 9 I m w x I i A v P j x F b n R y e S B U e X B l P S J S Z W N v d m V y e V R h c m d l d F N o Z W V 0 I i B W Y W x 1 Z T 0 i c 0 F y a z I i I C 8 + P E V u d H J 5 I F R 5 c G U 9 I l J l Y 2 9 2 Z X J 5 V G F y Z 2 V 0 Q 2 9 s d W 1 u I i B W Y W x 1 Z T 0 i b D E i I C 8 + P E V u d H J 5 I F R 5 c G U 9 I l J l Y 2 9 2 Z X J 5 V G F y Z 2 V 0 U m 9 3 I i B W Y W x 1 Z T 0 i b D E i I C 8 + P E V u d H J 5 I F R 5 c G U 9 I l F 1 Z X J 5 S U Q i I F Z h b H V l P S J z N G U 4 M 2 F k Z D k t Z W N j Y i 0 0 Z W Y 2 L T l j Z j g t N m I y O T h k Z j A 0 N G M 5 I i A v P j x F b n R y e S B U e X B l P S J O Y X Z p Z 2 F 0 a W 9 u U 3 R l c E 5 h b W U i I F Z h b H V l P S J z T m F 2 a W d h d G l v b i I g L z 4 8 R W 5 0 c n k g V H l w Z T 0 i R m l s b E V y c m 9 y Q 2 9 1 b n Q i I F Z h b H V l P S J s M C I g L z 4 8 R W 5 0 c n k g V H l w Z T 0 i R m l s b E V y c m 9 y Q 2 9 k Z S I g V m F s d W U 9 I n N V b m t u b 3 d u I i A v P j x F b n R y e S B U e X B l P S J G a W x s T G F z d F V w Z G F 0 Z W Q i I F Z h b H V l P S J k M j A y M i 0 w N S 0 y N 1 Q w O D o x O D o 1 M i 4 5 N z k 1 N D g 4 W i I g L z 4 8 R W 5 0 c n k g V H l w Z T 0 i R m l s b E N v d W 5 0 I i B W Y W x 1 Z T 0 i b D g 0 N T M i I C 8 + P E V u d H J 5 I F R 5 c G U 9 I k Z p b G x D b 2 x 1 b W 5 U e X B l c y I g V m F s d W U 9 I n N C Z 0 l D Q W d J Q 0 F n V T 0 i I C 8 + P E V u d H J 5 I F R 5 c G U 9 I k F k Z G V k V G 9 E Y X R h T W 9 k Z W w i I F Z h b H V l P S J s M C I g L z 4 8 R W 5 0 c n k g V H l w Z T 0 i R m l s b E N v b H V t b k 5 h b W V z I i B W Y W x 1 Z T 0 i c 1 s m c X V v d D t z w 7 h r Z W 7 D u G t r Z W w m c X V v d D s s J n F 1 b 3 Q 7 c 2 V s c 2 t h c F 9 p Z C Z x d W 9 0 O y w m c X V v d D v D p X I m c X V v d D s s J n F 1 b 3 Q 7 a 3 Z h c n R h b C Z x d W 9 0 O y w m c X V v d D t 0 Y W J l b G x f a W Q m c X V v d D s s J n F 1 b 3 Q 7 c m F k X 2 l k J n F 1 b 3 Q 7 L C Z x d W 9 0 O 2 t h d G V n b 3 J p X 2 l k J n F 1 b 3 Q 7 L C Z x d W 9 0 O 3 Z l c m R p 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R G F 0 Y S 9 L a W x k Z S 5 7 c 8 O 4 a 2 V u w 7 h r a 2 V s L D B 9 J n F 1 b 3 Q 7 L C Z x d W 9 0 O 1 N l Y 3 R p b 2 4 x L 0 R h d G E v S 2 l s Z G U u e 3 N l b H N r Y X B f a W Q s M X 0 m c X V v d D s s J n F 1 b 3 Q 7 U 2 V j d G l v b j E v R G F 0 Y S 9 L a W x k Z S 5 7 w 6 V y L D J 9 J n F 1 b 3 Q 7 L C Z x d W 9 0 O 1 N l Y 3 R p b 2 4 x L 0 R h d G E v S 2 l s Z G U u e 2 t 2 Y X J 0 Y W w s M 3 0 m c X V v d D s s J n F 1 b 3 Q 7 U 2 V j d G l v b j E v R G F 0 Y S 9 L a W x k Z S 5 7 d G F i Z W x s X 2 l k L D R 9 J n F 1 b 3 Q 7 L C Z x d W 9 0 O 1 N l Y 3 R p b 2 4 x L 0 R h d G E v S 2 l s Z G U u e 3 J h Z F 9 p Z C w 1 f S Z x d W 9 0 O y w m c X V v d D t T Z W N 0 a W 9 u M S 9 E Y X R h L 0 t p b G R l L n t r Y X R l Z 2 9 y a V 9 p Z C w 2 f S Z x d W 9 0 O y w m c X V v d D t T Z W N 0 a W 9 u M S 9 E Y X R h L 0 t p b G R l L n t 2 Z X J k a S w 3 f S Z x d W 9 0 O 1 0 s J n F 1 b 3 Q 7 Q 2 9 s d W 1 u Q 2 9 1 b n Q m c X V v d D s 6 O C w m c X V v d D t L Z X l D b 2 x 1 b W 5 O Y W 1 l c y Z x d W 9 0 O z p b X S w m c X V v d D t D b 2 x 1 b W 5 J Z G V u d G l 0 a W V z J n F 1 b 3 Q 7 O l s m c X V v d D t T Z W N 0 a W 9 u M S 9 E Y X R h L 0 t p b G R l L n t z w 7 h r Z W 7 D u G t r Z W w s M H 0 m c X V v d D s s J n F 1 b 3 Q 7 U 2 V j d G l v b j E v R G F 0 Y S 9 L a W x k Z S 5 7 c 2 V s c 2 t h c F 9 p Z C w x f S Z x d W 9 0 O y w m c X V v d D t T Z W N 0 a W 9 u M S 9 E Y X R h L 0 t p b G R l L n v D p X I s M n 0 m c X V v d D s s J n F 1 b 3 Q 7 U 2 V j d G l v b j E v R G F 0 Y S 9 L a W x k Z S 5 7 a 3 Z h c n R h b C w z f S Z x d W 9 0 O y w m c X V v d D t T Z W N 0 a W 9 u M S 9 E Y X R h L 0 t p b G R l L n t 0 Y W J l b G x f a W Q s N H 0 m c X V v d D s s J n F 1 b 3 Q 7 U 2 V j d G l v b j E v R G F 0 Y S 9 L a W x k Z S 5 7 c m F k X 2 l k L D V 9 J n F 1 b 3 Q 7 L C Z x d W 9 0 O 1 N l Y 3 R p b 2 4 x L 0 R h d G E v S 2 l s Z G U u e 2 t h d G V n b 3 J p X 2 l k L D Z 9 J n F 1 b 3 Q 7 L C Z x d W 9 0 O 1 N l Y 3 R p b 2 4 x L 0 R h d G E v S 2 l s Z G U u e 3 Z l c m R p L D d 9 J n F 1 b 3 Q 7 X S w m c X V v d D t S Z W x h d G l v b n N o a X B J b m Z v J n F 1 b 3 Q 7 O l t d f S I g L z 4 8 R W 5 0 c n k g V H l w Z T 0 i R m l s b E 9 i a m V j d F R 5 c G U i I F Z h b H V l P S J z Q 2 9 u b m V j d G l v b k 9 u b H k i I C 8 + P C 9 T d G F i b G V F b n R y a W V z P j w v S X R l b T 4 8 S X R l b T 4 8 S X R l b U x v Y 2 F 0 a W 9 u P j x J d G V t V H l w Z T 5 G b 3 J t d W x h P C 9 J d G V t V H l w Z T 4 8 S X R l b V B h d G g + U 2 V j d G l v b j E v R G F 0 Y S 9 L a W x k Z T w v S X R l b V B h d G g + P C 9 J d G V t T G 9 j Y X R p b 2 4 + P F N 0 Y W J s Z U V u d H J p Z X M g L z 4 8 L 0 l 0 Z W 0 + P E l 0 Z W 0 + P E l 0 Z W 1 M b 2 N h d G l v b j 4 8 S X R l b V R 5 c G U + R m 9 y b X V s Y T w v S X R l b V R 5 c G U + P E l 0 Z W 1 Q Y X R o P l N l Y 3 R p b 2 4 x L 0 R h d G E v U G F y Y W 1 l d G V y V m V y Z G k 8 L 0 l 0 Z W 1 Q Y X R o P j w v S X R l b U x v Y 2 F 0 a W 9 u P j x T d G F i b G V F b n R y a W V z I C 8 + P C 9 J d G V t P j w v S X R l b X M + P C 9 M b 2 N h b F B h Y 2 t h Z 2 V N Z X R h Z G F 0 Y U Z p b G U + F g A A A F B L B Q Y A A A A A A A A A A A A A A A A A A A A A A A D a A A A A A Q A A A N C M n d 8 B F d E R j H o A w E / C l + s B A A A A + r C w 2 J E E d k m H 0 4 r R e p p y 4 A A A A A A C A A A A A A A D Z g A A w A A A A B A A A A B q P d m T T n M U M c M u 8 n 4 s N x j 3 A A A A A A S A A A C g A A A A E A A A A I I e + t G I c 0 u u S P Q V k / n S B A V Q A A A A Z p s b W 3 4 Y t w j w J y j V f T m K X N U 3 A q P J 2 M o L I Z R B 0 P e 5 j b 2 q 6 M 5 5 5 T a g h K 2 Y o d X e x h t z V n R D 3 n A W F m 1 P 4 N A v h V 8 0 G t j 1 A r M 7 7 p 0 s g l o z F x g f 2 C Q U A A A A a 1 4 B J H V v I 8 D I x P X f 7 N 5 G C d k 2 q G o = < / 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2020-123998358-355</_dlc_DocId>
    <_dlc_DocIdUrl xmlns="6edf9311-6556-4af2-85ff-d57844cfe120">
      <Url>https://finansnorge.sharepoint.com/sites/intranett/arkiv/_layouts/15/DocIdRedir.aspx?ID=2020-123998358-355</Url>
      <Description>2020-123998358-355</Description>
    </_dlc_DocIdUrl>
  </documentManagement>
</p:properties>
</file>

<file path=customXml/itemProps1.xml><?xml version="1.0" encoding="utf-8"?>
<ds:datastoreItem xmlns:ds="http://schemas.openxmlformats.org/officeDocument/2006/customXml" ds:itemID="{90A5026E-7503-4E4B-BD83-E9801AFFB720}">
  <ds:schemaRefs>
    <ds:schemaRef ds:uri="http://schemas.microsoft.com/DataMashup"/>
  </ds:schemaRefs>
</ds:datastoreItem>
</file>

<file path=customXml/itemProps2.xml><?xml version="1.0" encoding="utf-8"?>
<ds:datastoreItem xmlns:ds="http://schemas.openxmlformats.org/officeDocument/2006/customXml" ds:itemID="{A06C5489-D34F-4D37-BB8E-BFE8EE5110CB}"/>
</file>

<file path=customXml/itemProps3.xml><?xml version="1.0" encoding="utf-8"?>
<ds:datastoreItem xmlns:ds="http://schemas.openxmlformats.org/officeDocument/2006/customXml" ds:itemID="{EA04FD62-F089-48A2-AE4A-94146D10B659}"/>
</file>

<file path=customXml/itemProps4.xml><?xml version="1.0" encoding="utf-8"?>
<ds:datastoreItem xmlns:ds="http://schemas.openxmlformats.org/officeDocument/2006/customXml" ds:itemID="{7B50B06E-9FE6-493D-9C0A-DDADEFD743DD}"/>
</file>

<file path=customXml/itemProps5.xml><?xml version="1.0" encoding="utf-8"?>
<ds:datastoreItem xmlns:ds="http://schemas.openxmlformats.org/officeDocument/2006/customXml" ds:itemID="{65A1E47B-F7BA-43AB-9BFD-4534F1F1BE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37</vt:i4>
      </vt:variant>
      <vt:variant>
        <vt:lpstr>Navngitte områder</vt:lpstr>
      </vt:variant>
      <vt:variant>
        <vt:i4>4</vt:i4>
      </vt:variant>
    </vt:vector>
  </HeadingPairs>
  <TitlesOfParts>
    <vt:vector size="41" baseType="lpstr">
      <vt:lpstr>Forside</vt:lpstr>
      <vt:lpstr>Innhold</vt:lpstr>
      <vt:lpstr>Figurer</vt:lpstr>
      <vt:lpstr>Tabel 1.1</vt:lpstr>
      <vt:lpstr>Tabell 1.2</vt:lpstr>
      <vt:lpstr>Tabell 1.3</vt:lpstr>
      <vt:lpstr>Skjema total MA</vt:lpstr>
      <vt:lpstr>Codan Forsikring</vt:lpstr>
      <vt:lpstr>Danica Pensjonsforsikring</vt:lpstr>
      <vt:lpstr>DNB Livsforsikring</vt:lpstr>
      <vt:lpstr>Eika Forsikring AS</vt:lpstr>
      <vt:lpstr>Euro Accident</vt:lpstr>
      <vt:lpstr>Fremtind Livsforsikring</vt:lpstr>
      <vt:lpstr>Frende Livsforsikring</vt:lpstr>
      <vt:lpstr>Frende Skadeforsikring</vt:lpstr>
      <vt:lpstr>Gjensidige Forsikring</vt:lpstr>
      <vt:lpstr>Gjensidige Pensjon</vt:lpstr>
      <vt:lpstr>Handelsbanken Liv</vt:lpstr>
      <vt:lpstr>If Skadeforsikring NUF</vt:lpstr>
      <vt:lpstr>Insr</vt:lpstr>
      <vt:lpstr>KLP</vt:lpstr>
      <vt:lpstr>KLP Skadeforsikring AS</vt:lpstr>
      <vt:lpstr>Landkreditt Forsikring</vt:lpstr>
      <vt:lpstr>Nordea Liv </vt:lpstr>
      <vt:lpstr>Oslo Pensjonsforsikring</vt:lpstr>
      <vt:lpstr>Protector Forsikring</vt:lpstr>
      <vt:lpstr>SHB Liv</vt:lpstr>
      <vt:lpstr>Sparebank 1</vt:lpstr>
      <vt:lpstr>Storebrand Livsforsikring</vt:lpstr>
      <vt:lpstr>Telenor Forsikring</vt:lpstr>
      <vt:lpstr>Tryg Forsikring</vt:lpstr>
      <vt:lpstr>WaterCircles F</vt:lpstr>
      <vt:lpstr>Youplus Livsforsikring</vt:lpstr>
      <vt:lpstr>Tabell 4</vt:lpstr>
      <vt:lpstr>Tabell 6</vt:lpstr>
      <vt:lpstr>Tabell 8</vt:lpstr>
      <vt:lpstr>Noter og kommentarer</vt:lpstr>
      <vt:lpstr>'Fremtind Livsforsikring'!Utskriftsområde</vt:lpstr>
      <vt:lpstr>Insr!Utskriftsområde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2016-06-01T05:37:12Z</cp:lastPrinted>
  <dcterms:created xsi:type="dcterms:W3CDTF">2010-12-15T10:21:26Z</dcterms:created>
  <dcterms:modified xsi:type="dcterms:W3CDTF">2022-06-01T13:50:28Z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4917e60a-72a9-43a5-aa7d-8c8ac115d113</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