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harts/chart5.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O:\Statistikk og analyse\Livstatistikk\Faste statistikker\MA\2019\Q1-2019\Publisert\"/>
    </mc:Choice>
  </mc:AlternateContent>
  <xr:revisionPtr revIDLastSave="0" documentId="13_ncr:1_{619F88FE-7BE9-4BE8-81BA-0E7A6810CBB9}" xr6:coauthVersionLast="41" xr6:coauthVersionMax="41" xr10:uidLastSave="{00000000-0000-0000-0000-000000000000}"/>
  <bookViews>
    <workbookView xWindow="-12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Danica Pensjonsforsikring" sheetId="18" r:id="rId8"/>
    <sheet name="DNB Livsforsikring" sheetId="13" r:id="rId9"/>
    <sheet name="Eika Forsikring AS" sheetId="19" r:id="rId10"/>
    <sheet name="Frende Livsforsikring" sheetId="20" r:id="rId11"/>
    <sheet name="Frende Skadeforsikring" sheetId="21" r:id="rId12"/>
    <sheet name="Gjensidige Forsikring" sheetId="22" r:id="rId13"/>
    <sheet name="Gjensidige Pensjon" sheetId="23" r:id="rId14"/>
    <sheet name="Handelsbanken Liv" sheetId="24" r:id="rId15"/>
    <sheet name="If Skadeforsikring NUF" sheetId="25" r:id="rId16"/>
    <sheet name="KLP" sheetId="26" r:id="rId17"/>
    <sheet name="KLP Bedriftspensjon AS" sheetId="27" r:id="rId18"/>
    <sheet name="KLP Skadeforsikring AS" sheetId="51" r:id="rId19"/>
    <sheet name="Landkreditt Forsikring" sheetId="40" r:id="rId20"/>
    <sheet name="NEMI Forsikring" sheetId="41" r:id="rId21"/>
    <sheet name="Nordea Liv " sheetId="29" r:id="rId22"/>
    <sheet name="Oslo Pensjonsforsikring" sheetId="34" r:id="rId23"/>
    <sheet name="Protector Forsikring" sheetId="72" r:id="rId24"/>
    <sheet name="SHB Liv" sheetId="35" r:id="rId25"/>
    <sheet name="Sparebank 1" sheetId="33" r:id="rId26"/>
    <sheet name="Storebrand Livsforsikring" sheetId="37" r:id="rId27"/>
    <sheet name="Telenor Forsikring" sheetId="38" r:id="rId28"/>
    <sheet name="Tryg Forsikring" sheetId="39" r:id="rId29"/>
    <sheet name="Tabell 4" sheetId="65" r:id="rId30"/>
    <sheet name="Tabell 6" sheetId="62" r:id="rId31"/>
    <sheet name="Tabell 8" sheetId="73" r:id="rId32"/>
    <sheet name="Noter og kommentarer" sheetId="3" r:id="rId33"/>
  </sheets>
  <externalReferences>
    <externalReference r:id="rId34"/>
    <externalReference r:id="rId35"/>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20">'NEMI Forsikring'!$A$1:$M$137</definedName>
    <definedName name="_xlnm.Print_Area" localSheetId="32">'Noter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3" i="20" l="1"/>
  <c r="H32" i="20"/>
  <c r="L30" i="20"/>
  <c r="D32" i="20"/>
  <c r="D30" i="20"/>
  <c r="H23" i="23"/>
  <c r="H26" i="23"/>
  <c r="H25" i="23"/>
  <c r="D31" i="24"/>
  <c r="D24" i="24"/>
  <c r="H33" i="37" l="1"/>
  <c r="H32" i="37"/>
  <c r="H31" i="37"/>
  <c r="H30" i="37"/>
  <c r="D31" i="37"/>
  <c r="D30" i="37"/>
  <c r="H26" i="37"/>
  <c r="H25" i="37"/>
  <c r="H24" i="37"/>
  <c r="H23" i="37"/>
  <c r="D24" i="37"/>
  <c r="D23" i="37"/>
  <c r="H33" i="33"/>
  <c r="H32" i="33"/>
  <c r="H31" i="33"/>
  <c r="H30" i="33"/>
  <c r="D31" i="33"/>
  <c r="D30" i="33"/>
  <c r="H26" i="33"/>
  <c r="H25" i="33"/>
  <c r="H24" i="33"/>
  <c r="H23" i="33"/>
  <c r="D24" i="33"/>
  <c r="D23" i="33"/>
  <c r="H33" i="35"/>
  <c r="H31" i="35"/>
  <c r="H30" i="35"/>
  <c r="H26" i="35"/>
  <c r="H23" i="35"/>
  <c r="H33" i="29" l="1"/>
  <c r="H32" i="29"/>
  <c r="H31" i="29"/>
  <c r="H30" i="29"/>
  <c r="D32" i="29"/>
  <c r="D31" i="29"/>
  <c r="D30" i="29"/>
  <c r="H26" i="29"/>
  <c r="H25" i="29"/>
  <c r="H23" i="29"/>
  <c r="D25" i="29"/>
  <c r="D24" i="29"/>
  <c r="D23" i="29"/>
  <c r="D25" i="20" l="1"/>
  <c r="H26" i="20"/>
  <c r="H25" i="20"/>
  <c r="D23" i="20"/>
  <c r="H32" i="13"/>
  <c r="H31" i="13"/>
  <c r="H30" i="13"/>
  <c r="D32" i="13"/>
  <c r="D31" i="13"/>
  <c r="D30" i="13"/>
  <c r="H25" i="13"/>
  <c r="H24" i="13"/>
  <c r="H23" i="13"/>
  <c r="D25" i="13"/>
  <c r="D24" i="13"/>
  <c r="D23" i="13"/>
  <c r="H33" i="18"/>
  <c r="H32" i="18"/>
  <c r="H31" i="18"/>
  <c r="H30" i="18"/>
  <c r="H26" i="18"/>
  <c r="H25" i="18"/>
  <c r="H23" i="18"/>
  <c r="AP91" i="62"/>
  <c r="AP89" i="62"/>
  <c r="AP88" i="62"/>
  <c r="AP87" i="62"/>
  <c r="AP86" i="62"/>
  <c r="AP84" i="62"/>
  <c r="AP83" i="62"/>
  <c r="AP82" i="62"/>
  <c r="AP81" i="62"/>
  <c r="AP78" i="62"/>
  <c r="AP77" i="62"/>
  <c r="AP76" i="62"/>
  <c r="AP75" i="62"/>
  <c r="AP74" i="62"/>
  <c r="AP73" i="62"/>
  <c r="AP71" i="62"/>
  <c r="AP70" i="62"/>
  <c r="AP69" i="62"/>
  <c r="AP68" i="62"/>
  <c r="AP61" i="62"/>
  <c r="AP58" i="62"/>
  <c r="AP57" i="62"/>
  <c r="AP56" i="62"/>
  <c r="AP53" i="62"/>
  <c r="AP52" i="62"/>
  <c r="AP51" i="62"/>
  <c r="AP49" i="62"/>
  <c r="AP48" i="62"/>
  <c r="AP46" i="62"/>
  <c r="AP44" i="62"/>
  <c r="AP43" i="62"/>
  <c r="AP42" i="62"/>
  <c r="AP41" i="62"/>
  <c r="AP40" i="62"/>
  <c r="AP37" i="62"/>
  <c r="AP36" i="62"/>
  <c r="AP34" i="62"/>
  <c r="AP33" i="62"/>
  <c r="AP26" i="62"/>
  <c r="AP25" i="62"/>
  <c r="AP24" i="62"/>
  <c r="AP23" i="62"/>
  <c r="AP22" i="62"/>
  <c r="AP21" i="62"/>
  <c r="AP18" i="62"/>
  <c r="AP17" i="62"/>
  <c r="AP14" i="62"/>
  <c r="C16" i="62"/>
  <c r="C20" i="62"/>
  <c r="C28" i="62"/>
  <c r="C35" i="62"/>
  <c r="C45" i="62" s="1"/>
  <c r="C39" i="62"/>
  <c r="C50" i="62"/>
  <c r="C59" i="62"/>
  <c r="C54" i="62" s="1"/>
  <c r="C79" i="62"/>
  <c r="D91" i="62" s="1"/>
  <c r="C85" i="62"/>
  <c r="F15" i="62"/>
  <c r="F27" i="62" s="1"/>
  <c r="F29" i="62" s="1"/>
  <c r="F16" i="62"/>
  <c r="F20" i="62"/>
  <c r="F28" i="62"/>
  <c r="F35" i="62"/>
  <c r="F39" i="62"/>
  <c r="F50" i="62"/>
  <c r="F60" i="62" s="1"/>
  <c r="F54" i="62"/>
  <c r="F79" i="62"/>
  <c r="F85" i="62"/>
  <c r="G91" i="62"/>
  <c r="I16" i="62"/>
  <c r="I20" i="62"/>
  <c r="I35" i="62"/>
  <c r="I45" i="62" s="1"/>
  <c r="I39" i="62"/>
  <c r="I50" i="62"/>
  <c r="I55" i="62"/>
  <c r="I54" i="62" s="1"/>
  <c r="I79" i="62"/>
  <c r="I85" i="62"/>
  <c r="J91" i="62"/>
  <c r="L16" i="62"/>
  <c r="L20" i="62"/>
  <c r="L28" i="62"/>
  <c r="AP28" i="62" s="1"/>
  <c r="L35" i="62"/>
  <c r="L45" i="62" s="1"/>
  <c r="L39" i="62"/>
  <c r="L50" i="62"/>
  <c r="L60" i="62" s="1"/>
  <c r="L54" i="62"/>
  <c r="L59" i="62"/>
  <c r="L79" i="62"/>
  <c r="M91" i="62" s="1"/>
  <c r="L85" i="62"/>
  <c r="O16" i="62"/>
  <c r="O20" i="62"/>
  <c r="O35" i="62"/>
  <c r="O39" i="62"/>
  <c r="O50" i="62"/>
  <c r="O54" i="62"/>
  <c r="O79" i="62"/>
  <c r="P91" i="62" s="1"/>
  <c r="O85" i="62"/>
  <c r="R16" i="62"/>
  <c r="R20" i="62"/>
  <c r="R27" i="62" s="1"/>
  <c r="R29" i="62" s="1"/>
  <c r="R35" i="62"/>
  <c r="R39" i="62"/>
  <c r="R50" i="62"/>
  <c r="R54" i="62"/>
  <c r="R79" i="62"/>
  <c r="R85" i="62"/>
  <c r="S91" i="62"/>
  <c r="U16" i="62"/>
  <c r="U20" i="62"/>
  <c r="U35" i="62"/>
  <c r="U45" i="62" s="1"/>
  <c r="U39" i="62"/>
  <c r="U50" i="62"/>
  <c r="U54" i="62"/>
  <c r="U79" i="62"/>
  <c r="U85" i="62"/>
  <c r="X16" i="62"/>
  <c r="X20" i="62"/>
  <c r="X27" i="62"/>
  <c r="X29" i="62" s="1"/>
  <c r="X35" i="62"/>
  <c r="X39" i="62"/>
  <c r="X50" i="62"/>
  <c r="X60" i="62" s="1"/>
  <c r="X54" i="62"/>
  <c r="X79" i="62"/>
  <c r="X85" i="62"/>
  <c r="AA15" i="62"/>
  <c r="AP15" i="62" s="1"/>
  <c r="AA16" i="62"/>
  <c r="AA20" i="62"/>
  <c r="AA28" i="62"/>
  <c r="AA35" i="62"/>
  <c r="AA39" i="62"/>
  <c r="AA50" i="62"/>
  <c r="AA54" i="62"/>
  <c r="AA60" i="62"/>
  <c r="AA79" i="62"/>
  <c r="AB91" i="62" s="1"/>
  <c r="AA85" i="62"/>
  <c r="AD16" i="62"/>
  <c r="AD27" i="62" s="1"/>
  <c r="AD29" i="62" s="1"/>
  <c r="AD20" i="62"/>
  <c r="AD35" i="62"/>
  <c r="AD39" i="62"/>
  <c r="AD45" i="62"/>
  <c r="AD50" i="62"/>
  <c r="AD60" i="62" s="1"/>
  <c r="AD54" i="62"/>
  <c r="AD79" i="62"/>
  <c r="AD85" i="62"/>
  <c r="AG16" i="62"/>
  <c r="AG20" i="62"/>
  <c r="AG35" i="62"/>
  <c r="AG39" i="62"/>
  <c r="AG45" i="62" s="1"/>
  <c r="AG50" i="62"/>
  <c r="AG60" i="62" s="1"/>
  <c r="AG54" i="62"/>
  <c r="AG79" i="62"/>
  <c r="AG85" i="62"/>
  <c r="AJ19" i="62"/>
  <c r="AJ16" i="62" s="1"/>
  <c r="AJ27" i="62" s="1"/>
  <c r="AJ20" i="62"/>
  <c r="AJ28" i="62"/>
  <c r="AJ38" i="62"/>
  <c r="AP38" i="62" s="1"/>
  <c r="AJ39" i="62"/>
  <c r="AJ50" i="62"/>
  <c r="AJ54" i="62"/>
  <c r="AJ56" i="62"/>
  <c r="AJ79" i="62"/>
  <c r="AJ85" i="62"/>
  <c r="AO91" i="62"/>
  <c r="AO89" i="62"/>
  <c r="AO88" i="62"/>
  <c r="AO87" i="62"/>
  <c r="AO86" i="62"/>
  <c r="AO85" i="62"/>
  <c r="AO84" i="62"/>
  <c r="AO83" i="62"/>
  <c r="AO82" i="62"/>
  <c r="AO81" i="62"/>
  <c r="AO79" i="62"/>
  <c r="AO78" i="62"/>
  <c r="AO77" i="62"/>
  <c r="AO76" i="62"/>
  <c r="AO75" i="62"/>
  <c r="AO74" i="62"/>
  <c r="AO73" i="62"/>
  <c r="AO71" i="62"/>
  <c r="AO70" i="62"/>
  <c r="AO69" i="62"/>
  <c r="AO68" i="62"/>
  <c r="AO64" i="62"/>
  <c r="AO62" i="62"/>
  <c r="AO61" i="62"/>
  <c r="AO60" i="62"/>
  <c r="AO59" i="62"/>
  <c r="AO58" i="62"/>
  <c r="AO57" i="62"/>
  <c r="AO56" i="62"/>
  <c r="AO55" i="62"/>
  <c r="AO54" i="62"/>
  <c r="AO53" i="62"/>
  <c r="AO52" i="62"/>
  <c r="AO51" i="62"/>
  <c r="AO50" i="62"/>
  <c r="AO49" i="62"/>
  <c r="AO48" i="62"/>
  <c r="AO46" i="62"/>
  <c r="AO45" i="62"/>
  <c r="AO44" i="62"/>
  <c r="AO43" i="62"/>
  <c r="AO42" i="62"/>
  <c r="AO41" i="62"/>
  <c r="AO40" i="62"/>
  <c r="AO39" i="62"/>
  <c r="AO38" i="62"/>
  <c r="AO37" i="62"/>
  <c r="AO36" i="62"/>
  <c r="AO35" i="62"/>
  <c r="AO34" i="62"/>
  <c r="AO33" i="62"/>
  <c r="AO29" i="62"/>
  <c r="AO28" i="62"/>
  <c r="AO27" i="62"/>
  <c r="AO26" i="62"/>
  <c r="AO25" i="62"/>
  <c r="AO24" i="62"/>
  <c r="AO23" i="62"/>
  <c r="AO22" i="62"/>
  <c r="AO21" i="62"/>
  <c r="AO20" i="62"/>
  <c r="AO19" i="62"/>
  <c r="AO18" i="62"/>
  <c r="AO17" i="62"/>
  <c r="AO16" i="62"/>
  <c r="AO15" i="62"/>
  <c r="AO14" i="62"/>
  <c r="Y91" i="62"/>
  <c r="V91" i="62"/>
  <c r="AE91" i="62"/>
  <c r="AM89" i="62"/>
  <c r="AM88" i="62"/>
  <c r="AM87" i="62"/>
  <c r="AM86" i="62"/>
  <c r="AM84" i="62"/>
  <c r="AM83" i="62"/>
  <c r="AM82" i="62"/>
  <c r="AM81" i="62"/>
  <c r="AM78" i="62"/>
  <c r="AM77" i="62"/>
  <c r="AM76" i="62"/>
  <c r="AM75" i="62"/>
  <c r="AM74" i="62"/>
  <c r="AM73" i="62"/>
  <c r="AM71" i="62"/>
  <c r="AM70" i="62"/>
  <c r="AM69" i="62"/>
  <c r="AM68" i="62"/>
  <c r="AM61" i="62"/>
  <c r="AM59" i="62"/>
  <c r="AM58" i="62"/>
  <c r="AM57" i="62"/>
  <c r="AM56" i="62"/>
  <c r="AM55" i="62"/>
  <c r="AM53" i="62"/>
  <c r="AM52" i="62"/>
  <c r="AM51" i="62"/>
  <c r="AM49" i="62"/>
  <c r="AM48" i="62"/>
  <c r="AM46" i="62"/>
  <c r="AM44" i="62"/>
  <c r="AM43" i="62"/>
  <c r="AM42" i="62"/>
  <c r="AM41" i="62"/>
  <c r="AM40" i="62"/>
  <c r="AM38" i="62"/>
  <c r="AM37" i="62"/>
  <c r="AM36" i="62"/>
  <c r="AM34" i="62"/>
  <c r="AM33" i="62"/>
  <c r="AM26" i="62"/>
  <c r="AM25" i="62"/>
  <c r="AM24" i="62"/>
  <c r="AM23" i="62"/>
  <c r="AM22" i="62"/>
  <c r="AM21" i="62"/>
  <c r="AM19" i="62"/>
  <c r="AM18" i="62"/>
  <c r="AM17" i="62"/>
  <c r="AM14" i="62"/>
  <c r="AL91" i="62"/>
  <c r="AL89" i="62"/>
  <c r="AL88" i="62"/>
  <c r="AL87" i="62"/>
  <c r="AL86" i="62"/>
  <c r="AL85" i="62"/>
  <c r="AL84" i="62"/>
  <c r="AL83" i="62"/>
  <c r="AL82" i="62"/>
  <c r="AL81" i="62"/>
  <c r="AL79" i="62"/>
  <c r="AL78" i="62"/>
  <c r="AL77" i="62"/>
  <c r="AL76" i="62"/>
  <c r="AL75" i="62"/>
  <c r="AL74" i="62"/>
  <c r="AL73" i="62"/>
  <c r="AL71" i="62"/>
  <c r="AL70" i="62"/>
  <c r="AL69" i="62"/>
  <c r="AL68" i="62"/>
  <c r="AL64" i="62"/>
  <c r="AL62" i="62"/>
  <c r="AL61" i="62"/>
  <c r="AL60" i="62"/>
  <c r="AL59" i="62"/>
  <c r="AL58" i="62"/>
  <c r="AL57" i="62"/>
  <c r="AL56" i="62"/>
  <c r="AL55" i="62"/>
  <c r="AL54" i="62"/>
  <c r="AL53" i="62"/>
  <c r="AL52" i="62"/>
  <c r="AL51" i="62"/>
  <c r="AL50" i="62"/>
  <c r="AL49" i="62"/>
  <c r="AL48" i="62"/>
  <c r="AL46" i="62"/>
  <c r="AL45" i="62"/>
  <c r="AL44" i="62"/>
  <c r="AL43" i="62"/>
  <c r="AL42" i="62"/>
  <c r="AL41" i="62"/>
  <c r="AL40" i="62"/>
  <c r="AL39" i="62"/>
  <c r="AL38" i="62"/>
  <c r="AL37" i="62"/>
  <c r="AL36" i="62"/>
  <c r="AL35" i="62"/>
  <c r="AL34" i="62"/>
  <c r="AL33" i="62"/>
  <c r="AL29" i="62"/>
  <c r="AL28" i="62"/>
  <c r="AL27" i="62"/>
  <c r="AL26" i="62"/>
  <c r="AL25" i="62"/>
  <c r="AL24" i="62"/>
  <c r="AL23" i="62"/>
  <c r="AL22" i="62"/>
  <c r="AL21" i="62"/>
  <c r="AL20" i="62"/>
  <c r="AL19" i="62"/>
  <c r="AL18" i="62"/>
  <c r="AL17" i="62"/>
  <c r="AL16" i="62"/>
  <c r="AL15" i="62"/>
  <c r="AL14" i="62"/>
  <c r="AP20" i="65"/>
  <c r="AP17" i="65"/>
  <c r="AP16" i="65"/>
  <c r="AP15" i="65"/>
  <c r="AP13" i="65"/>
  <c r="AP12" i="65"/>
  <c r="AP11" i="65"/>
  <c r="AO21" i="65"/>
  <c r="AO20" i="65"/>
  <c r="AO19" i="65"/>
  <c r="AO17" i="65"/>
  <c r="AO16" i="65"/>
  <c r="AO15" i="65"/>
  <c r="AO14" i="65"/>
  <c r="AO13" i="65"/>
  <c r="AO12" i="65"/>
  <c r="AO11" i="65"/>
  <c r="AM44" i="65"/>
  <c r="AM42" i="65"/>
  <c r="AM39" i="65"/>
  <c r="AM38" i="65"/>
  <c r="AM37" i="65"/>
  <c r="AM33" i="65"/>
  <c r="AM32" i="65"/>
  <c r="AM31" i="65"/>
  <c r="AM30" i="65"/>
  <c r="AM28" i="65"/>
  <c r="AM27" i="65"/>
  <c r="AM26" i="65"/>
  <c r="AM25" i="65"/>
  <c r="AM24" i="65"/>
  <c r="AM20" i="65"/>
  <c r="AM17" i="65"/>
  <c r="AM16" i="65"/>
  <c r="AM15" i="65"/>
  <c r="AM13" i="65"/>
  <c r="AM12" i="65"/>
  <c r="AM11" i="65"/>
  <c r="AL45" i="65"/>
  <c r="AL44" i="65"/>
  <c r="AL43" i="65"/>
  <c r="AL42" i="65"/>
  <c r="AL41" i="65"/>
  <c r="AL40" i="65"/>
  <c r="AL39" i="65"/>
  <c r="AL38" i="65"/>
  <c r="AL37" i="65"/>
  <c r="AL34" i="65"/>
  <c r="AL33" i="65"/>
  <c r="AL32" i="65"/>
  <c r="AL31" i="65"/>
  <c r="AL30" i="65"/>
  <c r="AL29" i="65"/>
  <c r="AL28" i="65"/>
  <c r="AL27" i="65"/>
  <c r="AL26" i="65"/>
  <c r="AL25" i="65"/>
  <c r="AL24" i="65"/>
  <c r="AL23" i="65"/>
  <c r="AL21" i="65"/>
  <c r="AL20" i="65"/>
  <c r="AL19" i="65"/>
  <c r="AL17" i="65"/>
  <c r="AL16" i="65"/>
  <c r="AL15" i="65"/>
  <c r="AL14" i="65"/>
  <c r="AL13" i="65"/>
  <c r="AL12" i="65"/>
  <c r="AL11" i="65"/>
  <c r="L62" i="62" l="1"/>
  <c r="AP54" i="62"/>
  <c r="O45" i="62"/>
  <c r="AP50" i="62"/>
  <c r="AM15" i="62"/>
  <c r="U27" i="62"/>
  <c r="U29" i="62" s="1"/>
  <c r="AJ35" i="62"/>
  <c r="AJ45" i="62" s="1"/>
  <c r="AJ62" i="62" s="1"/>
  <c r="R45" i="62"/>
  <c r="R62" i="62" s="1"/>
  <c r="F45" i="62"/>
  <c r="I27" i="62"/>
  <c r="I29" i="62" s="1"/>
  <c r="AG27" i="62"/>
  <c r="AG29" i="62" s="1"/>
  <c r="AP16" i="62"/>
  <c r="AP59" i="62"/>
  <c r="AJ60" i="62"/>
  <c r="X45" i="62"/>
  <c r="X62" i="62" s="1"/>
  <c r="AP39" i="62"/>
  <c r="AP85" i="62"/>
  <c r="AM20" i="62"/>
  <c r="AA27" i="62"/>
  <c r="AA29" i="62" s="1"/>
  <c r="AA45" i="62"/>
  <c r="AA62" i="62" s="1"/>
  <c r="O60" i="62"/>
  <c r="O62" i="62" s="1"/>
  <c r="L27" i="62"/>
  <c r="L29" i="62" s="1"/>
  <c r="R60" i="62"/>
  <c r="F62" i="62"/>
  <c r="AP19" i="62"/>
  <c r="AP55" i="62"/>
  <c r="AM28" i="62"/>
  <c r="C60" i="62"/>
  <c r="C62" i="62" s="1"/>
  <c r="AP20" i="62"/>
  <c r="U60" i="62"/>
  <c r="U62" i="62" s="1"/>
  <c r="O27" i="62"/>
  <c r="O29" i="62" s="1"/>
  <c r="C27" i="62"/>
  <c r="AJ29" i="62"/>
  <c r="AP79" i="62"/>
  <c r="I60" i="62"/>
  <c r="I62" i="62"/>
  <c r="AM79" i="62"/>
  <c r="AM39" i="62"/>
  <c r="AD62" i="62"/>
  <c r="AG62" i="62"/>
  <c r="AH91" i="62"/>
  <c r="AM50" i="62"/>
  <c r="AM54" i="62"/>
  <c r="AM16" i="62"/>
  <c r="AM35" i="62"/>
  <c r="AM85" i="62"/>
  <c r="AM91" i="62"/>
  <c r="D7" i="22"/>
  <c r="K7" i="22"/>
  <c r="K8" i="22"/>
  <c r="D8" i="22"/>
  <c r="J8" i="22"/>
  <c r="L8" i="22" s="1"/>
  <c r="K9" i="22"/>
  <c r="J9" i="22"/>
  <c r="L9" i="22" l="1"/>
  <c r="AP35" i="62"/>
  <c r="AP45" i="62"/>
  <c r="AM45" i="62"/>
  <c r="U64" i="62"/>
  <c r="AP64" i="62" s="1"/>
  <c r="AP62" i="62"/>
  <c r="AP60" i="62"/>
  <c r="C29" i="62"/>
  <c r="AP29" i="62" s="1"/>
  <c r="AP27" i="62"/>
  <c r="AM27" i="62"/>
  <c r="AM62" i="62"/>
  <c r="AM60" i="62"/>
  <c r="J7" i="22"/>
  <c r="L7" i="22" s="1"/>
  <c r="D9" i="22"/>
  <c r="AE18" i="73"/>
  <c r="AE16" i="73"/>
  <c r="AE14" i="73"/>
  <c r="AE12" i="73"/>
  <c r="AE11" i="73"/>
  <c r="AM29" i="62" l="1"/>
  <c r="AB18" i="73"/>
  <c r="AB16" i="73"/>
  <c r="AA14" i="73"/>
  <c r="AB14" i="73" s="1"/>
  <c r="AB12" i="73"/>
  <c r="AB11" i="73"/>
  <c r="AM64" i="62" l="1"/>
  <c r="W18" i="73"/>
  <c r="Y18" i="73" s="1"/>
  <c r="Y16" i="73"/>
  <c r="X14" i="73"/>
  <c r="W14" i="73"/>
  <c r="Y12" i="73"/>
  <c r="Y11" i="73"/>
  <c r="Y14" i="73" l="1"/>
  <c r="V18" i="73"/>
  <c r="V16" i="73"/>
  <c r="V14" i="73"/>
  <c r="V12" i="73"/>
  <c r="V11" i="73"/>
  <c r="S18" i="73" l="1"/>
  <c r="P18" i="73"/>
  <c r="S16" i="73"/>
  <c r="P16" i="73"/>
  <c r="S14" i="73"/>
  <c r="P14" i="73"/>
  <c r="S12" i="73"/>
  <c r="P12" i="73"/>
  <c r="S11" i="73"/>
  <c r="P11" i="73"/>
  <c r="M16" i="73" l="1"/>
  <c r="M14" i="73"/>
  <c r="M12" i="73"/>
  <c r="M11" i="73"/>
  <c r="J14" i="73" l="1"/>
  <c r="G18" i="73" l="1"/>
  <c r="G16" i="73"/>
  <c r="G14" i="73"/>
  <c r="G12" i="73"/>
  <c r="G11" i="73"/>
  <c r="D16" i="73" l="1"/>
  <c r="D12" i="73"/>
  <c r="D11" i="73"/>
  <c r="AG18" i="73" l="1"/>
  <c r="AF18" i="73"/>
  <c r="AG16" i="73"/>
  <c r="AF16" i="73"/>
  <c r="AH16" i="73" s="1"/>
  <c r="AH14" i="73"/>
  <c r="AH12" i="73"/>
  <c r="AH11" i="73"/>
  <c r="AH18" i="73" l="1"/>
  <c r="F126" i="4"/>
  <c r="F125" i="4"/>
  <c r="F124" i="4"/>
  <c r="F122" i="4"/>
  <c r="F121" i="4"/>
  <c r="F120" i="4"/>
  <c r="F119" i="4"/>
  <c r="F118" i="4"/>
  <c r="F117" i="4"/>
  <c r="F116" i="4"/>
  <c r="F114" i="4"/>
  <c r="F113" i="4"/>
  <c r="F112" i="4"/>
  <c r="F111" i="4"/>
  <c r="F110" i="4"/>
  <c r="F109" i="4"/>
  <c r="F108" i="4"/>
  <c r="F107" i="4"/>
  <c r="F100" i="4"/>
  <c r="F99" i="4"/>
  <c r="F98" i="4"/>
  <c r="F97" i="4"/>
  <c r="F96" i="4"/>
  <c r="F89" i="4"/>
  <c r="F88" i="4"/>
  <c r="F87" i="4"/>
  <c r="F86" i="4"/>
  <c r="F79" i="4"/>
  <c r="F78" i="4"/>
  <c r="F77" i="4"/>
  <c r="F76" i="4"/>
  <c r="F75" i="4"/>
  <c r="F68" i="4"/>
  <c r="F67" i="4"/>
  <c r="F66" i="4"/>
  <c r="E126" i="4"/>
  <c r="E125" i="4"/>
  <c r="E124" i="4"/>
  <c r="E122" i="4"/>
  <c r="E121" i="4"/>
  <c r="G121" i="4" s="1"/>
  <c r="E120" i="4"/>
  <c r="E119" i="4"/>
  <c r="E118" i="4"/>
  <c r="E117" i="4"/>
  <c r="E116" i="4"/>
  <c r="E114" i="4"/>
  <c r="E113" i="4"/>
  <c r="E112" i="4"/>
  <c r="E111" i="4"/>
  <c r="E110" i="4"/>
  <c r="E109" i="4"/>
  <c r="E108" i="4"/>
  <c r="E107" i="4"/>
  <c r="E100" i="4"/>
  <c r="E99" i="4"/>
  <c r="E98" i="4"/>
  <c r="E97" i="4"/>
  <c r="E96" i="4"/>
  <c r="E89" i="4"/>
  <c r="E88" i="4"/>
  <c r="E87" i="4"/>
  <c r="E86" i="4"/>
  <c r="E79" i="4"/>
  <c r="E78" i="4"/>
  <c r="E77" i="4"/>
  <c r="E76" i="4"/>
  <c r="E75" i="4"/>
  <c r="G75" i="4" s="1"/>
  <c r="E68" i="4"/>
  <c r="E67" i="4"/>
  <c r="E66" i="4"/>
  <c r="C126" i="4"/>
  <c r="C125" i="4"/>
  <c r="C124" i="4"/>
  <c r="C122" i="4"/>
  <c r="C121" i="4"/>
  <c r="C120" i="4"/>
  <c r="C119" i="4"/>
  <c r="C118" i="4"/>
  <c r="C117" i="4"/>
  <c r="C116" i="4"/>
  <c r="C114" i="4"/>
  <c r="C113" i="4"/>
  <c r="C112" i="4"/>
  <c r="C111" i="4"/>
  <c r="C110" i="4"/>
  <c r="C109" i="4"/>
  <c r="C108" i="4"/>
  <c r="C107" i="4"/>
  <c r="C100" i="4"/>
  <c r="C99" i="4"/>
  <c r="C98" i="4"/>
  <c r="E97" i="13" s="1"/>
  <c r="C97" i="4"/>
  <c r="E97" i="29" s="1"/>
  <c r="C96" i="4"/>
  <c r="C89" i="4"/>
  <c r="C88" i="4"/>
  <c r="C87" i="4"/>
  <c r="C86" i="4"/>
  <c r="C79" i="4"/>
  <c r="C78" i="4"/>
  <c r="C77" i="4"/>
  <c r="C76" i="4"/>
  <c r="C75" i="4"/>
  <c r="C68" i="4"/>
  <c r="C67" i="4"/>
  <c r="C66" i="4"/>
  <c r="B87" i="4"/>
  <c r="B111" i="4"/>
  <c r="B119" i="4"/>
  <c r="B126" i="4"/>
  <c r="B125" i="4"/>
  <c r="B124" i="4"/>
  <c r="B122" i="4"/>
  <c r="B121" i="4"/>
  <c r="B120" i="4"/>
  <c r="B118" i="4"/>
  <c r="B117" i="4"/>
  <c r="B116" i="4"/>
  <c r="B114" i="4"/>
  <c r="B113" i="4"/>
  <c r="B112" i="4"/>
  <c r="B110" i="4"/>
  <c r="B109" i="4"/>
  <c r="B108" i="4"/>
  <c r="B107" i="4"/>
  <c r="B100" i="4"/>
  <c r="B99" i="4"/>
  <c r="B98" i="4"/>
  <c r="B97" i="4"/>
  <c r="B96" i="4"/>
  <c r="B89" i="4"/>
  <c r="B88" i="4"/>
  <c r="B86" i="4"/>
  <c r="B79" i="4"/>
  <c r="B78" i="4"/>
  <c r="B77" i="4"/>
  <c r="B76" i="4"/>
  <c r="B75" i="4"/>
  <c r="B68" i="4"/>
  <c r="B67" i="4"/>
  <c r="B66" i="4"/>
  <c r="C58" i="4"/>
  <c r="C57" i="4"/>
  <c r="C56" i="4"/>
  <c r="C55" i="4"/>
  <c r="C54" i="4"/>
  <c r="C53" i="4"/>
  <c r="C49" i="4"/>
  <c r="C48" i="4"/>
  <c r="C47" i="4"/>
  <c r="B58" i="4"/>
  <c r="B57" i="4"/>
  <c r="B56" i="4"/>
  <c r="B55" i="4"/>
  <c r="B54" i="4"/>
  <c r="B53" i="4"/>
  <c r="B49" i="4"/>
  <c r="B48" i="4"/>
  <c r="B47" i="4"/>
  <c r="G68" i="4" l="1"/>
  <c r="G108" i="4"/>
  <c r="G77" i="4"/>
  <c r="G111" i="4"/>
  <c r="G117" i="4"/>
  <c r="G79" i="4"/>
  <c r="G113" i="4"/>
  <c r="G122" i="4"/>
  <c r="G112" i="4"/>
  <c r="G87" i="4"/>
  <c r="G107" i="4"/>
  <c r="G116" i="4"/>
  <c r="G125" i="4"/>
  <c r="G109" i="4"/>
  <c r="G96" i="4"/>
  <c r="G119" i="4"/>
  <c r="G89" i="4"/>
  <c r="G98" i="4"/>
  <c r="G86" i="4"/>
  <c r="G100" i="4"/>
  <c r="G114" i="4"/>
  <c r="G124" i="4"/>
  <c r="F39" i="4"/>
  <c r="F38" i="4"/>
  <c r="F37" i="4"/>
  <c r="F36" i="4"/>
  <c r="E39" i="4"/>
  <c r="E38" i="4"/>
  <c r="E37" i="4"/>
  <c r="E36" i="4"/>
  <c r="C39" i="4"/>
  <c r="C38" i="4"/>
  <c r="C37" i="4"/>
  <c r="C36" i="4"/>
  <c r="C35" i="4"/>
  <c r="C34" i="4"/>
  <c r="C33" i="4"/>
  <c r="C32" i="4"/>
  <c r="C31" i="4"/>
  <c r="C30" i="4"/>
  <c r="C29" i="4"/>
  <c r="C28" i="4"/>
  <c r="C27" i="4"/>
  <c r="C26" i="4"/>
  <c r="C25" i="4"/>
  <c r="C24" i="4"/>
  <c r="C23" i="4"/>
  <c r="C22" i="4"/>
  <c r="B39" i="4"/>
  <c r="B38" i="4"/>
  <c r="B37" i="4"/>
  <c r="B36" i="4"/>
  <c r="B35" i="4"/>
  <c r="B34" i="4"/>
  <c r="B33" i="4"/>
  <c r="B32" i="4"/>
  <c r="B31" i="4"/>
  <c r="B30" i="4"/>
  <c r="B29" i="4"/>
  <c r="B28" i="4"/>
  <c r="B27" i="4"/>
  <c r="B26" i="4"/>
  <c r="B25" i="4"/>
  <c r="B24" i="4" l="1"/>
  <c r="B23" i="4"/>
  <c r="B22" i="4"/>
  <c r="F9" i="4"/>
  <c r="F8" i="4"/>
  <c r="E9" i="4"/>
  <c r="E8" i="4"/>
  <c r="I40" i="65" l="1"/>
  <c r="I29" i="65"/>
  <c r="I21" i="65"/>
  <c r="I14" i="65"/>
  <c r="I34" i="65" l="1"/>
  <c r="I41" i="65" s="1"/>
  <c r="I43" i="65" s="1"/>
  <c r="I45" i="65" s="1"/>
  <c r="F40" i="65"/>
  <c r="F29" i="65"/>
  <c r="F21" i="65"/>
  <c r="F14" i="65"/>
  <c r="F34" i="65" l="1"/>
  <c r="F41" i="65" s="1"/>
  <c r="F43" i="65" s="1"/>
  <c r="F45" i="65" s="1"/>
  <c r="AJ40" i="65"/>
  <c r="AJ29" i="65"/>
  <c r="AJ19" i="65"/>
  <c r="AJ21" i="65" s="1"/>
  <c r="AJ14" i="65"/>
  <c r="AJ34" i="65" l="1"/>
  <c r="AJ41" i="65" s="1"/>
  <c r="AJ43" i="65" s="1"/>
  <c r="AJ45" i="65" s="1"/>
  <c r="AA40" i="65"/>
  <c r="AA29" i="65"/>
  <c r="AA21" i="65"/>
  <c r="AA14" i="65"/>
  <c r="AA34" i="65" l="1"/>
  <c r="AA41" i="65" s="1"/>
  <c r="AA43" i="65" s="1"/>
  <c r="AA45" i="65" s="1"/>
  <c r="X40" i="65"/>
  <c r="X29" i="65"/>
  <c r="X21" i="65"/>
  <c r="X14" i="65"/>
  <c r="X34" i="65" l="1"/>
  <c r="X41" i="65" s="1"/>
  <c r="X43" i="65" s="1"/>
  <c r="X45" i="65" s="1"/>
  <c r="C40" i="65"/>
  <c r="C23" i="65"/>
  <c r="C19" i="65"/>
  <c r="C14" i="65"/>
  <c r="C21" i="65" l="1"/>
  <c r="C29" i="65"/>
  <c r="U40" i="65"/>
  <c r="U29" i="65"/>
  <c r="U21" i="65"/>
  <c r="U14" i="65"/>
  <c r="U34" i="65" s="1"/>
  <c r="U41" i="65" s="1"/>
  <c r="U43" i="65" s="1"/>
  <c r="U45" i="65" s="1"/>
  <c r="R40" i="65"/>
  <c r="R29" i="65"/>
  <c r="R21" i="65"/>
  <c r="R14" i="65"/>
  <c r="C34" i="65" l="1"/>
  <c r="R34" i="65"/>
  <c r="R41" i="65" s="1"/>
  <c r="R43" i="65" s="1"/>
  <c r="R45" i="65" s="1"/>
  <c r="AD40" i="65"/>
  <c r="AD29" i="65"/>
  <c r="AD21" i="65"/>
  <c r="AD14" i="65"/>
  <c r="O40" i="65"/>
  <c r="O29" i="65"/>
  <c r="O21" i="65"/>
  <c r="O14" i="65"/>
  <c r="C41" i="65" l="1"/>
  <c r="AD34" i="65"/>
  <c r="AD41" i="65" s="1"/>
  <c r="AD43" i="65" s="1"/>
  <c r="AD45" i="65" s="1"/>
  <c r="O34" i="65"/>
  <c r="O41" i="65" s="1"/>
  <c r="O43" i="65" s="1"/>
  <c r="O45" i="65" s="1"/>
  <c r="L40" i="65"/>
  <c r="AM40" i="65" s="1"/>
  <c r="L23" i="65"/>
  <c r="L19" i="65"/>
  <c r="L14" i="65"/>
  <c r="AM14" i="65" l="1"/>
  <c r="AP14" i="65"/>
  <c r="L21" i="65"/>
  <c r="AP19" i="65"/>
  <c r="AM19" i="65"/>
  <c r="L29" i="65"/>
  <c r="AM29" i="65" s="1"/>
  <c r="AM23" i="65"/>
  <c r="C43" i="65"/>
  <c r="C45" i="65" l="1"/>
  <c r="AP21" i="65"/>
  <c r="AM21" i="65"/>
  <c r="L34" i="65"/>
  <c r="F29" i="4"/>
  <c r="E29" i="4"/>
  <c r="F22" i="4"/>
  <c r="E22" i="4"/>
  <c r="L41" i="65" l="1"/>
  <c r="AM34" i="65"/>
  <c r="G76" i="62"/>
  <c r="L43" i="65" l="1"/>
  <c r="AM41" i="65"/>
  <c r="F33" i="4"/>
  <c r="E33" i="4"/>
  <c r="F32" i="4"/>
  <c r="E32" i="4"/>
  <c r="F31" i="4"/>
  <c r="E31" i="4"/>
  <c r="F30" i="4"/>
  <c r="E30" i="4"/>
  <c r="K32" i="13"/>
  <c r="K31" i="13"/>
  <c r="K33" i="20"/>
  <c r="J33" i="20"/>
  <c r="L33" i="20" s="1"/>
  <c r="K32" i="20"/>
  <c r="K33" i="29"/>
  <c r="J33" i="29"/>
  <c r="K32" i="29"/>
  <c r="J32" i="29"/>
  <c r="L32" i="29" s="1"/>
  <c r="J33" i="35"/>
  <c r="K33" i="33"/>
  <c r="J33" i="33"/>
  <c r="L33" i="33" s="1"/>
  <c r="K32" i="33"/>
  <c r="J32" i="33"/>
  <c r="L32" i="33" s="1"/>
  <c r="J33" i="37"/>
  <c r="K33" i="18"/>
  <c r="J33" i="18"/>
  <c r="L33" i="18" s="1"/>
  <c r="K32" i="18"/>
  <c r="J32" i="18"/>
  <c r="J30" i="29"/>
  <c r="J30" i="18"/>
  <c r="F23" i="4"/>
  <c r="F27" i="4"/>
  <c r="E27" i="4"/>
  <c r="F26" i="4"/>
  <c r="E26" i="4"/>
  <c r="F25" i="4"/>
  <c r="E25" i="4"/>
  <c r="F24" i="4"/>
  <c r="E24" i="4"/>
  <c r="E23" i="4"/>
  <c r="K23" i="13"/>
  <c r="K23" i="20"/>
  <c r="K23" i="35"/>
  <c r="K23" i="33"/>
  <c r="K23" i="37"/>
  <c r="K25" i="13"/>
  <c r="J25" i="13"/>
  <c r="L25" i="13" s="1"/>
  <c r="K26" i="20"/>
  <c r="J26" i="20"/>
  <c r="K25" i="20"/>
  <c r="J25" i="20"/>
  <c r="K26" i="23"/>
  <c r="J26" i="23"/>
  <c r="L26" i="23" s="1"/>
  <c r="K25" i="23"/>
  <c r="J25" i="23"/>
  <c r="L25" i="23" s="1"/>
  <c r="K26" i="29"/>
  <c r="J26" i="29"/>
  <c r="K25" i="29"/>
  <c r="J25" i="29"/>
  <c r="K26" i="35"/>
  <c r="J26" i="35"/>
  <c r="L26" i="35" s="1"/>
  <c r="K26" i="33"/>
  <c r="J26" i="33"/>
  <c r="L26" i="33" s="1"/>
  <c r="K25" i="33"/>
  <c r="K26" i="37"/>
  <c r="J26" i="37"/>
  <c r="L26" i="37" s="1"/>
  <c r="K25" i="37"/>
  <c r="K26" i="18"/>
  <c r="J26" i="18"/>
  <c r="L26" i="18" s="1"/>
  <c r="K25" i="18"/>
  <c r="J23" i="20"/>
  <c r="L23" i="20" s="1"/>
  <c r="J23" i="37"/>
  <c r="L32" i="18" l="1"/>
  <c r="L25" i="29"/>
  <c r="L25" i="20"/>
  <c r="L26" i="29"/>
  <c r="L26" i="20"/>
  <c r="L23" i="37"/>
  <c r="L33" i="29"/>
  <c r="L45" i="65"/>
  <c r="AM45" i="65" s="1"/>
  <c r="AM43" i="65"/>
  <c r="J23" i="18"/>
  <c r="J23" i="29"/>
  <c r="J23" i="23"/>
  <c r="J25" i="18"/>
  <c r="L25" i="18" s="1"/>
  <c r="J25" i="37"/>
  <c r="L25" i="37" s="1"/>
  <c r="J25" i="33"/>
  <c r="L25" i="33" s="1"/>
  <c r="K24" i="24"/>
  <c r="K24" i="13"/>
  <c r="K31" i="18"/>
  <c r="K31" i="33"/>
  <c r="K31" i="29"/>
  <c r="J23" i="35"/>
  <c r="L23" i="35" s="1"/>
  <c r="J23" i="13"/>
  <c r="L23" i="13" s="1"/>
  <c r="K30" i="20"/>
  <c r="K30" i="13"/>
  <c r="K24" i="33"/>
  <c r="K24" i="29"/>
  <c r="J31" i="37"/>
  <c r="J31" i="24"/>
  <c r="J31" i="35"/>
  <c r="L31" i="35" s="1"/>
  <c r="J31" i="13"/>
  <c r="L31" i="13" s="1"/>
  <c r="J24" i="37"/>
  <c r="J24" i="33"/>
  <c r="L24" i="33" s="1"/>
  <c r="J24" i="29"/>
  <c r="J24" i="24"/>
  <c r="L24" i="24" s="1"/>
  <c r="J24" i="13"/>
  <c r="L24" i="13" s="1"/>
  <c r="K23" i="18"/>
  <c r="K23" i="29"/>
  <c r="K23" i="23"/>
  <c r="J31" i="18"/>
  <c r="L31" i="18" s="1"/>
  <c r="J31" i="33"/>
  <c r="L31" i="33" s="1"/>
  <c r="J31" i="29"/>
  <c r="K24" i="37"/>
  <c r="K30" i="37"/>
  <c r="J30" i="13"/>
  <c r="L30" i="13" s="1"/>
  <c r="J23" i="33"/>
  <c r="L23" i="33" s="1"/>
  <c r="J30" i="33"/>
  <c r="J30" i="35"/>
  <c r="J32" i="20"/>
  <c r="L32" i="20" s="1"/>
  <c r="J32" i="13"/>
  <c r="L32" i="13" s="1"/>
  <c r="J30" i="37"/>
  <c r="L30" i="37" s="1"/>
  <c r="J32" i="37"/>
  <c r="L32" i="37" s="1"/>
  <c r="K30" i="18"/>
  <c r="L30" i="18" s="1"/>
  <c r="K30" i="33"/>
  <c r="K30" i="29"/>
  <c r="L30" i="29" s="1"/>
  <c r="K32" i="37"/>
  <c r="K30" i="35"/>
  <c r="K31" i="37"/>
  <c r="K33" i="37"/>
  <c r="L33" i="37" s="1"/>
  <c r="K31" i="35"/>
  <c r="K33" i="35"/>
  <c r="L33" i="35" s="1"/>
  <c r="K31" i="24"/>
  <c r="L31" i="24" l="1"/>
  <c r="L23" i="23"/>
  <c r="L31" i="37"/>
  <c r="L23" i="29"/>
  <c r="L23" i="18"/>
  <c r="L31" i="29"/>
  <c r="L24" i="29"/>
  <c r="L30" i="35"/>
  <c r="L24" i="37"/>
  <c r="L30" i="33"/>
  <c r="J9" i="72"/>
  <c r="L9" i="72" s="1"/>
  <c r="E31" i="13" l="1"/>
  <c r="E31" i="37"/>
  <c r="E31" i="33"/>
  <c r="E31" i="24"/>
  <c r="E31" i="29"/>
  <c r="E23" i="13"/>
  <c r="E23" i="20"/>
  <c r="E23" i="37"/>
  <c r="E23" i="33"/>
  <c r="E23" i="29"/>
  <c r="E25" i="29"/>
  <c r="E25" i="20"/>
  <c r="E25" i="13"/>
  <c r="E30" i="13"/>
  <c r="E30" i="20"/>
  <c r="E30" i="37"/>
  <c r="E30" i="29"/>
  <c r="E30" i="33"/>
  <c r="E32" i="20"/>
  <c r="E32" i="13"/>
  <c r="E32" i="29"/>
  <c r="E24" i="24"/>
  <c r="E24" i="13"/>
  <c r="E24" i="29"/>
  <c r="E24" i="33"/>
  <c r="E24" i="37"/>
  <c r="K7" i="72"/>
  <c r="K9" i="72"/>
  <c r="J7" i="72"/>
  <c r="L7" i="72" s="1"/>
  <c r="D47" i="72"/>
  <c r="D48" i="72"/>
  <c r="D7" i="72"/>
  <c r="D9" i="72"/>
  <c r="AK44" i="65"/>
  <c r="AH44" i="65"/>
  <c r="Y44" i="65"/>
  <c r="V44" i="65"/>
  <c r="S44" i="65"/>
  <c r="M44" i="65"/>
  <c r="G44" i="65"/>
  <c r="AK42" i="65"/>
  <c r="AH42" i="65"/>
  <c r="AB42" i="65"/>
  <c r="Y42" i="65"/>
  <c r="P42" i="65"/>
  <c r="M42" i="65"/>
  <c r="J42" i="65"/>
  <c r="G42" i="65"/>
  <c r="D42" i="65"/>
  <c r="AK40" i="65"/>
  <c r="AH40" i="65"/>
  <c r="AB40" i="65"/>
  <c r="Y40" i="65"/>
  <c r="V40" i="65"/>
  <c r="S40" i="65"/>
  <c r="P40" i="65"/>
  <c r="M40" i="65"/>
  <c r="J40" i="65"/>
  <c r="G40" i="65"/>
  <c r="D40" i="65"/>
  <c r="AK39" i="65"/>
  <c r="AH39" i="65"/>
  <c r="AB39" i="65"/>
  <c r="Y39" i="65"/>
  <c r="V39" i="65"/>
  <c r="S39" i="65"/>
  <c r="M39" i="65"/>
  <c r="J39" i="65"/>
  <c r="G39" i="65"/>
  <c r="AK38" i="65"/>
  <c r="AH38" i="65"/>
  <c r="AB38" i="65"/>
  <c r="Y38" i="65"/>
  <c r="V38" i="65"/>
  <c r="S38" i="65"/>
  <c r="M38" i="65"/>
  <c r="J38" i="65"/>
  <c r="G38" i="65"/>
  <c r="AK37" i="65"/>
  <c r="AH37" i="65"/>
  <c r="AB37" i="65"/>
  <c r="Y37" i="65"/>
  <c r="V37" i="65"/>
  <c r="S37" i="65"/>
  <c r="P37" i="65"/>
  <c r="M37" i="65"/>
  <c r="J37" i="65"/>
  <c r="G37" i="65"/>
  <c r="D37" i="65"/>
  <c r="AK33" i="65"/>
  <c r="AH33" i="65"/>
  <c r="Y33" i="65"/>
  <c r="V33" i="65"/>
  <c r="S33" i="65"/>
  <c r="G33" i="65"/>
  <c r="AK32" i="65"/>
  <c r="AH32" i="65"/>
  <c r="AE32" i="65"/>
  <c r="AB32" i="65"/>
  <c r="Y32" i="65"/>
  <c r="V32" i="65"/>
  <c r="S32" i="65"/>
  <c r="P32" i="65"/>
  <c r="M32" i="65"/>
  <c r="J32" i="65"/>
  <c r="G32" i="65"/>
  <c r="D32" i="65"/>
  <c r="AK31" i="65"/>
  <c r="AH31" i="65"/>
  <c r="AB31" i="65"/>
  <c r="Y31" i="65"/>
  <c r="S31" i="65"/>
  <c r="M31" i="65"/>
  <c r="G31" i="65"/>
  <c r="D31" i="65"/>
  <c r="AK30" i="65"/>
  <c r="AH30" i="65"/>
  <c r="AE30" i="65"/>
  <c r="Y30" i="65"/>
  <c r="V30" i="65"/>
  <c r="S30" i="65"/>
  <c r="M30" i="65"/>
  <c r="G30" i="65"/>
  <c r="D30" i="65"/>
  <c r="Y29" i="65"/>
  <c r="AK28" i="65"/>
  <c r="AH28" i="65"/>
  <c r="Y28" i="65"/>
  <c r="V28" i="65"/>
  <c r="S28" i="65"/>
  <c r="M28" i="65"/>
  <c r="G28" i="65"/>
  <c r="AK27" i="65"/>
  <c r="AH27" i="65"/>
  <c r="Y27" i="65"/>
  <c r="J27" i="65"/>
  <c r="G27" i="65"/>
  <c r="D27" i="65"/>
  <c r="AK26" i="65"/>
  <c r="AH26" i="65"/>
  <c r="AB26" i="65"/>
  <c r="Y26" i="65"/>
  <c r="V26" i="65"/>
  <c r="S26" i="65"/>
  <c r="G26" i="65"/>
  <c r="AK25" i="65"/>
  <c r="AH25" i="65"/>
  <c r="AB25" i="65"/>
  <c r="Y25" i="65"/>
  <c r="V25" i="65"/>
  <c r="S25" i="65"/>
  <c r="M25" i="65"/>
  <c r="G25" i="65"/>
  <c r="D25" i="65"/>
  <c r="AK24" i="65"/>
  <c r="AH24" i="65"/>
  <c r="AB24" i="65"/>
  <c r="Y24" i="65"/>
  <c r="V24" i="65"/>
  <c r="S24" i="65"/>
  <c r="M24" i="65"/>
  <c r="J24" i="65"/>
  <c r="G24" i="65"/>
  <c r="AK23" i="65"/>
  <c r="AH23" i="65"/>
  <c r="AB23" i="65"/>
  <c r="Y23" i="65"/>
  <c r="V23" i="65"/>
  <c r="S23" i="65"/>
  <c r="M23" i="65"/>
  <c r="J23" i="65"/>
  <c r="G23" i="65"/>
  <c r="D23" i="65"/>
  <c r="AB21" i="65"/>
  <c r="AK20" i="65"/>
  <c r="AH20" i="65"/>
  <c r="AE20" i="65"/>
  <c r="Y20" i="65"/>
  <c r="V20" i="65"/>
  <c r="S20" i="65"/>
  <c r="M20" i="65"/>
  <c r="J20" i="65"/>
  <c r="G20" i="65"/>
  <c r="D20" i="65"/>
  <c r="AK19" i="65"/>
  <c r="AH19" i="65"/>
  <c r="AE19" i="65"/>
  <c r="AB19" i="65"/>
  <c r="Y19" i="65"/>
  <c r="V19" i="65"/>
  <c r="S19" i="65"/>
  <c r="P19" i="65"/>
  <c r="M19" i="65"/>
  <c r="J19" i="65"/>
  <c r="G19" i="65"/>
  <c r="D19" i="65"/>
  <c r="AK17" i="65"/>
  <c r="AH17" i="65"/>
  <c r="AB17" i="65"/>
  <c r="Y17" i="65"/>
  <c r="V17" i="65"/>
  <c r="S17" i="65"/>
  <c r="J17" i="65"/>
  <c r="G17" i="65"/>
  <c r="AK16" i="65"/>
  <c r="AH16" i="65"/>
  <c r="AE16" i="65"/>
  <c r="Y16" i="65"/>
  <c r="V16" i="65"/>
  <c r="S16" i="65"/>
  <c r="M16" i="65"/>
  <c r="J16" i="65"/>
  <c r="G16" i="65"/>
  <c r="D16" i="65"/>
  <c r="AK15" i="65"/>
  <c r="AH15" i="65"/>
  <c r="AB15" i="65"/>
  <c r="Y15" i="65"/>
  <c r="V15" i="65"/>
  <c r="S15" i="65"/>
  <c r="M15" i="65"/>
  <c r="J15" i="65"/>
  <c r="G15" i="65"/>
  <c r="D15" i="65"/>
  <c r="AK14" i="65"/>
  <c r="Y14" i="65"/>
  <c r="AK13" i="65"/>
  <c r="AH13" i="65"/>
  <c r="AE13" i="65"/>
  <c r="Y13" i="65"/>
  <c r="V13" i="65"/>
  <c r="S13" i="65"/>
  <c r="M13" i="65"/>
  <c r="J13" i="65"/>
  <c r="G13" i="65"/>
  <c r="D13" i="65"/>
  <c r="AK12" i="65"/>
  <c r="AH12" i="65"/>
  <c r="Y12" i="65"/>
  <c r="V12" i="65"/>
  <c r="S12" i="65"/>
  <c r="M12" i="65"/>
  <c r="J12" i="65"/>
  <c r="G12" i="65"/>
  <c r="D12" i="65"/>
  <c r="AK11" i="65"/>
  <c r="AH11" i="65"/>
  <c r="AE11" i="65"/>
  <c r="AB11" i="65"/>
  <c r="Y11" i="65"/>
  <c r="V11" i="65"/>
  <c r="S11" i="65"/>
  <c r="P11" i="65"/>
  <c r="M11" i="65"/>
  <c r="J11" i="65"/>
  <c r="G11" i="65"/>
  <c r="D11" i="65"/>
  <c r="AK89" i="62"/>
  <c r="AH89" i="62"/>
  <c r="AB89" i="62"/>
  <c r="Y89" i="62"/>
  <c r="V89" i="62"/>
  <c r="S89" i="62"/>
  <c r="P89" i="62"/>
  <c r="M89" i="62"/>
  <c r="J89" i="62"/>
  <c r="G89" i="62"/>
  <c r="D89" i="62"/>
  <c r="AK88" i="62"/>
  <c r="AH88" i="62"/>
  <c r="AE88" i="62"/>
  <c r="AB88" i="62"/>
  <c r="Y88" i="62"/>
  <c r="V88" i="62"/>
  <c r="S88" i="62"/>
  <c r="P88" i="62"/>
  <c r="M88" i="62"/>
  <c r="G88" i="62"/>
  <c r="D88" i="62"/>
  <c r="AH87" i="62"/>
  <c r="AK86" i="62"/>
  <c r="AH86" i="62"/>
  <c r="AB86" i="62"/>
  <c r="Y86" i="62"/>
  <c r="V86" i="62"/>
  <c r="S86" i="62"/>
  <c r="P86" i="62"/>
  <c r="M86" i="62"/>
  <c r="J86" i="62"/>
  <c r="G86" i="62"/>
  <c r="D86" i="62"/>
  <c r="AK83" i="62"/>
  <c r="AH83" i="62"/>
  <c r="V83" i="62"/>
  <c r="S83" i="62"/>
  <c r="M83" i="62"/>
  <c r="G83" i="62"/>
  <c r="D83" i="62"/>
  <c r="AK82" i="62"/>
  <c r="AH82" i="62"/>
  <c r="Y82" i="62"/>
  <c r="AK81" i="62"/>
  <c r="AH81" i="62"/>
  <c r="AE81" i="62"/>
  <c r="Y81" i="62"/>
  <c r="V81" i="62"/>
  <c r="S81" i="62"/>
  <c r="M81" i="62"/>
  <c r="J81" i="62"/>
  <c r="G81" i="62"/>
  <c r="D81" i="62"/>
  <c r="AK77" i="62"/>
  <c r="AH77" i="62"/>
  <c r="Y77" i="62"/>
  <c r="J77" i="62"/>
  <c r="G77" i="62"/>
  <c r="D77" i="62"/>
  <c r="AK76" i="62"/>
  <c r="AH76" i="62"/>
  <c r="Y76" i="62"/>
  <c r="V76" i="62"/>
  <c r="S76" i="62"/>
  <c r="D76" i="62"/>
  <c r="AK75" i="62"/>
  <c r="AH75" i="62"/>
  <c r="AB75" i="62"/>
  <c r="Y75" i="62"/>
  <c r="V75" i="62"/>
  <c r="S75" i="62"/>
  <c r="M75" i="62"/>
  <c r="G75" i="62"/>
  <c r="D75" i="62"/>
  <c r="AK74" i="62"/>
  <c r="AH74" i="62"/>
  <c r="AB74" i="62"/>
  <c r="Y74" i="62"/>
  <c r="V74" i="62"/>
  <c r="S74" i="62"/>
  <c r="M74" i="62"/>
  <c r="J74" i="62"/>
  <c r="G74" i="62"/>
  <c r="D74" i="62"/>
  <c r="AK73" i="62"/>
  <c r="AH73" i="62"/>
  <c r="AB73" i="62"/>
  <c r="Y73" i="62"/>
  <c r="V73" i="62"/>
  <c r="S73" i="62"/>
  <c r="M73" i="62"/>
  <c r="J73" i="62"/>
  <c r="G73" i="62"/>
  <c r="D73" i="62"/>
  <c r="AK71" i="62"/>
  <c r="AH71" i="62"/>
  <c r="AB71" i="62"/>
  <c r="Y71" i="62"/>
  <c r="S71" i="62"/>
  <c r="G71" i="62"/>
  <c r="AK70" i="62"/>
  <c r="AH70" i="62"/>
  <c r="AB70" i="62"/>
  <c r="Y70" i="62"/>
  <c r="V70" i="62"/>
  <c r="S70" i="62"/>
  <c r="M70" i="62"/>
  <c r="G70" i="62"/>
  <c r="AK69" i="62"/>
  <c r="AH69" i="62"/>
  <c r="AE69" i="62"/>
  <c r="AB69" i="62"/>
  <c r="Y69" i="62"/>
  <c r="V69" i="62"/>
  <c r="S69" i="62"/>
  <c r="P69" i="62"/>
  <c r="M69" i="62"/>
  <c r="J69" i="62"/>
  <c r="G69" i="62"/>
  <c r="D69" i="62"/>
  <c r="AK68" i="62"/>
  <c r="AH68" i="62"/>
  <c r="AE68" i="62"/>
  <c r="AB68" i="62"/>
  <c r="Y68" i="62"/>
  <c r="V68" i="62"/>
  <c r="S68" i="62"/>
  <c r="P68" i="62"/>
  <c r="M68" i="62"/>
  <c r="J68" i="62"/>
  <c r="G68" i="62"/>
  <c r="D68" i="62"/>
  <c r="AK59" i="62"/>
  <c r="AH59" i="62"/>
  <c r="Y59" i="62"/>
  <c r="S59" i="62"/>
  <c r="M59" i="62"/>
  <c r="J59" i="62"/>
  <c r="D59" i="62"/>
  <c r="AK58" i="62"/>
  <c r="S58" i="62"/>
  <c r="AK57" i="62"/>
  <c r="V57" i="62"/>
  <c r="S57" i="62"/>
  <c r="M57" i="62"/>
  <c r="G57" i="62"/>
  <c r="AK56" i="62"/>
  <c r="AH56" i="62"/>
  <c r="V56" i="62"/>
  <c r="S56" i="62"/>
  <c r="M56" i="62"/>
  <c r="J56" i="62"/>
  <c r="G56" i="62"/>
  <c r="D56" i="62"/>
  <c r="AK55" i="62"/>
  <c r="AH55" i="62"/>
  <c r="AE55" i="62"/>
  <c r="Y55" i="62"/>
  <c r="V55" i="62"/>
  <c r="S55" i="62"/>
  <c r="M55" i="62"/>
  <c r="J55" i="62"/>
  <c r="G55" i="62"/>
  <c r="D55" i="62"/>
  <c r="S53" i="62"/>
  <c r="S51" i="62"/>
  <c r="AK49" i="62"/>
  <c r="S49" i="62"/>
  <c r="AQ48" i="62"/>
  <c r="AN48" i="62"/>
  <c r="AH46" i="62"/>
  <c r="Y46" i="62"/>
  <c r="J46" i="62"/>
  <c r="D46" i="62"/>
  <c r="AK44" i="62"/>
  <c r="AH44" i="62"/>
  <c r="AB44" i="62"/>
  <c r="Y44" i="62"/>
  <c r="S44" i="62"/>
  <c r="M44" i="62"/>
  <c r="J44" i="62"/>
  <c r="G44" i="62"/>
  <c r="D44" i="62"/>
  <c r="AK43" i="62"/>
  <c r="AH43" i="62"/>
  <c r="AB43" i="62"/>
  <c r="Y43" i="62"/>
  <c r="S43" i="62"/>
  <c r="G43" i="62"/>
  <c r="D43" i="62"/>
  <c r="AK42" i="62"/>
  <c r="AB42" i="62"/>
  <c r="V42" i="62"/>
  <c r="S42" i="62"/>
  <c r="M42" i="62"/>
  <c r="G42" i="62"/>
  <c r="AK41" i="62"/>
  <c r="AH41" i="62"/>
  <c r="AB41" i="62"/>
  <c r="Y41" i="62"/>
  <c r="V41" i="62"/>
  <c r="S41" i="62"/>
  <c r="M41" i="62"/>
  <c r="J41" i="62"/>
  <c r="G41" i="62"/>
  <c r="D41" i="62"/>
  <c r="AK40" i="62"/>
  <c r="AH40" i="62"/>
  <c r="AB40" i="62"/>
  <c r="Y40" i="62"/>
  <c r="V40" i="62"/>
  <c r="S40" i="62"/>
  <c r="J40" i="62"/>
  <c r="G40" i="62"/>
  <c r="D40" i="62"/>
  <c r="AK38" i="62"/>
  <c r="AH38" i="62"/>
  <c r="AB38" i="62"/>
  <c r="Y38" i="62"/>
  <c r="V38" i="62"/>
  <c r="S38" i="62"/>
  <c r="M38" i="62"/>
  <c r="AK37" i="62"/>
  <c r="AH37" i="62"/>
  <c r="AB37" i="62"/>
  <c r="Y37" i="62"/>
  <c r="S37" i="62"/>
  <c r="M37" i="62"/>
  <c r="G37" i="62"/>
  <c r="AK36" i="62"/>
  <c r="AH36" i="62"/>
  <c r="AB36" i="62"/>
  <c r="Y36" i="62"/>
  <c r="V36" i="62"/>
  <c r="S36" i="62"/>
  <c r="M36" i="62"/>
  <c r="G36" i="62"/>
  <c r="G35" i="62"/>
  <c r="AK34" i="62"/>
  <c r="AH34" i="62"/>
  <c r="AB34" i="62"/>
  <c r="Y34" i="62"/>
  <c r="V34" i="62"/>
  <c r="S34" i="62"/>
  <c r="G34" i="62"/>
  <c r="AH33" i="62"/>
  <c r="AB33" i="62"/>
  <c r="G33" i="62"/>
  <c r="AK28" i="62"/>
  <c r="AH28" i="62"/>
  <c r="AE28" i="62"/>
  <c r="AB28" i="62"/>
  <c r="Y28" i="62"/>
  <c r="V28" i="62"/>
  <c r="S28" i="62"/>
  <c r="P28" i="62"/>
  <c r="M28" i="62"/>
  <c r="J28" i="62"/>
  <c r="G28" i="62"/>
  <c r="D28" i="62"/>
  <c r="P27" i="62"/>
  <c r="AQ26" i="62"/>
  <c r="AN26" i="62"/>
  <c r="AK25" i="62"/>
  <c r="AH25" i="62"/>
  <c r="S25" i="62"/>
  <c r="J25" i="62"/>
  <c r="G25" i="62"/>
  <c r="AK24" i="62"/>
  <c r="AB24" i="62"/>
  <c r="S24" i="62"/>
  <c r="G24" i="62"/>
  <c r="AK23" i="62"/>
  <c r="AH23" i="62"/>
  <c r="AB23" i="62"/>
  <c r="Y23" i="62"/>
  <c r="V23" i="62"/>
  <c r="S23" i="62"/>
  <c r="M23" i="62"/>
  <c r="G23" i="62"/>
  <c r="AK22" i="62"/>
  <c r="AH22" i="62"/>
  <c r="AB22" i="62"/>
  <c r="Y22" i="62"/>
  <c r="V22" i="62"/>
  <c r="S22" i="62"/>
  <c r="M22" i="62"/>
  <c r="J22" i="62"/>
  <c r="G22" i="62"/>
  <c r="D22" i="62"/>
  <c r="AK21" i="62"/>
  <c r="AH21" i="62"/>
  <c r="Y21" i="62"/>
  <c r="V21" i="62"/>
  <c r="S21" i="62"/>
  <c r="P21" i="62"/>
  <c r="M21" i="62"/>
  <c r="J21" i="62"/>
  <c r="G21" i="62"/>
  <c r="D21" i="62"/>
  <c r="AK20" i="62"/>
  <c r="AH20" i="62"/>
  <c r="AB20" i="62"/>
  <c r="Y20" i="62"/>
  <c r="V20" i="62"/>
  <c r="S20" i="62"/>
  <c r="P20" i="62"/>
  <c r="M20" i="62"/>
  <c r="J20" i="62"/>
  <c r="G20" i="62"/>
  <c r="AK19" i="62"/>
  <c r="AH19" i="62"/>
  <c r="AB19" i="62"/>
  <c r="S19" i="62"/>
  <c r="AK18" i="62"/>
  <c r="AH18" i="62"/>
  <c r="S18" i="62"/>
  <c r="AK17" i="62"/>
  <c r="AH17" i="62"/>
  <c r="AB17" i="62"/>
  <c r="S17" i="62"/>
  <c r="AK27" i="62"/>
  <c r="AK15" i="62"/>
  <c r="AH15" i="62"/>
  <c r="AB15" i="62"/>
  <c r="S15" i="62"/>
  <c r="G15" i="62"/>
  <c r="AH14" i="62"/>
  <c r="S14" i="62"/>
  <c r="AQ61" i="62" l="1"/>
  <c r="AN61" i="62"/>
  <c r="AN84" i="62"/>
  <c r="AQ84" i="62"/>
  <c r="AN18" i="62"/>
  <c r="AN19" i="62"/>
  <c r="AN21" i="62"/>
  <c r="AQ22" i="62"/>
  <c r="AQ14" i="62"/>
  <c r="AQ37" i="62"/>
  <c r="AQ41" i="62"/>
  <c r="AQ52" i="62"/>
  <c r="AE54" i="62"/>
  <c r="AH54" i="62"/>
  <c r="AN59" i="62"/>
  <c r="AN69" i="62"/>
  <c r="AN70" i="62"/>
  <c r="V27" i="62"/>
  <c r="AQ40" i="62"/>
  <c r="AQ46" i="62"/>
  <c r="J14" i="65"/>
  <c r="AN15" i="65"/>
  <c r="AQ16" i="65"/>
  <c r="AN19" i="65"/>
  <c r="AN28" i="65"/>
  <c r="AQ71" i="62"/>
  <c r="AN74" i="62"/>
  <c r="AQ75" i="62"/>
  <c r="AQ81" i="62"/>
  <c r="AN83" i="62"/>
  <c r="AN86" i="62"/>
  <c r="AQ87" i="62"/>
  <c r="AQ89" i="62"/>
  <c r="H25" i="9"/>
  <c r="G25" i="9"/>
  <c r="B25" i="9"/>
  <c r="AN14" i="62"/>
  <c r="AN15" i="62"/>
  <c r="Y27" i="62"/>
  <c r="AN37" i="62"/>
  <c r="AN38" i="62"/>
  <c r="AN51" i="62"/>
  <c r="AN52" i="62"/>
  <c r="AQ55" i="62"/>
  <c r="AQ57" i="62"/>
  <c r="AQ68" i="62"/>
  <c r="AN17" i="65"/>
  <c r="AN20" i="65"/>
  <c r="S16" i="62"/>
  <c r="AQ28" i="62"/>
  <c r="AN33" i="62"/>
  <c r="AN40" i="62"/>
  <c r="AQ42" i="62"/>
  <c r="AN46" i="62"/>
  <c r="AQ69" i="62"/>
  <c r="AQ76" i="62"/>
  <c r="AN77" i="62"/>
  <c r="AN78" i="62"/>
  <c r="AQ82" i="62"/>
  <c r="AQ12" i="65"/>
  <c r="AN13" i="65"/>
  <c r="AN27" i="65"/>
  <c r="AN33" i="65"/>
  <c r="AN44" i="65"/>
  <c r="AQ15" i="62"/>
  <c r="AQ17" i="62"/>
  <c r="AQ19" i="62"/>
  <c r="AQ21" i="62"/>
  <c r="AQ23" i="62"/>
  <c r="AN25" i="62"/>
  <c r="AQ33" i="62"/>
  <c r="AN41" i="62"/>
  <c r="AN42" i="62"/>
  <c r="AN43" i="62"/>
  <c r="AQ53" i="62"/>
  <c r="AN56" i="62"/>
  <c r="AN68" i="62"/>
  <c r="AQ86" i="62"/>
  <c r="AN87" i="62"/>
  <c r="AN88" i="62"/>
  <c r="AN89" i="62"/>
  <c r="AQ19" i="65"/>
  <c r="AH35" i="62"/>
  <c r="Y39" i="62"/>
  <c r="AN58" i="62"/>
  <c r="AN23" i="62"/>
  <c r="AN24" i="62"/>
  <c r="AQ38" i="62"/>
  <c r="S39" i="62"/>
  <c r="AQ43" i="62"/>
  <c r="AN44" i="62"/>
  <c r="AQ49" i="62"/>
  <c r="AQ51" i="62"/>
  <c r="AN55" i="62"/>
  <c r="AQ56" i="62"/>
  <c r="AQ58" i="62"/>
  <c r="AQ59" i="62"/>
  <c r="AQ70" i="62"/>
  <c r="AQ74" i="62"/>
  <c r="AN75" i="62"/>
  <c r="AN76" i="62"/>
  <c r="AQ77" i="62"/>
  <c r="AQ78" i="62"/>
  <c r="AN82" i="62"/>
  <c r="AQ15" i="65"/>
  <c r="AQ20" i="65"/>
  <c r="G21" i="65"/>
  <c r="AH21" i="65"/>
  <c r="AN38" i="65"/>
  <c r="AN39" i="65"/>
  <c r="J29" i="65"/>
  <c r="M54" i="62"/>
  <c r="AK79" i="62"/>
  <c r="AB16" i="62"/>
  <c r="G54" i="62"/>
  <c r="AB14" i="65"/>
  <c r="S29" i="65"/>
  <c r="AN40" i="65"/>
  <c r="V85" i="62"/>
  <c r="AH16" i="62"/>
  <c r="D14" i="65"/>
  <c r="AH29" i="65"/>
  <c r="AQ18" i="62"/>
  <c r="AN49" i="62"/>
  <c r="AN71" i="62"/>
  <c r="AQ88" i="62"/>
  <c r="AN12" i="65"/>
  <c r="AN26" i="65"/>
  <c r="M35" i="62"/>
  <c r="AK35" i="62"/>
  <c r="AN36" i="62"/>
  <c r="V39" i="62"/>
  <c r="AB39" i="62"/>
  <c r="AK54" i="62"/>
  <c r="AQ73" i="62"/>
  <c r="AK16" i="62"/>
  <c r="AN17" i="62"/>
  <c r="AN20" i="62"/>
  <c r="AQ24" i="62"/>
  <c r="AN28" i="62"/>
  <c r="AQ34" i="62"/>
  <c r="AQ36" i="62"/>
  <c r="AQ44" i="62"/>
  <c r="AN53" i="62"/>
  <c r="D54" i="62"/>
  <c r="J54" i="62"/>
  <c r="AN73" i="62"/>
  <c r="AH79" i="62"/>
  <c r="AN81" i="62"/>
  <c r="AQ83" i="62"/>
  <c r="S85" i="62"/>
  <c r="Y85" i="62"/>
  <c r="AN11" i="65"/>
  <c r="AQ13" i="65"/>
  <c r="P14" i="65"/>
  <c r="AN16" i="65"/>
  <c r="AQ17" i="65"/>
  <c r="M21" i="65"/>
  <c r="AN23" i="65"/>
  <c r="AN24" i="65"/>
  <c r="AN25" i="65"/>
  <c r="G29" i="65"/>
  <c r="AN32" i="65"/>
  <c r="AQ25" i="62"/>
  <c r="AN57" i="62"/>
  <c r="AN22" i="62"/>
  <c r="AQ11" i="65"/>
  <c r="V14" i="65"/>
  <c r="AE34" i="65"/>
  <c r="S21" i="65"/>
  <c r="AK21" i="65"/>
  <c r="D29" i="65"/>
  <c r="M29" i="65"/>
  <c r="AN37" i="65"/>
  <c r="G34" i="65"/>
  <c r="S14" i="65"/>
  <c r="J21" i="65"/>
  <c r="V21" i="65"/>
  <c r="AE21" i="65"/>
  <c r="AK29" i="65"/>
  <c r="AB34" i="65"/>
  <c r="AB29" i="65"/>
  <c r="AN30" i="65"/>
  <c r="V29" i="65"/>
  <c r="G14" i="65"/>
  <c r="M14" i="65"/>
  <c r="AE14" i="65"/>
  <c r="D21" i="65"/>
  <c r="P21" i="65"/>
  <c r="AH14" i="65"/>
  <c r="Y21" i="65"/>
  <c r="AN31" i="65"/>
  <c r="AN42" i="65"/>
  <c r="S27" i="62"/>
  <c r="P29" i="62"/>
  <c r="G27" i="62"/>
  <c r="J27" i="62"/>
  <c r="D27" i="62"/>
  <c r="M27" i="62"/>
  <c r="AE29" i="62"/>
  <c r="V35" i="62"/>
  <c r="AN16" i="62"/>
  <c r="AN34" i="62"/>
  <c r="S35" i="62"/>
  <c r="M39" i="62"/>
  <c r="AH39" i="62"/>
  <c r="AQ16" i="62"/>
  <c r="D20" i="62"/>
  <c r="AQ20" i="62"/>
  <c r="Y35" i="62"/>
  <c r="G39" i="62"/>
  <c r="AK39" i="62"/>
  <c r="D39" i="62"/>
  <c r="AB35" i="62"/>
  <c r="J39" i="62"/>
  <c r="V54" i="62"/>
  <c r="G79" i="62"/>
  <c r="M79" i="62"/>
  <c r="S79" i="62"/>
  <c r="Y79" i="62"/>
  <c r="G85" i="62"/>
  <c r="M85" i="62"/>
  <c r="AK85" i="62"/>
  <c r="S50" i="62"/>
  <c r="S54" i="62"/>
  <c r="Y54" i="62"/>
  <c r="D79" i="62"/>
  <c r="J79" i="62"/>
  <c r="P79" i="62"/>
  <c r="V79" i="62"/>
  <c r="AB79" i="62"/>
  <c r="D85" i="62"/>
  <c r="J85" i="62"/>
  <c r="AE85" i="62"/>
  <c r="AH85" i="62"/>
  <c r="C25" i="9" l="1"/>
  <c r="C63" i="9" s="1"/>
  <c r="AQ39" i="62"/>
  <c r="B63" i="9"/>
  <c r="D63" i="9" s="1"/>
  <c r="M26" i="8"/>
  <c r="AH27" i="62"/>
  <c r="AN27" i="62"/>
  <c r="AQ27" i="62"/>
  <c r="AB27" i="62"/>
  <c r="AQ14" i="65"/>
  <c r="AQ21" i="65"/>
  <c r="AN35" i="62"/>
  <c r="AQ79" i="62"/>
  <c r="AN79" i="62"/>
  <c r="P34" i="65"/>
  <c r="J34" i="65"/>
  <c r="G41" i="65"/>
  <c r="AN29" i="65"/>
  <c r="AN14" i="65"/>
  <c r="AH34" i="65"/>
  <c r="AN21" i="65"/>
  <c r="M34" i="65"/>
  <c r="AB41" i="65"/>
  <c r="AK34" i="65"/>
  <c r="V34" i="65"/>
  <c r="D34" i="65"/>
  <c r="Y34" i="65"/>
  <c r="S34" i="65"/>
  <c r="V60" i="62"/>
  <c r="AH29" i="62"/>
  <c r="AB29" i="62"/>
  <c r="AN85" i="62"/>
  <c r="AK60" i="62"/>
  <c r="AQ85" i="62"/>
  <c r="AQ54" i="62"/>
  <c r="AQ50" i="62"/>
  <c r="AB45" i="62"/>
  <c r="V45" i="62"/>
  <c r="J29" i="62"/>
  <c r="Y29" i="62"/>
  <c r="D45" i="62"/>
  <c r="AE60" i="62"/>
  <c r="AK45" i="62"/>
  <c r="AK91" i="62"/>
  <c r="J60" i="62"/>
  <c r="AN50" i="62"/>
  <c r="M45" i="62"/>
  <c r="Y45" i="62"/>
  <c r="AN54" i="62"/>
  <c r="S45" i="62"/>
  <c r="AK29" i="62"/>
  <c r="M29" i="62"/>
  <c r="AN29" i="62"/>
  <c r="D29" i="62"/>
  <c r="AQ29" i="62"/>
  <c r="G29" i="62"/>
  <c r="S29" i="62"/>
  <c r="G60" i="62"/>
  <c r="S60" i="62"/>
  <c r="M60" i="62"/>
  <c r="Y60" i="62"/>
  <c r="AH45" i="62"/>
  <c r="AH60" i="62"/>
  <c r="D60" i="62"/>
  <c r="AQ35" i="62"/>
  <c r="G45" i="62"/>
  <c r="AN39" i="62"/>
  <c r="J45" i="62"/>
  <c r="V29" i="62"/>
  <c r="N26" i="8" l="1"/>
  <c r="AE41" i="65"/>
  <c r="AN91" i="62"/>
  <c r="AN34" i="65"/>
  <c r="V41" i="65"/>
  <c r="AB43" i="65"/>
  <c r="M41" i="65"/>
  <c r="G43" i="65"/>
  <c r="J41" i="65"/>
  <c r="S41" i="65"/>
  <c r="Y41" i="65"/>
  <c r="D41" i="65"/>
  <c r="AN41" i="65"/>
  <c r="AH41" i="65"/>
  <c r="P41" i="65"/>
  <c r="AK41" i="65"/>
  <c r="AE43" i="65"/>
  <c r="AH64" i="62"/>
  <c r="J64" i="62"/>
  <c r="D62" i="62"/>
  <c r="G62" i="62"/>
  <c r="AN60" i="62"/>
  <c r="AK64" i="62"/>
  <c r="M62" i="62"/>
  <c r="AK62" i="62"/>
  <c r="AB62" i="62"/>
  <c r="V64" i="62"/>
  <c r="AE62" i="62"/>
  <c r="AH62" i="62"/>
  <c r="AQ91" i="62"/>
  <c r="AN45" i="62"/>
  <c r="V62" i="62"/>
  <c r="J62" i="62"/>
  <c r="AQ60" i="62"/>
  <c r="S64" i="62"/>
  <c r="M64" i="62"/>
  <c r="S62" i="62"/>
  <c r="Y62" i="62"/>
  <c r="AQ45" i="62"/>
  <c r="G33" i="4"/>
  <c r="I33" i="4" l="1"/>
  <c r="H33" i="4"/>
  <c r="AK43" i="65"/>
  <c r="P43" i="65"/>
  <c r="AN43" i="65"/>
  <c r="D43" i="65"/>
  <c r="S43" i="65"/>
  <c r="G45" i="65"/>
  <c r="M43" i="65"/>
  <c r="J43" i="65"/>
  <c r="AB45" i="65"/>
  <c r="V43" i="65"/>
  <c r="AE45" i="65"/>
  <c r="AH43" i="65"/>
  <c r="Y43" i="65"/>
  <c r="D64" i="62"/>
  <c r="Y64" i="62"/>
  <c r="AE64" i="62"/>
  <c r="G64" i="62"/>
  <c r="AN62" i="62"/>
  <c r="AB64" i="62"/>
  <c r="P64" i="62"/>
  <c r="AQ62" i="62"/>
  <c r="J33" i="4" l="1"/>
  <c r="Y45" i="65"/>
  <c r="M45" i="65"/>
  <c r="S45" i="65"/>
  <c r="P45" i="65"/>
  <c r="V45" i="65"/>
  <c r="AH45" i="65"/>
  <c r="J45" i="65"/>
  <c r="D45" i="65"/>
  <c r="AK45" i="65"/>
  <c r="AQ64" i="62"/>
  <c r="AN64" i="62"/>
  <c r="K9" i="18"/>
  <c r="K8" i="18"/>
  <c r="AN45" i="65" l="1"/>
  <c r="D22" i="18"/>
  <c r="D29" i="18"/>
  <c r="H124" i="18"/>
  <c r="H10" i="18"/>
  <c r="D7" i="18"/>
  <c r="D10" i="18"/>
  <c r="H116" i="18"/>
  <c r="H117" i="18"/>
  <c r="H121" i="18"/>
  <c r="K7" i="18"/>
  <c r="J88" i="18"/>
  <c r="H109" i="18"/>
  <c r="H113" i="18"/>
  <c r="H125" i="18"/>
  <c r="K113" i="18"/>
  <c r="K99" i="18"/>
  <c r="H7" i="18"/>
  <c r="K11" i="18"/>
  <c r="J67" i="18"/>
  <c r="D99" i="18"/>
  <c r="J109" i="18"/>
  <c r="J112" i="18"/>
  <c r="J116" i="18"/>
  <c r="J121" i="18"/>
  <c r="D28" i="18"/>
  <c r="H34" i="18"/>
  <c r="H35" i="18"/>
  <c r="K78" i="18"/>
  <c r="K108" i="18"/>
  <c r="J113" i="18"/>
  <c r="K120" i="18"/>
  <c r="H108" i="18"/>
  <c r="J35" i="18"/>
  <c r="H11" i="18"/>
  <c r="K109" i="18"/>
  <c r="J117" i="18"/>
  <c r="K12" i="18"/>
  <c r="K112" i="18"/>
  <c r="K117" i="18"/>
  <c r="H12" i="18"/>
  <c r="K35" i="18"/>
  <c r="J124" i="18"/>
  <c r="K10" i="18"/>
  <c r="J34" i="18"/>
  <c r="D67" i="18"/>
  <c r="D88" i="18"/>
  <c r="J99" i="18"/>
  <c r="J120" i="18"/>
  <c r="K121" i="18"/>
  <c r="K124" i="18"/>
  <c r="K28" i="18"/>
  <c r="K34" i="18"/>
  <c r="D48" i="18"/>
  <c r="K67" i="18"/>
  <c r="D120" i="18"/>
  <c r="J11" i="18"/>
  <c r="J108" i="18"/>
  <c r="D112" i="18"/>
  <c r="K116" i="18"/>
  <c r="D116" i="18"/>
  <c r="H22" i="18"/>
  <c r="D78" i="18"/>
  <c r="D108" i="18"/>
  <c r="J125" i="18"/>
  <c r="J9" i="18"/>
  <c r="L9" i="18" s="1"/>
  <c r="D9" i="18"/>
  <c r="J28" i="18"/>
  <c r="J12" i="18"/>
  <c r="J7" i="18"/>
  <c r="J10" i="18"/>
  <c r="J8" i="18"/>
  <c r="L8" i="18" s="1"/>
  <c r="D8" i="18"/>
  <c r="J78" i="18"/>
  <c r="K125" i="18"/>
  <c r="K88" i="18"/>
  <c r="D87" i="18" l="1"/>
  <c r="H29" i="18"/>
  <c r="D66" i="18"/>
  <c r="K29" i="18"/>
  <c r="K22" i="18"/>
  <c r="D47" i="18"/>
  <c r="J29" i="18"/>
  <c r="H119" i="18"/>
  <c r="K100" i="18"/>
  <c r="J22" i="18"/>
  <c r="K119" i="18"/>
  <c r="L113" i="18"/>
  <c r="L12" i="18"/>
  <c r="K98" i="18"/>
  <c r="L28" i="18"/>
  <c r="L88" i="18"/>
  <c r="L121" i="18"/>
  <c r="L109" i="18"/>
  <c r="L120" i="18"/>
  <c r="L99" i="18"/>
  <c r="L35" i="18"/>
  <c r="J111" i="18"/>
  <c r="H111" i="18"/>
  <c r="L117" i="18"/>
  <c r="L78" i="18"/>
  <c r="L7" i="18"/>
  <c r="L108" i="18"/>
  <c r="L116" i="18"/>
  <c r="L11" i="18"/>
  <c r="L67" i="18"/>
  <c r="K111" i="18"/>
  <c r="L112" i="18"/>
  <c r="L124"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L8" i="37" s="1"/>
  <c r="K8" i="37"/>
  <c r="J9" i="37"/>
  <c r="L9" i="37" s="1"/>
  <c r="K9" i="37"/>
  <c r="J36" i="37"/>
  <c r="J37" i="37"/>
  <c r="L36" i="37" l="1"/>
  <c r="L97" i="33"/>
  <c r="L97" i="29"/>
  <c r="L76" i="33"/>
  <c r="L119" i="18"/>
  <c r="L76" i="29"/>
  <c r="D77" i="18"/>
  <c r="H68" i="18"/>
  <c r="J68" i="18"/>
  <c r="J66" i="18"/>
  <c r="L29" i="18"/>
  <c r="K79" i="18"/>
  <c r="K77" i="18"/>
  <c r="L22" i="18"/>
  <c r="L76" i="13"/>
  <c r="D97" i="4"/>
  <c r="D76" i="4"/>
  <c r="L97" i="37"/>
  <c r="K68" i="18"/>
  <c r="L76" i="37"/>
  <c r="K87" i="18"/>
  <c r="K89" i="18"/>
  <c r="L97" i="13"/>
  <c r="H100" i="18"/>
  <c r="J100" i="18"/>
  <c r="L100" i="18" s="1"/>
  <c r="J89" i="18"/>
  <c r="H89" i="18"/>
  <c r="H79" i="18"/>
  <c r="J79" i="18"/>
  <c r="L79" i="18" s="1"/>
  <c r="I97" i="4"/>
  <c r="M97" i="29" s="1"/>
  <c r="I76" i="4"/>
  <c r="L111" i="18"/>
  <c r="H122" i="37"/>
  <c r="H34" i="37"/>
  <c r="H116" i="37"/>
  <c r="D114" i="37"/>
  <c r="D116" i="37"/>
  <c r="J124" i="37"/>
  <c r="H76" i="4"/>
  <c r="H97" i="4"/>
  <c r="K12" i="37"/>
  <c r="K7" i="37"/>
  <c r="H113" i="37"/>
  <c r="H117" i="37"/>
  <c r="J88" i="37"/>
  <c r="K75" i="37"/>
  <c r="K108" i="37"/>
  <c r="K96" i="37"/>
  <c r="K67" i="37"/>
  <c r="J35" i="37"/>
  <c r="J10" i="37"/>
  <c r="D7" i="37"/>
  <c r="K135" i="37"/>
  <c r="K134" i="37"/>
  <c r="K122" i="37"/>
  <c r="D122" i="37"/>
  <c r="H114" i="37"/>
  <c r="H112" i="37"/>
  <c r="J121"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J134" i="37"/>
  <c r="H35" i="37"/>
  <c r="J28" i="37"/>
  <c r="K11" i="37"/>
  <c r="J122" i="37"/>
  <c r="J116" i="37"/>
  <c r="K109" i="37"/>
  <c r="D35" i="37"/>
  <c r="J12" i="37"/>
  <c r="J7" i="37"/>
  <c r="H75" i="37"/>
  <c r="D48" i="37"/>
  <c r="K121" i="37"/>
  <c r="J67" i="37"/>
  <c r="H125" i="37"/>
  <c r="D124" i="37"/>
  <c r="H96" i="37"/>
  <c r="K88" i="37"/>
  <c r="J34" i="37"/>
  <c r="D9" i="37"/>
  <c r="J107" i="37"/>
  <c r="D107" i="37"/>
  <c r="K124" i="37"/>
  <c r="D99" i="37"/>
  <c r="D134" i="37"/>
  <c r="D120" i="37"/>
  <c r="J78" i="37"/>
  <c r="D78" i="37"/>
  <c r="J75" i="37"/>
  <c r="D75" i="37"/>
  <c r="J112" i="37"/>
  <c r="D112" i="37"/>
  <c r="J109" i="37"/>
  <c r="J135" i="37"/>
  <c r="K120" i="37"/>
  <c r="J99" i="37"/>
  <c r="J96" i="37"/>
  <c r="D96" i="37"/>
  <c r="K86" i="37"/>
  <c r="J120" i="37"/>
  <c r="J114" i="37"/>
  <c r="L114" i="37" s="1"/>
  <c r="H109" i="37"/>
  <c r="D86" i="37"/>
  <c r="K117" i="37"/>
  <c r="K112" i="37"/>
  <c r="D88" i="37"/>
  <c r="H11" i="37"/>
  <c r="D10" i="37"/>
  <c r="K35" i="37"/>
  <c r="D57" i="37"/>
  <c r="D54" i="37"/>
  <c r="K34" i="37"/>
  <c r="H12" i="37"/>
  <c r="K37" i="37"/>
  <c r="L37" i="37" s="1"/>
  <c r="D37" i="37"/>
  <c r="H10" i="37"/>
  <c r="K36" i="37"/>
  <c r="D36" i="37"/>
  <c r="J11" i="37"/>
  <c r="L122" i="37" l="1"/>
  <c r="J76" i="4"/>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89" i="37" s="1"/>
  <c r="H87" i="37"/>
  <c r="L111" i="37"/>
  <c r="L119" i="37"/>
  <c r="J98" i="37" l="1"/>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24" i="37"/>
  <c r="I32" i="37"/>
  <c r="I32" i="18"/>
  <c r="D30" i="4"/>
  <c r="D31" i="4"/>
  <c r="E29" i="18" l="1"/>
  <c r="E29" i="23"/>
  <c r="E29" i="29"/>
  <c r="E29" i="33"/>
  <c r="E29" i="20"/>
  <c r="E29" i="24"/>
  <c r="E29" i="37"/>
  <c r="E29" i="13"/>
  <c r="I23" i="18"/>
  <c r="D23" i="4"/>
  <c r="I26" i="4"/>
  <c r="M26" i="29" s="1"/>
  <c r="H26" i="4"/>
  <c r="F26" i="10"/>
  <c r="F16" i="10"/>
  <c r="F34" i="10"/>
  <c r="I26" i="29"/>
  <c r="I26" i="20"/>
  <c r="I26" i="23"/>
  <c r="I26" i="33"/>
  <c r="I26" i="37"/>
  <c r="I26" i="35"/>
  <c r="I26" i="18"/>
  <c r="G16" i="10"/>
  <c r="G26" i="10"/>
  <c r="G34" i="10"/>
  <c r="J26" i="4" l="1"/>
  <c r="M26" i="20"/>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F35" i="4"/>
  <c r="F34" i="4"/>
  <c r="F28" i="4"/>
  <c r="K8" i="51"/>
  <c r="K8" i="29"/>
  <c r="K9" i="41"/>
  <c r="E35" i="4"/>
  <c r="E34" i="4"/>
  <c r="E28" i="4"/>
  <c r="K8" i="33"/>
  <c r="K8" i="41"/>
  <c r="K9" i="51"/>
  <c r="B137" i="4"/>
  <c r="B136" i="4"/>
  <c r="B135" i="4"/>
  <c r="B134" i="4"/>
  <c r="K8" i="25"/>
  <c r="F137" i="4"/>
  <c r="F136" i="4"/>
  <c r="F135" i="4"/>
  <c r="F134" i="4"/>
  <c r="K8" i="24"/>
  <c r="E137" i="4"/>
  <c r="E136" i="4"/>
  <c r="E135" i="4"/>
  <c r="E134" i="4"/>
  <c r="K9" i="25"/>
  <c r="C137" i="4"/>
  <c r="C134" i="4"/>
  <c r="K9" i="24"/>
  <c r="C135" i="4"/>
  <c r="F12" i="4"/>
  <c r="F11" i="4"/>
  <c r="F10" i="4"/>
  <c r="F7" i="4"/>
  <c r="C136" i="4"/>
  <c r="E12" i="4"/>
  <c r="E11" i="4"/>
  <c r="E10" i="4"/>
  <c r="B9" i="4"/>
  <c r="E7" i="4"/>
  <c r="C12" i="4"/>
  <c r="C11" i="4"/>
  <c r="C10" i="4"/>
  <c r="C7" i="4"/>
  <c r="E7" i="22" s="1"/>
  <c r="B10" i="4"/>
  <c r="B7" i="4"/>
  <c r="K8" i="19"/>
  <c r="J36" i="13"/>
  <c r="B12" i="4"/>
  <c r="K9" i="19"/>
  <c r="K38" i="13"/>
  <c r="K37" i="13"/>
  <c r="B11" i="4"/>
  <c r="B8" i="4"/>
  <c r="J38" i="13"/>
  <c r="L38" i="13" s="1"/>
  <c r="J37" i="13"/>
  <c r="K36" i="13"/>
  <c r="K8" i="13"/>
  <c r="K9" i="13"/>
  <c r="L37" i="13" l="1"/>
  <c r="L36" i="13"/>
  <c r="K8" i="20"/>
  <c r="C8" i="4"/>
  <c r="E8" i="22" s="1"/>
  <c r="K9" i="20"/>
  <c r="C9" i="4"/>
  <c r="E9" i="22" s="1"/>
  <c r="B16" i="10"/>
  <c r="D38" i="4"/>
  <c r="D34" i="4"/>
  <c r="H39" i="9"/>
  <c r="C36" i="9"/>
  <c r="B33" i="10"/>
  <c r="B41" i="10"/>
  <c r="B20" i="10"/>
  <c r="F25" i="10"/>
  <c r="B44" i="10"/>
  <c r="E28" i="20"/>
  <c r="F13" i="10"/>
  <c r="G19" i="9"/>
  <c r="D118" i="4"/>
  <c r="D28" i="4"/>
  <c r="D126" i="4"/>
  <c r="F20" i="10"/>
  <c r="B13" i="10"/>
  <c r="B30" i="10"/>
  <c r="H17" i="9"/>
  <c r="G15" i="9"/>
  <c r="M65" i="8" s="1"/>
  <c r="F41" i="10"/>
  <c r="E35" i="13"/>
  <c r="E35" i="37"/>
  <c r="E35" i="33"/>
  <c r="E34" i="13"/>
  <c r="E34" i="37"/>
  <c r="E34" i="29"/>
  <c r="G12" i="9"/>
  <c r="G13" i="9"/>
  <c r="H22" i="9"/>
  <c r="C34" i="9"/>
  <c r="B40" i="9"/>
  <c r="B41" i="9"/>
  <c r="C41" i="9"/>
  <c r="C38" i="9"/>
  <c r="C39" i="9"/>
  <c r="H40" i="9"/>
  <c r="H12" i="9"/>
  <c r="H35" i="9"/>
  <c r="G11" i="9"/>
  <c r="C35" i="9"/>
  <c r="G18" i="9"/>
  <c r="G23" i="9"/>
  <c r="H34" i="9"/>
  <c r="H36" i="9"/>
  <c r="H38" i="9"/>
  <c r="H11" i="9"/>
  <c r="C37" i="9"/>
  <c r="G24" i="9"/>
  <c r="G26" i="9"/>
  <c r="G28" i="9"/>
  <c r="G34" i="9"/>
  <c r="G22" i="9"/>
  <c r="B34" i="9"/>
  <c r="B39" i="9"/>
  <c r="C29" i="9"/>
  <c r="B35" i="9"/>
  <c r="D35" i="4"/>
  <c r="K135" i="26"/>
  <c r="K7" i="35"/>
  <c r="H29" i="29"/>
  <c r="K121" i="13"/>
  <c r="H121" i="33"/>
  <c r="H29" i="20"/>
  <c r="H125" i="33"/>
  <c r="H68" i="29"/>
  <c r="K113" i="33"/>
  <c r="H68" i="35"/>
  <c r="H29" i="13"/>
  <c r="K68" i="20"/>
  <c r="K12" i="29"/>
  <c r="J86" i="29"/>
  <c r="K108" i="33"/>
  <c r="H22" i="33"/>
  <c r="K68" i="33"/>
  <c r="H35" i="29"/>
  <c r="H34" i="13"/>
  <c r="H121" i="27"/>
  <c r="D55" i="39"/>
  <c r="K89" i="27"/>
  <c r="K108" i="27"/>
  <c r="H121" i="35"/>
  <c r="H122" i="35"/>
  <c r="K22" i="51"/>
  <c r="K135" i="34"/>
  <c r="K134" i="26"/>
  <c r="K113" i="29"/>
  <c r="H100" i="29"/>
  <c r="K137" i="26"/>
  <c r="K116" i="29"/>
  <c r="J79" i="29"/>
  <c r="K28" i="51"/>
  <c r="H89" i="29"/>
  <c r="K12" i="33"/>
  <c r="K116" i="33"/>
  <c r="H34" i="33"/>
  <c r="H12" i="33"/>
  <c r="H79" i="27"/>
  <c r="H125" i="29"/>
  <c r="K109" i="20"/>
  <c r="K108" i="23"/>
  <c r="K22" i="23"/>
  <c r="K100" i="27"/>
  <c r="K107" i="33"/>
  <c r="K100" i="33"/>
  <c r="K75" i="33"/>
  <c r="K122" i="33"/>
  <c r="H86" i="35"/>
  <c r="K114" i="33"/>
  <c r="H29" i="33"/>
  <c r="D58" i="22"/>
  <c r="H75" i="33"/>
  <c r="D37" i="13"/>
  <c r="K89" i="20"/>
  <c r="H100" i="20"/>
  <c r="K89" i="23"/>
  <c r="K68" i="23"/>
  <c r="H135" i="26"/>
  <c r="H22" i="29"/>
  <c r="K113" i="35"/>
  <c r="K12" i="35"/>
  <c r="K109" i="35"/>
  <c r="H12" i="35"/>
  <c r="H96" i="33"/>
  <c r="H117" i="33"/>
  <c r="K100" i="20"/>
  <c r="K28" i="25"/>
  <c r="K96" i="33"/>
  <c r="H35" i="33"/>
  <c r="D49" i="33"/>
  <c r="K117" i="33"/>
  <c r="H100" i="27"/>
  <c r="H109" i="35"/>
  <c r="K28" i="23"/>
  <c r="H114" i="33"/>
  <c r="K113" i="20"/>
  <c r="K109" i="27"/>
  <c r="K89" i="33"/>
  <c r="K11" i="35"/>
  <c r="D58" i="33"/>
  <c r="H113" i="35"/>
  <c r="H100" i="23"/>
  <c r="B21" i="10"/>
  <c r="K109" i="23"/>
  <c r="H109" i="27"/>
  <c r="K10" i="35"/>
  <c r="K34" i="13"/>
  <c r="K107" i="13"/>
  <c r="K121" i="23"/>
  <c r="H109" i="23"/>
  <c r="H22" i="23"/>
  <c r="H89" i="35"/>
  <c r="H100" i="33"/>
  <c r="H68" i="33"/>
  <c r="K125" i="33"/>
  <c r="D49" i="39"/>
  <c r="K7" i="13"/>
  <c r="K7" i="19"/>
  <c r="K10" i="29"/>
  <c r="H7" i="23"/>
  <c r="H7" i="29"/>
  <c r="H7" i="33"/>
  <c r="K10" i="33"/>
  <c r="H10" i="13"/>
  <c r="K7" i="23"/>
  <c r="K11" i="33"/>
  <c r="K7" i="29"/>
  <c r="H10" i="35"/>
  <c r="H11" i="13"/>
  <c r="H89" i="20"/>
  <c r="K22" i="13"/>
  <c r="K29" i="13"/>
  <c r="H79" i="13"/>
  <c r="K100" i="13"/>
  <c r="K116" i="13"/>
  <c r="K10" i="13"/>
  <c r="H121" i="13"/>
  <c r="K7" i="20"/>
  <c r="K10" i="20"/>
  <c r="K22" i="24"/>
  <c r="D49" i="26"/>
  <c r="K11" i="29"/>
  <c r="H22" i="35"/>
  <c r="H113" i="29"/>
  <c r="H7" i="35"/>
  <c r="H11" i="35"/>
  <c r="K7" i="33"/>
  <c r="H89" i="33"/>
  <c r="H107" i="33"/>
  <c r="K118" i="33"/>
  <c r="K121" i="33"/>
  <c r="K126" i="33"/>
  <c r="H89" i="13"/>
  <c r="K109" i="13"/>
  <c r="K67" i="13"/>
  <c r="K11" i="13"/>
  <c r="H22" i="20"/>
  <c r="H113" i="33"/>
  <c r="H107" i="35"/>
  <c r="D38" i="13"/>
  <c r="H12" i="23"/>
  <c r="H89" i="27"/>
  <c r="K28" i="29"/>
  <c r="K34" i="29"/>
  <c r="H134" i="26"/>
  <c r="K117" i="29"/>
  <c r="H109" i="20"/>
  <c r="H35" i="35"/>
  <c r="H79" i="23"/>
  <c r="H89" i="23"/>
  <c r="H117" i="23"/>
  <c r="K35" i="29"/>
  <c r="H117" i="29"/>
  <c r="D49" i="13"/>
  <c r="H37" i="9"/>
  <c r="H42" i="9"/>
  <c r="H22" i="13"/>
  <c r="H113" i="20"/>
  <c r="H7" i="13"/>
  <c r="K35" i="13"/>
  <c r="K108" i="13"/>
  <c r="K12" i="13"/>
  <c r="H107" i="13"/>
  <c r="C42" i="9"/>
  <c r="C40" i="9"/>
  <c r="D48" i="13"/>
  <c r="J10" i="13"/>
  <c r="D10" i="13"/>
  <c r="K28" i="13"/>
  <c r="K68" i="13"/>
  <c r="K112" i="13"/>
  <c r="H35" i="13"/>
  <c r="H109" i="13"/>
  <c r="J89" i="13"/>
  <c r="D89" i="13"/>
  <c r="D11" i="13"/>
  <c r="J11" i="13"/>
  <c r="J9" i="19"/>
  <c r="D9" i="19"/>
  <c r="B33" i="9"/>
  <c r="K113" i="13"/>
  <c r="J9" i="13"/>
  <c r="L9" i="13" s="1"/>
  <c r="D9" i="13"/>
  <c r="H68" i="13"/>
  <c r="G10" i="9"/>
  <c r="J88" i="13"/>
  <c r="D88" i="13"/>
  <c r="H100" i="13"/>
  <c r="H12" i="13"/>
  <c r="C33" i="9"/>
  <c r="H33" i="9"/>
  <c r="G33" i="9"/>
  <c r="D78" i="13"/>
  <c r="J78" i="13"/>
  <c r="J12" i="13"/>
  <c r="D12" i="13"/>
  <c r="K120" i="13"/>
  <c r="L109" i="20"/>
  <c r="K88" i="13"/>
  <c r="H10" i="9"/>
  <c r="D35" i="13"/>
  <c r="J35" i="13"/>
  <c r="J68" i="13"/>
  <c r="K86" i="13"/>
  <c r="K89" i="13"/>
  <c r="J107" i="13"/>
  <c r="D107" i="13"/>
  <c r="D112" i="13"/>
  <c r="J112" i="13"/>
  <c r="D86" i="13"/>
  <c r="J86" i="13"/>
  <c r="G9" i="9"/>
  <c r="D8" i="20"/>
  <c r="J8" i="20"/>
  <c r="L8" i="20" s="1"/>
  <c r="J79" i="13"/>
  <c r="D99" i="13"/>
  <c r="J99" i="13"/>
  <c r="J124" i="13"/>
  <c r="D124" i="13"/>
  <c r="H108" i="13"/>
  <c r="H113" i="13"/>
  <c r="J68" i="20"/>
  <c r="D68" i="20"/>
  <c r="J100" i="20"/>
  <c r="D100" i="20"/>
  <c r="D36" i="13"/>
  <c r="D54" i="13"/>
  <c r="D108" i="13"/>
  <c r="J108" i="13"/>
  <c r="J113" i="13"/>
  <c r="K124" i="13"/>
  <c r="J7" i="20"/>
  <c r="D7" i="20"/>
  <c r="J7" i="13"/>
  <c r="D7" i="13"/>
  <c r="D22" i="13"/>
  <c r="J22" i="13"/>
  <c r="J29" i="13"/>
  <c r="D29" i="13"/>
  <c r="D57" i="13"/>
  <c r="K78" i="13"/>
  <c r="K99" i="13"/>
  <c r="D109" i="13"/>
  <c r="J109" i="13"/>
  <c r="J120" i="13"/>
  <c r="D120" i="13"/>
  <c r="J10" i="20"/>
  <c r="D10" i="20"/>
  <c r="J7" i="19"/>
  <c r="D7" i="19"/>
  <c r="J28" i="20"/>
  <c r="D28" i="20"/>
  <c r="K79" i="20"/>
  <c r="K121" i="20"/>
  <c r="H77" i="20"/>
  <c r="D54" i="22"/>
  <c r="D22" i="23"/>
  <c r="J22" i="23"/>
  <c r="D28" i="25"/>
  <c r="J28" i="25"/>
  <c r="J100" i="27"/>
  <c r="J112" i="23"/>
  <c r="D112" i="23"/>
  <c r="J22" i="24"/>
  <c r="D22" i="24"/>
  <c r="J88" i="27"/>
  <c r="D88" i="27"/>
  <c r="D29" i="23"/>
  <c r="J29" i="23"/>
  <c r="G36" i="9"/>
  <c r="K112" i="23"/>
  <c r="D7" i="24"/>
  <c r="J7" i="24"/>
  <c r="L22" i="51"/>
  <c r="D22" i="51"/>
  <c r="G20" i="9"/>
  <c r="M70" i="8" s="1"/>
  <c r="K11" i="23"/>
  <c r="K35" i="23"/>
  <c r="J117" i="23"/>
  <c r="K29" i="24"/>
  <c r="D48" i="25"/>
  <c r="K12" i="23"/>
  <c r="K67" i="23"/>
  <c r="D78" i="23"/>
  <c r="K78" i="23"/>
  <c r="J108" i="23"/>
  <c r="D108" i="23"/>
  <c r="H113" i="23"/>
  <c r="J68" i="27"/>
  <c r="K88" i="27"/>
  <c r="H19" i="9"/>
  <c r="D67" i="29"/>
  <c r="K67" i="29"/>
  <c r="J75" i="33"/>
  <c r="D75" i="33"/>
  <c r="D48" i="26"/>
  <c r="H18" i="9"/>
  <c r="K67" i="27"/>
  <c r="J79" i="27"/>
  <c r="J121" i="27"/>
  <c r="D48" i="51"/>
  <c r="D53" i="40"/>
  <c r="D54" i="40"/>
  <c r="J28" i="29"/>
  <c r="D28" i="29"/>
  <c r="D136" i="26"/>
  <c r="J136" i="26"/>
  <c r="H68" i="27"/>
  <c r="H117" i="27"/>
  <c r="K10" i="41"/>
  <c r="D7" i="29"/>
  <c r="J7" i="29"/>
  <c r="J10" i="35"/>
  <c r="L8" i="41"/>
  <c r="D8" i="41"/>
  <c r="J12" i="29"/>
  <c r="D9" i="41"/>
  <c r="L9" i="41"/>
  <c r="H12" i="29"/>
  <c r="J109" i="29"/>
  <c r="D109" i="29"/>
  <c r="K120" i="29"/>
  <c r="D68" i="29"/>
  <c r="J68" i="29"/>
  <c r="D86" i="29"/>
  <c r="K86" i="29"/>
  <c r="K89" i="29"/>
  <c r="K107" i="29"/>
  <c r="J112" i="29"/>
  <c r="D112" i="29"/>
  <c r="D116" i="29"/>
  <c r="J116" i="29"/>
  <c r="H121" i="29"/>
  <c r="K112" i="34"/>
  <c r="J7" i="35"/>
  <c r="L7" i="35" s="1"/>
  <c r="K22" i="35"/>
  <c r="K29" i="35"/>
  <c r="J10" i="33"/>
  <c r="D10" i="33"/>
  <c r="J68" i="33"/>
  <c r="D68" i="33"/>
  <c r="J125" i="35"/>
  <c r="L125" i="35" s="1"/>
  <c r="D54" i="33"/>
  <c r="D126" i="33"/>
  <c r="J126" i="33"/>
  <c r="L126" i="33" s="1"/>
  <c r="J86" i="35"/>
  <c r="J89" i="35"/>
  <c r="J107" i="35"/>
  <c r="J122" i="35"/>
  <c r="L122" i="35" s="1"/>
  <c r="D57" i="33"/>
  <c r="K78" i="33"/>
  <c r="K77" i="33"/>
  <c r="K112" i="33"/>
  <c r="K121" i="35"/>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D113" i="20"/>
  <c r="J113" i="20"/>
  <c r="J8" i="19"/>
  <c r="D8" i="19"/>
  <c r="D79" i="20"/>
  <c r="J79" i="20"/>
  <c r="J121" i="20"/>
  <c r="D121" i="20"/>
  <c r="D57" i="22"/>
  <c r="J9" i="20"/>
  <c r="L9" i="20" s="1"/>
  <c r="D9" i="20"/>
  <c r="H68" i="20"/>
  <c r="K22" i="20"/>
  <c r="K29" i="20"/>
  <c r="H79" i="20"/>
  <c r="H121" i="20"/>
  <c r="J113" i="23"/>
  <c r="J125" i="27"/>
  <c r="J12" i="35"/>
  <c r="D49" i="22"/>
  <c r="J10" i="23"/>
  <c r="J34" i="23"/>
  <c r="K113" i="23"/>
  <c r="J125" i="23"/>
  <c r="J8" i="24"/>
  <c r="L8" i="24" s="1"/>
  <c r="D8" i="24"/>
  <c r="G16" i="9"/>
  <c r="M66" i="8" s="1"/>
  <c r="J7" i="25"/>
  <c r="D7" i="25"/>
  <c r="J12" i="23"/>
  <c r="J78" i="23"/>
  <c r="K7" i="24"/>
  <c r="D10" i="24"/>
  <c r="J10" i="24"/>
  <c r="H29" i="23"/>
  <c r="J68" i="23"/>
  <c r="K79" i="23"/>
  <c r="J88" i="23"/>
  <c r="D88" i="23"/>
  <c r="K99" i="23"/>
  <c r="J109" i="23"/>
  <c r="K120" i="23"/>
  <c r="K10" i="24"/>
  <c r="D48" i="40"/>
  <c r="J29" i="29"/>
  <c r="D29" i="29"/>
  <c r="D112" i="27"/>
  <c r="J112" i="27"/>
  <c r="J117" i="27"/>
  <c r="D48" i="41"/>
  <c r="K68" i="27"/>
  <c r="K112" i="27"/>
  <c r="K117" i="27"/>
  <c r="D134" i="26"/>
  <c r="J134" i="26"/>
  <c r="D137" i="26"/>
  <c r="J137" i="26"/>
  <c r="H113" i="27"/>
  <c r="K7" i="51"/>
  <c r="K10" i="51"/>
  <c r="J78" i="29"/>
  <c r="D78" i="29"/>
  <c r="J22" i="29"/>
  <c r="D22" i="29"/>
  <c r="K68" i="29"/>
  <c r="J88" i="29"/>
  <c r="D88" i="29"/>
  <c r="J11" i="33"/>
  <c r="J121" i="29"/>
  <c r="J134" i="34"/>
  <c r="D134" i="34"/>
  <c r="H29" i="35"/>
  <c r="K108" i="29"/>
  <c r="D48" i="34"/>
  <c r="J22" i="35"/>
  <c r="J29" i="35"/>
  <c r="H77" i="29"/>
  <c r="H107" i="29"/>
  <c r="K112" i="29"/>
  <c r="J117" i="29"/>
  <c r="J135" i="34"/>
  <c r="D135" i="34"/>
  <c r="K34" i="35"/>
  <c r="J117" i="35"/>
  <c r="J9" i="33"/>
  <c r="L9" i="33" s="1"/>
  <c r="D9" i="33"/>
  <c r="J78" i="33"/>
  <c r="D78" i="33"/>
  <c r="J22" i="33"/>
  <c r="D22" i="33"/>
  <c r="J29" i="33"/>
  <c r="D29" i="33"/>
  <c r="J67" i="33"/>
  <c r="K79" i="33"/>
  <c r="H41" i="9"/>
  <c r="K86" i="35"/>
  <c r="K89" i="35"/>
  <c r="K107" i="35"/>
  <c r="H117" i="35"/>
  <c r="K122" i="35"/>
  <c r="H77" i="33"/>
  <c r="J99" i="33"/>
  <c r="D99" i="33"/>
  <c r="D109" i="33"/>
  <c r="J109" i="33"/>
  <c r="G42" i="9"/>
  <c r="H29" i="9"/>
  <c r="J112" i="33"/>
  <c r="D112" i="33"/>
  <c r="J117" i="33"/>
  <c r="D48" i="39"/>
  <c r="D47" i="39"/>
  <c r="D57" i="21"/>
  <c r="K28" i="20"/>
  <c r="J89" i="20"/>
  <c r="D89"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J89" i="23"/>
  <c r="K100" i="23"/>
  <c r="K116" i="23"/>
  <c r="J121" i="23"/>
  <c r="H125" i="23"/>
  <c r="J9" i="24"/>
  <c r="L9" i="24" s="1"/>
  <c r="D9" i="24"/>
  <c r="D54" i="25"/>
  <c r="D99" i="27"/>
  <c r="J99" i="27"/>
  <c r="J113" i="27"/>
  <c r="D57" i="41"/>
  <c r="K113" i="27"/>
  <c r="J7" i="51"/>
  <c r="D7" i="51"/>
  <c r="D10" i="51"/>
  <c r="J10" i="51"/>
  <c r="H21" i="9"/>
  <c r="J34" i="29"/>
  <c r="D34" i="29"/>
  <c r="K78" i="27"/>
  <c r="K120" i="27"/>
  <c r="H125" i="27"/>
  <c r="K7" i="41"/>
  <c r="D10" i="29"/>
  <c r="J10" i="29"/>
  <c r="J89" i="29"/>
  <c r="D89" i="29"/>
  <c r="J11" i="35"/>
  <c r="H10" i="29"/>
  <c r="K22" i="29"/>
  <c r="K29" i="29"/>
  <c r="J120" i="29"/>
  <c r="D120" i="29"/>
  <c r="J107" i="29"/>
  <c r="D107" i="29"/>
  <c r="H34" i="35"/>
  <c r="K78" i="29"/>
  <c r="K99" i="29"/>
  <c r="K109" i="29"/>
  <c r="J125" i="29"/>
  <c r="D112" i="34"/>
  <c r="J112" i="34"/>
  <c r="K134" i="34"/>
  <c r="J34" i="35"/>
  <c r="J68" i="35"/>
  <c r="H27" i="9"/>
  <c r="H79" i="29"/>
  <c r="J113" i="29"/>
  <c r="K125" i="29"/>
  <c r="K35" i="35"/>
  <c r="K68" i="35"/>
  <c r="D48" i="33"/>
  <c r="K117" i="35"/>
  <c r="G63" i="9"/>
  <c r="D67" i="33"/>
  <c r="K67" i="33"/>
  <c r="J79" i="33"/>
  <c r="D79" i="33"/>
  <c r="K125" i="35"/>
  <c r="J28" i="33"/>
  <c r="D28" i="33"/>
  <c r="J34" i="33"/>
  <c r="K86" i="33"/>
  <c r="D122" i="33"/>
  <c r="J122" i="33"/>
  <c r="J113" i="35"/>
  <c r="K22" i="33"/>
  <c r="K29" i="33"/>
  <c r="H79" i="33"/>
  <c r="J88" i="33"/>
  <c r="D88" i="33"/>
  <c r="J100" i="33"/>
  <c r="D100" i="33"/>
  <c r="K120" i="33"/>
  <c r="J113" i="33"/>
  <c r="D118" i="33"/>
  <c r="J118" i="33"/>
  <c r="D57" i="39"/>
  <c r="D54" i="21"/>
  <c r="J22" i="20"/>
  <c r="D22" i="20"/>
  <c r="J29" i="20"/>
  <c r="D29" i="20"/>
  <c r="D48" i="20"/>
  <c r="K77" i="20"/>
  <c r="J7" i="23"/>
  <c r="G14" i="9"/>
  <c r="K88" i="23"/>
  <c r="J35" i="29"/>
  <c r="H121" i="23"/>
  <c r="J29" i="24"/>
  <c r="D29" i="24"/>
  <c r="J89" i="27"/>
  <c r="K10" i="23"/>
  <c r="K34" i="23"/>
  <c r="H68" i="23"/>
  <c r="J100" i="23"/>
  <c r="D116" i="23"/>
  <c r="J116" i="23"/>
  <c r="J108" i="27"/>
  <c r="D108" i="27"/>
  <c r="J28" i="51"/>
  <c r="L28" i="51" s="1"/>
  <c r="D28" i="51"/>
  <c r="H11" i="23"/>
  <c r="H35" i="23"/>
  <c r="K117" i="23"/>
  <c r="J9" i="25"/>
  <c r="L9" i="25" s="1"/>
  <c r="D9" i="25"/>
  <c r="J109" i="27"/>
  <c r="D67" i="27"/>
  <c r="J67" i="27"/>
  <c r="K99" i="27"/>
  <c r="K125" i="27"/>
  <c r="G21" i="9"/>
  <c r="K136" i="26"/>
  <c r="J78" i="27"/>
  <c r="D78" i="27"/>
  <c r="D120" i="27"/>
  <c r="J120" i="27"/>
  <c r="J8" i="51"/>
  <c r="L8" i="51" s="1"/>
  <c r="D8" i="51"/>
  <c r="G17" i="9"/>
  <c r="D135" i="26"/>
  <c r="J135" i="26"/>
  <c r="K79" i="27"/>
  <c r="K121" i="27"/>
  <c r="D57" i="40"/>
  <c r="D54" i="41"/>
  <c r="L7" i="41"/>
  <c r="D7" i="41"/>
  <c r="L10" i="41"/>
  <c r="D10" i="41"/>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28" i="33"/>
  <c r="K34" i="33"/>
  <c r="H86" i="33"/>
  <c r="J89" i="33"/>
  <c r="D89" i="33"/>
  <c r="J107" i="33"/>
  <c r="J110" i="33"/>
  <c r="D110" i="33"/>
  <c r="K109" i="33"/>
  <c r="H109" i="33"/>
  <c r="J114" i="33"/>
  <c r="D114" i="33"/>
  <c r="G27" i="9"/>
  <c r="G29" i="9"/>
  <c r="B15" i="10"/>
  <c r="B9" i="10"/>
  <c r="B10" i="10"/>
  <c r="F23" i="10"/>
  <c r="E7" i="72"/>
  <c r="B25" i="10"/>
  <c r="F9" i="10"/>
  <c r="F15" i="10"/>
  <c r="B23" i="10"/>
  <c r="F42" i="10"/>
  <c r="F21" i="10"/>
  <c r="F10" i="10"/>
  <c r="E48" i="72"/>
  <c r="F31" i="10"/>
  <c r="F30" i="10"/>
  <c r="B26" i="10"/>
  <c r="L112" i="34" l="1"/>
  <c r="E28" i="18"/>
  <c r="E28" i="33"/>
  <c r="E28" i="29"/>
  <c r="E28" i="13"/>
  <c r="E28" i="25"/>
  <c r="E28" i="23"/>
  <c r="E28" i="51"/>
  <c r="E28" i="37"/>
  <c r="D53" i="21"/>
  <c r="D53" i="41"/>
  <c r="L118" i="33"/>
  <c r="D56" i="21"/>
  <c r="L7" i="51"/>
  <c r="K98" i="33"/>
  <c r="L10" i="51"/>
  <c r="L110" i="33"/>
  <c r="K77" i="27"/>
  <c r="H77" i="27"/>
  <c r="B34" i="10"/>
  <c r="H77" i="13"/>
  <c r="B49" i="10"/>
  <c r="B43" i="10"/>
  <c r="B32" i="10"/>
  <c r="F32" i="10"/>
  <c r="E47" i="72"/>
  <c r="B38" i="10"/>
  <c r="B22" i="10"/>
  <c r="B42" i="10"/>
  <c r="E99" i="18"/>
  <c r="E116" i="18"/>
  <c r="D29" i="4"/>
  <c r="E88" i="18"/>
  <c r="E9" i="18"/>
  <c r="E9" i="72"/>
  <c r="E67" i="18"/>
  <c r="E8" i="18"/>
  <c r="E112" i="18"/>
  <c r="E108" i="18"/>
  <c r="E120" i="18"/>
  <c r="E78" i="18"/>
  <c r="D37" i="4"/>
  <c r="D36" i="4"/>
  <c r="I33" i="18"/>
  <c r="I33" i="37"/>
  <c r="I33" i="33"/>
  <c r="I33" i="35"/>
  <c r="I33" i="29"/>
  <c r="I33" i="20"/>
  <c r="B31" i="10"/>
  <c r="H119" i="20"/>
  <c r="D110" i="4"/>
  <c r="L117" i="35"/>
  <c r="L122" i="33"/>
  <c r="L135" i="26"/>
  <c r="E38"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I89" i="37"/>
  <c r="I89" i="18"/>
  <c r="I10" i="37"/>
  <c r="I10" i="18"/>
  <c r="I125" i="37"/>
  <c r="I125" i="18"/>
  <c r="I124" i="37"/>
  <c r="I124" i="18"/>
  <c r="I122" i="37"/>
  <c r="I113" i="37"/>
  <c r="I113" i="18"/>
  <c r="I68" i="37"/>
  <c r="I68" i="18"/>
  <c r="I114" i="37"/>
  <c r="I96" i="37"/>
  <c r="E75" i="37"/>
  <c r="E36" i="37"/>
  <c r="E49" i="37"/>
  <c r="I100" i="37"/>
  <c r="I100" i="18"/>
  <c r="E89" i="37"/>
  <c r="D114" i="4"/>
  <c r="I12" i="37"/>
  <c r="I12" i="18"/>
  <c r="E37" i="37"/>
  <c r="I22" i="37"/>
  <c r="I22" i="18"/>
  <c r="I121" i="37"/>
  <c r="I121" i="18"/>
  <c r="I29" i="37"/>
  <c r="I29" i="18"/>
  <c r="I79" i="37"/>
  <c r="I79" i="18"/>
  <c r="I116" i="37"/>
  <c r="I116" i="18"/>
  <c r="I35" i="37"/>
  <c r="I35" i="18"/>
  <c r="I75" i="37"/>
  <c r="E135" i="37"/>
  <c r="I112" i="37"/>
  <c r="I108" i="37"/>
  <c r="I108" i="18"/>
  <c r="E10" i="37"/>
  <c r="E10" i="18"/>
  <c r="E57" i="37"/>
  <c r="I7" i="37"/>
  <c r="I7" i="18"/>
  <c r="E96" i="37"/>
  <c r="L114" i="33"/>
  <c r="H77" i="23"/>
  <c r="K77" i="23"/>
  <c r="D47" i="21"/>
  <c r="D47" i="20"/>
  <c r="L107" i="29"/>
  <c r="L134" i="26"/>
  <c r="L109" i="23"/>
  <c r="L113" i="33"/>
  <c r="L12" i="33"/>
  <c r="D56" i="22"/>
  <c r="K111" i="34"/>
  <c r="H111" i="20"/>
  <c r="D56" i="41"/>
  <c r="E100" i="37"/>
  <c r="E122" i="37"/>
  <c r="E78" i="37"/>
  <c r="E114" i="37"/>
  <c r="E9" i="37"/>
  <c r="E124" i="37"/>
  <c r="E8" i="37"/>
  <c r="E67" i="37"/>
  <c r="E116" i="37"/>
  <c r="E125" i="37"/>
  <c r="E99" i="37"/>
  <c r="E112" i="37"/>
  <c r="E110" i="37"/>
  <c r="E107" i="37"/>
  <c r="E88" i="37"/>
  <c r="E86" i="37"/>
  <c r="E108" i="37"/>
  <c r="E120" i="37"/>
  <c r="H66" i="27"/>
  <c r="L96" i="33"/>
  <c r="L113" i="29"/>
  <c r="L89" i="23"/>
  <c r="L75" i="33"/>
  <c r="L68" i="20"/>
  <c r="H98" i="20"/>
  <c r="L68" i="33"/>
  <c r="L68" i="23"/>
  <c r="H98" i="29"/>
  <c r="K98" i="29"/>
  <c r="L89" i="20"/>
  <c r="L22" i="23"/>
  <c r="K98" i="20"/>
  <c r="L120" i="33"/>
  <c r="K87" i="29"/>
  <c r="L137" i="26"/>
  <c r="D47" i="40"/>
  <c r="L89" i="27"/>
  <c r="K66" i="27"/>
  <c r="L113" i="20"/>
  <c r="L28" i="23"/>
  <c r="L12" i="29"/>
  <c r="D53" i="13"/>
  <c r="K87" i="33"/>
  <c r="K87" i="23"/>
  <c r="L89" i="33"/>
  <c r="H87" i="29"/>
  <c r="L135" i="34"/>
  <c r="L109" i="27"/>
  <c r="L10" i="29"/>
  <c r="L7" i="33"/>
  <c r="H98" i="27"/>
  <c r="H66" i="23"/>
  <c r="L35" i="29"/>
  <c r="D56" i="39"/>
  <c r="L11" i="35"/>
  <c r="H87" i="35"/>
  <c r="L116" i="29"/>
  <c r="L11" i="29"/>
  <c r="D47" i="41"/>
  <c r="H111" i="13"/>
  <c r="L108" i="27"/>
  <c r="L35" i="23"/>
  <c r="N139" i="8"/>
  <c r="C11" i="9"/>
  <c r="N114" i="8"/>
  <c r="C23" i="9"/>
  <c r="C12" i="9"/>
  <c r="C21" i="9"/>
  <c r="C26" i="9"/>
  <c r="K119" i="20"/>
  <c r="K111" i="13"/>
  <c r="L107" i="33"/>
  <c r="L100" i="33"/>
  <c r="L100" i="20"/>
  <c r="N142" i="8"/>
  <c r="M114" i="8"/>
  <c r="L108" i="13"/>
  <c r="D56" i="40"/>
  <c r="N143" i="8"/>
  <c r="L109" i="35"/>
  <c r="H119" i="23"/>
  <c r="L116" i="33"/>
  <c r="L100" i="27"/>
  <c r="C18" i="9"/>
  <c r="D53" i="22"/>
  <c r="L35" i="33"/>
  <c r="L67" i="29"/>
  <c r="L29" i="20"/>
  <c r="L116" i="23"/>
  <c r="L12" i="35"/>
  <c r="H87" i="27"/>
  <c r="L108" i="23"/>
  <c r="L28" i="25"/>
  <c r="H98" i="13"/>
  <c r="K111" i="29"/>
  <c r="D47" i="33"/>
  <c r="D56" i="25"/>
  <c r="L117" i="33"/>
  <c r="L10" i="35"/>
  <c r="L12" i="13"/>
  <c r="K66" i="35"/>
  <c r="N137" i="8"/>
  <c r="L99" i="23"/>
  <c r="L7" i="20"/>
  <c r="K119" i="13"/>
  <c r="M116" i="8"/>
  <c r="K66" i="23"/>
  <c r="K87" i="35"/>
  <c r="M111" i="8"/>
  <c r="L11" i="33"/>
  <c r="H119" i="13"/>
  <c r="C13" i="9"/>
  <c r="N141" i="8"/>
  <c r="L7" i="13"/>
  <c r="M140" i="8"/>
  <c r="N136" i="8"/>
  <c r="B27" i="9"/>
  <c r="M117" i="8"/>
  <c r="M141" i="8"/>
  <c r="N113" i="8"/>
  <c r="N138" i="8"/>
  <c r="N144" i="8"/>
  <c r="C27" i="9"/>
  <c r="C20" i="9"/>
  <c r="C16" i="9"/>
  <c r="M113" i="8"/>
  <c r="B10" i="9"/>
  <c r="B14" i="9"/>
  <c r="M118" i="8"/>
  <c r="H119" i="33"/>
  <c r="L125" i="33"/>
  <c r="L121" i="23"/>
  <c r="M115" i="8"/>
  <c r="M139" i="8"/>
  <c r="L116" i="13"/>
  <c r="N117" i="8"/>
  <c r="L10" i="33"/>
  <c r="C17" i="9"/>
  <c r="B17" i="9"/>
  <c r="L22" i="13"/>
  <c r="L107" i="13"/>
  <c r="B9" i="9"/>
  <c r="L10" i="13"/>
  <c r="L121" i="33"/>
  <c r="C24" i="9"/>
  <c r="K98" i="27"/>
  <c r="H87" i="23"/>
  <c r="L29" i="24"/>
  <c r="L7" i="23"/>
  <c r="H87" i="33"/>
  <c r="L120" i="29"/>
  <c r="D47" i="22"/>
  <c r="L11" i="23"/>
  <c r="L117" i="29"/>
  <c r="B22" i="9"/>
  <c r="N115" i="8"/>
  <c r="K119" i="23"/>
  <c r="L34" i="13"/>
  <c r="M143" i="8"/>
  <c r="B20" i="9"/>
  <c r="B18" i="9"/>
  <c r="N140" i="8"/>
  <c r="L22" i="24"/>
  <c r="L7" i="19"/>
  <c r="N111" i="8"/>
  <c r="M112" i="8"/>
  <c r="C9" i="9"/>
  <c r="L11" i="13"/>
  <c r="C10" i="9"/>
  <c r="M136" i="8"/>
  <c r="C28" i="9"/>
  <c r="F14" i="10"/>
  <c r="E48" i="39"/>
  <c r="I89" i="20"/>
  <c r="I89" i="13"/>
  <c r="I89" i="29"/>
  <c r="I89" i="35"/>
  <c r="I89" i="33"/>
  <c r="I89" i="27"/>
  <c r="I89" i="23"/>
  <c r="G23" i="10"/>
  <c r="I35" i="23"/>
  <c r="I35" i="29"/>
  <c r="I35" i="35"/>
  <c r="I35" i="33"/>
  <c r="I35" i="13"/>
  <c r="G42" i="10"/>
  <c r="I134" i="26"/>
  <c r="G15" i="10"/>
  <c r="I10" i="23"/>
  <c r="I10" i="35"/>
  <c r="I10" i="29"/>
  <c r="I10" i="33"/>
  <c r="I10" i="13"/>
  <c r="G20" i="10"/>
  <c r="E49" i="39"/>
  <c r="I23" i="33"/>
  <c r="I23" i="13"/>
  <c r="I23" i="23"/>
  <c r="I23" i="29"/>
  <c r="I23" i="35"/>
  <c r="E54" i="39"/>
  <c r="I114" i="33"/>
  <c r="C25" i="10"/>
  <c r="C31" i="10"/>
  <c r="C9" i="10"/>
  <c r="C23" i="10"/>
  <c r="G44" i="10"/>
  <c r="C41" i="10"/>
  <c r="I86" i="29"/>
  <c r="I86" i="33"/>
  <c r="I86" i="35"/>
  <c r="C21" i="10"/>
  <c r="C33" i="10"/>
  <c r="C16" i="10"/>
  <c r="H15" i="9"/>
  <c r="N65" i="8" s="1"/>
  <c r="B13" i="9"/>
  <c r="M144" i="8"/>
  <c r="B11" i="9"/>
  <c r="H63" i="9"/>
  <c r="H16" i="9"/>
  <c r="N66" i="8" s="1"/>
  <c r="M138" i="8"/>
  <c r="N112" i="8"/>
  <c r="G38" i="9"/>
  <c r="I29" i="33"/>
  <c r="I29" i="20"/>
  <c r="I29" i="23"/>
  <c r="I29" i="29"/>
  <c r="I29" i="13"/>
  <c r="I29" i="35"/>
  <c r="G21" i="10"/>
  <c r="I25" i="20"/>
  <c r="I25" i="23"/>
  <c r="I25" i="29"/>
  <c r="I25" i="33"/>
  <c r="I25" i="13"/>
  <c r="I30" i="29"/>
  <c r="I30" i="35"/>
  <c r="I30" i="33"/>
  <c r="I30" i="13"/>
  <c r="C30" i="10"/>
  <c r="I107" i="13"/>
  <c r="I107" i="29"/>
  <c r="I107" i="35"/>
  <c r="I107" i="33"/>
  <c r="C44" i="10"/>
  <c r="I75" i="33"/>
  <c r="G14" i="10"/>
  <c r="I32" i="13"/>
  <c r="I32" i="20"/>
  <c r="I32" i="29"/>
  <c r="I32" i="33"/>
  <c r="I100" i="13"/>
  <c r="I100" i="20"/>
  <c r="I100" i="23"/>
  <c r="I100" i="27"/>
  <c r="I100" i="29"/>
  <c r="I100" i="33"/>
  <c r="I122" i="35"/>
  <c r="I22" i="23"/>
  <c r="I22" i="29"/>
  <c r="I22" i="35"/>
  <c r="I22" i="33"/>
  <c r="I22" i="20"/>
  <c r="I22" i="13"/>
  <c r="G10" i="10"/>
  <c r="C34" i="10"/>
  <c r="I121" i="20"/>
  <c r="I121" i="13"/>
  <c r="I121" i="23"/>
  <c r="I121" i="35"/>
  <c r="I121" i="27"/>
  <c r="I121" i="33"/>
  <c r="I121" i="29"/>
  <c r="I113" i="20"/>
  <c r="I113" i="23"/>
  <c r="I113" i="13"/>
  <c r="I113" i="27"/>
  <c r="I113" i="35"/>
  <c r="I113" i="33"/>
  <c r="I113" i="29"/>
  <c r="I108" i="13"/>
  <c r="M142" i="8"/>
  <c r="N116" i="8"/>
  <c r="B37" i="9"/>
  <c r="B12" i="9"/>
  <c r="B29" i="9"/>
  <c r="G41" i="9"/>
  <c r="B38" i="9"/>
  <c r="H20" i="9"/>
  <c r="N70" i="8" s="1"/>
  <c r="C14" i="9"/>
  <c r="B28" i="9"/>
  <c r="H26" i="9"/>
  <c r="B36" i="9"/>
  <c r="B16" i="9"/>
  <c r="G33" i="10"/>
  <c r="I7" i="29"/>
  <c r="I7" i="33"/>
  <c r="I7" i="23"/>
  <c r="I7" i="35"/>
  <c r="I7" i="13"/>
  <c r="G9" i="10"/>
  <c r="B45" i="10"/>
  <c r="I31" i="35"/>
  <c r="I31" i="13"/>
  <c r="I31" i="33"/>
  <c r="I31" i="29"/>
  <c r="C45" i="10"/>
  <c r="C42" i="10"/>
  <c r="I24" i="13"/>
  <c r="I24" i="33"/>
  <c r="C15" i="10"/>
  <c r="B26" i="9"/>
  <c r="B19" i="9"/>
  <c r="H14" i="9"/>
  <c r="M137" i="8"/>
  <c r="B42" i="9"/>
  <c r="G40" i="9"/>
  <c r="C22" i="9"/>
  <c r="H9" i="9"/>
  <c r="N118" i="8"/>
  <c r="C15" i="9"/>
  <c r="H28" i="9"/>
  <c r="C13" i="10"/>
  <c r="F44" i="10"/>
  <c r="I135" i="26"/>
  <c r="G25" i="10"/>
  <c r="I96" i="33"/>
  <c r="G24" i="10"/>
  <c r="E55" i="39"/>
  <c r="C14" i="10"/>
  <c r="I68" i="20"/>
  <c r="I68" i="23"/>
  <c r="I68" i="27"/>
  <c r="I68" i="29"/>
  <c r="I68" i="35"/>
  <c r="I68" i="33"/>
  <c r="I68" i="13"/>
  <c r="G13" i="10"/>
  <c r="F33" i="10"/>
  <c r="I79" i="13"/>
  <c r="I79" i="20"/>
  <c r="I79" i="23"/>
  <c r="I79" i="33"/>
  <c r="I79" i="27"/>
  <c r="I79" i="29"/>
  <c r="I109" i="20"/>
  <c r="I109" i="13"/>
  <c r="I109" i="27"/>
  <c r="I109" i="35"/>
  <c r="I109" i="29"/>
  <c r="I109" i="23"/>
  <c r="I109" i="33"/>
  <c r="I12" i="29"/>
  <c r="I12" i="33"/>
  <c r="I12" i="35"/>
  <c r="I12" i="23"/>
  <c r="I12" i="13"/>
  <c r="G41" i="10"/>
  <c r="I11" i="13"/>
  <c r="I11" i="23"/>
  <c r="I11" i="35"/>
  <c r="I11" i="33"/>
  <c r="G30" i="10"/>
  <c r="I11" i="29"/>
  <c r="F24" i="10"/>
  <c r="I125" i="27"/>
  <c r="I125" i="23"/>
  <c r="I125" i="35"/>
  <c r="I125" i="29"/>
  <c r="I125" i="33"/>
  <c r="C26" i="10"/>
  <c r="I34" i="13"/>
  <c r="I34" i="35"/>
  <c r="I34" i="23"/>
  <c r="I34" i="29"/>
  <c r="I34" i="33"/>
  <c r="G31" i="10"/>
  <c r="D96" i="4"/>
  <c r="B24" i="10"/>
  <c r="C24" i="10"/>
  <c r="I117" i="23"/>
  <c r="I117" i="35"/>
  <c r="I117" i="29"/>
  <c r="I117" i="33"/>
  <c r="I117" i="27"/>
  <c r="C10" i="10"/>
  <c r="C20" i="10"/>
  <c r="D75" i="4"/>
  <c r="B14" i="10"/>
  <c r="E57" i="39"/>
  <c r="L120" i="27"/>
  <c r="K119" i="27"/>
  <c r="L120" i="23"/>
  <c r="L67" i="23"/>
  <c r="H98" i="33"/>
  <c r="L22" i="35"/>
  <c r="H87" i="20"/>
  <c r="L100" i="13"/>
  <c r="D53" i="39"/>
  <c r="D56" i="33"/>
  <c r="L109" i="29"/>
  <c r="L7" i="29"/>
  <c r="L28" i="29"/>
  <c r="L117" i="23"/>
  <c r="H98" i="23"/>
  <c r="L10" i="20"/>
  <c r="K98" i="13"/>
  <c r="L29" i="13"/>
  <c r="G37" i="9"/>
  <c r="B15" i="9"/>
  <c r="G39" i="9"/>
  <c r="B21" i="9"/>
  <c r="H13" i="9"/>
  <c r="B24" i="9"/>
  <c r="C19" i="9"/>
  <c r="G35" i="9"/>
  <c r="H24" i="9"/>
  <c r="B23" i="9"/>
  <c r="H23" i="9"/>
  <c r="L22" i="20"/>
  <c r="L109" i="33"/>
  <c r="L99" i="33"/>
  <c r="H111" i="29"/>
  <c r="L10" i="23"/>
  <c r="L28" i="13"/>
  <c r="L89" i="35"/>
  <c r="D56" i="13"/>
  <c r="L35" i="35"/>
  <c r="L99" i="29"/>
  <c r="K119" i="33"/>
  <c r="L88" i="33"/>
  <c r="L28" i="33"/>
  <c r="L79" i="33"/>
  <c r="L34" i="29"/>
  <c r="H66" i="33"/>
  <c r="L78" i="33"/>
  <c r="L67" i="13"/>
  <c r="H66" i="35"/>
  <c r="K87" i="27"/>
  <c r="L109" i="13"/>
  <c r="L112" i="13"/>
  <c r="L35" i="13"/>
  <c r="L79" i="29"/>
  <c r="L86" i="29"/>
  <c r="L78" i="27"/>
  <c r="K66" i="33"/>
  <c r="L89" i="29"/>
  <c r="L112" i="27"/>
  <c r="L12" i="23"/>
  <c r="H87" i="13"/>
  <c r="L120" i="13"/>
  <c r="L68" i="13"/>
  <c r="L7" i="25"/>
  <c r="K66" i="20"/>
  <c r="L134" i="34"/>
  <c r="L125" i="27"/>
  <c r="L108" i="29"/>
  <c r="L67" i="27"/>
  <c r="L34" i="35"/>
  <c r="D53" i="25"/>
  <c r="L112" i="33"/>
  <c r="L29" i="33"/>
  <c r="L121" i="29"/>
  <c r="L29" i="29"/>
  <c r="H111" i="23"/>
  <c r="L86" i="35"/>
  <c r="D53" i="33"/>
  <c r="L112" i="29"/>
  <c r="L68" i="29"/>
  <c r="L136" i="26"/>
  <c r="L79" i="27"/>
  <c r="D47" i="25"/>
  <c r="L88" i="27"/>
  <c r="L112" i="23"/>
  <c r="H66" i="20"/>
  <c r="L113" i="13"/>
  <c r="K87" i="20"/>
  <c r="L68" i="35"/>
  <c r="L86" i="33"/>
  <c r="H119" i="29"/>
  <c r="L100" i="29"/>
  <c r="L34" i="33"/>
  <c r="L125" i="29"/>
  <c r="L99" i="27"/>
  <c r="L29" i="35"/>
  <c r="L88" i="29"/>
  <c r="L78" i="29"/>
  <c r="K111" i="27"/>
  <c r="L88" i="23"/>
  <c r="L125" i="23"/>
  <c r="L113" i="23"/>
  <c r="L79" i="20"/>
  <c r="H111" i="33"/>
  <c r="L107" i="35"/>
  <c r="D47" i="51"/>
  <c r="D47" i="26"/>
  <c r="L7" i="24"/>
  <c r="L29" i="23"/>
  <c r="L28" i="20"/>
  <c r="L121" i="27"/>
  <c r="K119" i="35"/>
  <c r="L100" i="23"/>
  <c r="L113" i="27"/>
  <c r="L79" i="23"/>
  <c r="L67" i="33"/>
  <c r="L22" i="33"/>
  <c r="L22" i="29"/>
  <c r="J77" i="29"/>
  <c r="L117" i="27"/>
  <c r="K98" i="23"/>
  <c r="L10" i="24"/>
  <c r="L78" i="23"/>
  <c r="L34" i="23"/>
  <c r="L121" i="20"/>
  <c r="H111" i="27"/>
  <c r="L68" i="27"/>
  <c r="K111" i="20"/>
  <c r="L124" i="13"/>
  <c r="L79" i="13"/>
  <c r="L89" i="13"/>
  <c r="L99" i="13"/>
  <c r="L78" i="13"/>
  <c r="K66" i="13"/>
  <c r="L86" i="13"/>
  <c r="K87" i="13"/>
  <c r="J77" i="13"/>
  <c r="L88" i="13"/>
  <c r="H66" i="13"/>
  <c r="D47" i="13"/>
  <c r="J87" i="35"/>
  <c r="D66" i="33"/>
  <c r="J66" i="33"/>
  <c r="D77" i="27"/>
  <c r="J77" i="27"/>
  <c r="L77" i="27" s="1"/>
  <c r="D111" i="34"/>
  <c r="J111" i="34"/>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K77" i="13"/>
  <c r="D98" i="20"/>
  <c r="J98" i="20"/>
  <c r="J66" i="29"/>
  <c r="J87" i="33"/>
  <c r="D87" i="33"/>
  <c r="D119" i="29"/>
  <c r="J119" i="29"/>
  <c r="D98" i="33"/>
  <c r="J98" i="33"/>
  <c r="J87" i="29"/>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88" i="33"/>
  <c r="E108" i="33"/>
  <c r="E22" i="33"/>
  <c r="E57" i="33"/>
  <c r="E99" i="33"/>
  <c r="E9" i="33"/>
  <c r="E48" i="33"/>
  <c r="E118" i="33"/>
  <c r="E110" i="33"/>
  <c r="E122" i="33"/>
  <c r="E75" i="33"/>
  <c r="E126" i="33"/>
  <c r="E116" i="33"/>
  <c r="E10" i="33"/>
  <c r="E79" i="33"/>
  <c r="E58" i="33"/>
  <c r="E49" i="33"/>
  <c r="E54" i="33"/>
  <c r="E7" i="33"/>
  <c r="E89" i="33"/>
  <c r="E100" i="33"/>
  <c r="E125" i="33"/>
  <c r="E68" i="33"/>
  <c r="E96" i="33"/>
  <c r="E8" i="33"/>
  <c r="E78" i="33"/>
  <c r="E67" i="33"/>
  <c r="E112" i="33"/>
  <c r="E109" i="33"/>
  <c r="E114" i="33"/>
  <c r="E121" i="33"/>
  <c r="E120" i="33"/>
  <c r="E99" i="29"/>
  <c r="E9" i="29"/>
  <c r="E48" i="34"/>
  <c r="E86" i="29"/>
  <c r="E134" i="34"/>
  <c r="E68" i="29"/>
  <c r="E88" i="29"/>
  <c r="E108" i="29"/>
  <c r="E116" i="29"/>
  <c r="E22" i="29"/>
  <c r="E10" i="29"/>
  <c r="E79" i="29"/>
  <c r="E135" i="34"/>
  <c r="E7" i="29"/>
  <c r="E89" i="29"/>
  <c r="E100" i="29"/>
  <c r="E107" i="29"/>
  <c r="E8" i="29"/>
  <c r="E78" i="29"/>
  <c r="E67" i="29"/>
  <c r="E112" i="29"/>
  <c r="E112" i="34"/>
  <c r="E109" i="29"/>
  <c r="E120" i="29"/>
  <c r="E9" i="41"/>
  <c r="E48" i="40"/>
  <c r="E48" i="41"/>
  <c r="E10" i="41"/>
  <c r="E57" i="40"/>
  <c r="E57" i="41"/>
  <c r="E54" i="40"/>
  <c r="E54" i="41"/>
  <c r="E7" i="41"/>
  <c r="E8" i="41"/>
  <c r="E99" i="27"/>
  <c r="E9" i="51"/>
  <c r="E48" i="51"/>
  <c r="E88" i="27"/>
  <c r="E108" i="27"/>
  <c r="E22" i="51"/>
  <c r="E10" i="51"/>
  <c r="E7" i="51"/>
  <c r="E8" i="51"/>
  <c r="E78" i="27"/>
  <c r="E67" i="27"/>
  <c r="E112" i="27"/>
  <c r="E120" i="27"/>
  <c r="E9" i="25"/>
  <c r="E57" i="25"/>
  <c r="E48" i="25"/>
  <c r="E48" i="26"/>
  <c r="E137" i="26"/>
  <c r="E49" i="26"/>
  <c r="E54" i="25"/>
  <c r="E135" i="26"/>
  <c r="E7" i="25"/>
  <c r="E136" i="26"/>
  <c r="E134" i="26"/>
  <c r="E8" i="25"/>
  <c r="E99" i="23"/>
  <c r="E9" i="24"/>
  <c r="E88" i="23"/>
  <c r="E108" i="23"/>
  <c r="E116" i="23"/>
  <c r="E22" i="23"/>
  <c r="E22" i="24"/>
  <c r="E10" i="24"/>
  <c r="E7" i="24"/>
  <c r="E8" i="24"/>
  <c r="E78" i="23"/>
  <c r="E67" i="23"/>
  <c r="E112" i="23"/>
  <c r="E120" i="23"/>
  <c r="E48" i="21"/>
  <c r="E48" i="22"/>
  <c r="E57" i="21"/>
  <c r="E57" i="22"/>
  <c r="E58" i="22"/>
  <c r="E49" i="22"/>
  <c r="E54" i="21"/>
  <c r="E54" i="22"/>
  <c r="E68" i="20"/>
  <c r="E22" i="20"/>
  <c r="E10" i="20"/>
  <c r="E79" i="20"/>
  <c r="E7" i="19"/>
  <c r="E7" i="20"/>
  <c r="E89" i="20"/>
  <c r="E100" i="20"/>
  <c r="E9" i="19"/>
  <c r="E9" i="20"/>
  <c r="E48" i="20"/>
  <c r="E8" i="19"/>
  <c r="E8" i="20"/>
  <c r="E121" i="20"/>
  <c r="E113" i="20"/>
  <c r="E99" i="13"/>
  <c r="E9" i="13"/>
  <c r="E48" i="13"/>
  <c r="E86" i="13"/>
  <c r="E88" i="13"/>
  <c r="E124" i="13"/>
  <c r="E37" i="13"/>
  <c r="E108" i="13"/>
  <c r="E116" i="13"/>
  <c r="E22" i="13"/>
  <c r="E10" i="13"/>
  <c r="E57" i="13"/>
  <c r="E11" i="13"/>
  <c r="E49" i="13"/>
  <c r="E54" i="13"/>
  <c r="E7" i="13"/>
  <c r="E89" i="13"/>
  <c r="E100" i="13"/>
  <c r="E107" i="13"/>
  <c r="E12" i="13"/>
  <c r="E36" i="13"/>
  <c r="E8" i="13"/>
  <c r="E78" i="13"/>
  <c r="E67" i="13"/>
  <c r="E112" i="13"/>
  <c r="E109" i="13"/>
  <c r="E120" i="13"/>
  <c r="D116" i="4"/>
  <c r="D108"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D58" i="4"/>
  <c r="G10" i="4"/>
  <c r="D89" i="4"/>
  <c r="G35" i="4"/>
  <c r="D99" i="4"/>
  <c r="D86" i="4"/>
  <c r="D107" i="4"/>
  <c r="D135" i="4"/>
  <c r="G135" i="4"/>
  <c r="G134" i="4"/>
  <c r="D78" i="4"/>
  <c r="D88" i="4"/>
  <c r="D79" i="4"/>
  <c r="D9" i="4"/>
  <c r="F43" i="10"/>
  <c r="B11" i="10"/>
  <c r="L98" i="33" l="1"/>
  <c r="L111" i="34"/>
  <c r="L119" i="35"/>
  <c r="E87" i="18"/>
  <c r="E66" i="18"/>
  <c r="L77" i="23"/>
  <c r="I77" i="27"/>
  <c r="I77" i="29"/>
  <c r="I77" i="20"/>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L87" i="29"/>
  <c r="E97" i="33"/>
  <c r="E97" i="37"/>
  <c r="I98" i="37"/>
  <c r="L119" i="13"/>
  <c r="E76" i="33"/>
  <c r="E76" i="29"/>
  <c r="E76" i="37"/>
  <c r="E76" i="13"/>
  <c r="E66" i="37"/>
  <c r="E87" i="33"/>
  <c r="E87" i="37"/>
  <c r="E98" i="37"/>
  <c r="E77" i="37"/>
  <c r="L98" i="20"/>
  <c r="L111" i="29"/>
  <c r="L66" i="27"/>
  <c r="L111" i="13"/>
  <c r="L87" i="33"/>
  <c r="L98" i="29"/>
  <c r="L87" i="20"/>
  <c r="L119" i="23"/>
  <c r="L87" i="23"/>
  <c r="L98" i="23"/>
  <c r="L119" i="20"/>
  <c r="L111" i="27"/>
  <c r="E66" i="20"/>
  <c r="E87" i="13"/>
  <c r="E87" i="23"/>
  <c r="D98" i="4"/>
  <c r="L66" i="35"/>
  <c r="E98" i="29"/>
  <c r="E98" i="33"/>
  <c r="L87" i="27"/>
  <c r="L119" i="33"/>
  <c r="L98" i="13"/>
  <c r="L66" i="33"/>
  <c r="L87" i="35"/>
  <c r="L66" i="23"/>
  <c r="L66" i="13"/>
  <c r="E66" i="23"/>
  <c r="E66" i="13"/>
  <c r="E66" i="27"/>
  <c r="E66" i="29"/>
  <c r="E66" i="33"/>
  <c r="L111" i="33"/>
  <c r="D87" i="4"/>
  <c r="E98" i="20"/>
  <c r="E98" i="23"/>
  <c r="E87" i="27"/>
  <c r="E98" i="27"/>
  <c r="E87" i="29"/>
  <c r="L119" i="27"/>
  <c r="C43" i="10"/>
  <c r="I119" i="13"/>
  <c r="I119" i="20"/>
  <c r="I119" i="23"/>
  <c r="I119" i="27"/>
  <c r="I119" i="29"/>
  <c r="I119" i="35"/>
  <c r="I119" i="33"/>
  <c r="G43" i="10"/>
  <c r="F22" i="10"/>
  <c r="I98" i="20"/>
  <c r="I98" i="13"/>
  <c r="I98" i="23"/>
  <c r="I98" i="29"/>
  <c r="I98" i="27"/>
  <c r="I98" i="33"/>
  <c r="D66" i="4"/>
  <c r="B12" i="10"/>
  <c r="I66" i="13"/>
  <c r="I66" i="20"/>
  <c r="I66" i="27"/>
  <c r="I66" i="29"/>
  <c r="I66" i="35"/>
  <c r="I66" i="33"/>
  <c r="G12" i="10"/>
  <c r="I66" i="23"/>
  <c r="G66" i="4"/>
  <c r="F12" i="10"/>
  <c r="E53" i="39"/>
  <c r="C38" i="10"/>
  <c r="I111" i="13"/>
  <c r="I111" i="20"/>
  <c r="I111" i="23"/>
  <c r="I111" i="27"/>
  <c r="I111" i="29"/>
  <c r="I111" i="35"/>
  <c r="I111" i="33"/>
  <c r="G32" i="10"/>
  <c r="E56" i="39"/>
  <c r="C49" i="10"/>
  <c r="C32" i="10"/>
  <c r="C22" i="10"/>
  <c r="E47" i="39"/>
  <c r="C11" i="10"/>
  <c r="C12" i="10"/>
  <c r="I87" i="13"/>
  <c r="I87" i="20"/>
  <c r="I87" i="27"/>
  <c r="I87" i="29"/>
  <c r="I87" i="23"/>
  <c r="I87" i="33"/>
  <c r="I87" i="35"/>
  <c r="G22" i="10"/>
  <c r="L66" i="20"/>
  <c r="L111" i="20"/>
  <c r="L87" i="13"/>
  <c r="L119" i="29"/>
  <c r="L66" i="29"/>
  <c r="L77" i="29"/>
  <c r="L111" i="23"/>
  <c r="E98" i="13"/>
  <c r="E87" i="20"/>
  <c r="L77" i="13"/>
  <c r="E77" i="33"/>
  <c r="E111" i="33"/>
  <c r="E47" i="33"/>
  <c r="E119" i="33"/>
  <c r="E53" i="33"/>
  <c r="E56" i="33"/>
  <c r="E47" i="34"/>
  <c r="E119" i="29"/>
  <c r="E77" i="29"/>
  <c r="E111" i="29"/>
  <c r="E111" i="34"/>
  <c r="E53" i="40"/>
  <c r="E53" i="41"/>
  <c r="E56" i="40"/>
  <c r="E56" i="41"/>
  <c r="E47" i="40"/>
  <c r="E47" i="41"/>
  <c r="E77" i="27"/>
  <c r="E111" i="27"/>
  <c r="E47" i="51"/>
  <c r="E119" i="27"/>
  <c r="E53" i="25"/>
  <c r="E47" i="25"/>
  <c r="E47" i="26"/>
  <c r="E56" i="25"/>
  <c r="E119" i="23"/>
  <c r="E77" i="23"/>
  <c r="E111" i="23"/>
  <c r="E56" i="21"/>
  <c r="E56" i="22"/>
  <c r="E47" i="21"/>
  <c r="E47" i="22"/>
  <c r="E53" i="21"/>
  <c r="E53" i="22"/>
  <c r="E119" i="20"/>
  <c r="E47" i="20"/>
  <c r="E77" i="20"/>
  <c r="E111" i="20"/>
  <c r="E53" i="13"/>
  <c r="E77" i="13"/>
  <c r="E56" i="13"/>
  <c r="E111" i="13"/>
  <c r="E47" i="13"/>
  <c r="E119" i="13"/>
  <c r="D111" i="4"/>
  <c r="D77" i="4"/>
  <c r="D119" i="4"/>
  <c r="D53" i="4"/>
  <c r="D56" i="4"/>
  <c r="D47" i="4"/>
  <c r="C60" i="10" l="1"/>
  <c r="H107" i="4"/>
  <c r="H114" i="4"/>
  <c r="H116" i="4"/>
  <c r="H28" i="4"/>
  <c r="H98" i="4" l="1"/>
  <c r="H117" i="4"/>
  <c r="H99" i="4"/>
  <c r="H24" i="4"/>
  <c r="H118" i="4"/>
  <c r="H27"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M23" i="20" s="1"/>
  <c r="H22" i="10"/>
  <c r="H108" i="4"/>
  <c r="H10" i="4"/>
  <c r="I126" i="4"/>
  <c r="H38" i="4"/>
  <c r="I77" i="4"/>
  <c r="I88" i="4"/>
  <c r="I117" i="4"/>
  <c r="H67" i="4"/>
  <c r="H12" i="10"/>
  <c r="I116" i="4"/>
  <c r="I118" i="4"/>
  <c r="H120" i="4"/>
  <c r="I110" i="4"/>
  <c r="I113" i="4"/>
  <c r="I78" i="4"/>
  <c r="K26" i="10"/>
  <c r="I98" i="4"/>
  <c r="I99" i="4"/>
  <c r="K9" i="10"/>
  <c r="H77" i="4"/>
  <c r="H24" i="10"/>
  <c r="I31" i="4"/>
  <c r="I24" i="4"/>
  <c r="H126" i="4"/>
  <c r="J126" i="4" s="1"/>
  <c r="K16" i="10"/>
  <c r="I30" i="4"/>
  <c r="H36" i="4"/>
  <c r="K45" i="10"/>
  <c r="H39" i="4"/>
  <c r="I107" i="4"/>
  <c r="I8" i="4"/>
  <c r="I114" i="4"/>
  <c r="I86" i="4"/>
  <c r="H10" i="10"/>
  <c r="I124" i="4"/>
  <c r="H100" i="4"/>
  <c r="H7" i="4"/>
  <c r="H23" i="4"/>
  <c r="H15" i="10"/>
  <c r="I125" i="4"/>
  <c r="M8" i="22" l="1"/>
  <c r="M9" i="72"/>
  <c r="M9" i="22"/>
  <c r="J118" i="4"/>
  <c r="J23" i="4"/>
  <c r="J24" i="4"/>
  <c r="J110" i="4"/>
  <c r="M67" i="37"/>
  <c r="M67" i="18"/>
  <c r="M107" i="37"/>
  <c r="M32" i="37"/>
  <c r="M32" i="18"/>
  <c r="M79" i="37"/>
  <c r="M79" i="18"/>
  <c r="M124" i="37"/>
  <c r="M124" i="18"/>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116" i="18"/>
  <c r="M77" i="18"/>
  <c r="M120" i="37"/>
  <c r="M120" i="18"/>
  <c r="J114" i="4"/>
  <c r="M98" i="37"/>
  <c r="M97" i="37"/>
  <c r="M97" i="13"/>
  <c r="M97" i="33"/>
  <c r="M77" i="37"/>
  <c r="M76" i="37"/>
  <c r="M76" i="33"/>
  <c r="M76" i="29"/>
  <c r="M76" i="13"/>
  <c r="M24" i="13"/>
  <c r="M24" i="24"/>
  <c r="M24" i="33"/>
  <c r="M24" i="29"/>
  <c r="M118" i="33"/>
  <c r="M88" i="13"/>
  <c r="M88" i="27"/>
  <c r="M88" i="29"/>
  <c r="M88" i="23"/>
  <c r="M88" i="33"/>
  <c r="J28" i="4"/>
  <c r="M28" i="20"/>
  <c r="M28" i="25"/>
  <c r="M28" i="23"/>
  <c r="M28" i="51"/>
  <c r="M28" i="29"/>
  <c r="M28" i="13"/>
  <c r="M28" i="33"/>
  <c r="M121" i="23"/>
  <c r="M121" i="13"/>
  <c r="M121" i="27"/>
  <c r="M121" i="29"/>
  <c r="M121" i="33"/>
  <c r="M121" i="20"/>
  <c r="M121" i="35"/>
  <c r="M125" i="23"/>
  <c r="M125" i="27"/>
  <c r="M125" i="29"/>
  <c r="M125" i="33"/>
  <c r="M125" i="35"/>
  <c r="M124" i="13"/>
  <c r="M114" i="33"/>
  <c r="M31" i="13"/>
  <c r="M31" i="24"/>
  <c r="M31" i="35"/>
  <c r="M31" i="29"/>
  <c r="M31" i="33"/>
  <c r="M78" i="23"/>
  <c r="M78" i="27"/>
  <c r="M78" i="13"/>
  <c r="M78" i="29"/>
  <c r="M78" i="33"/>
  <c r="M113" i="23"/>
  <c r="M113" i="13"/>
  <c r="M113" i="27"/>
  <c r="M113" i="20"/>
  <c r="M113" i="29"/>
  <c r="M113" i="33"/>
  <c r="M113" i="35"/>
  <c r="J116" i="4"/>
  <c r="M116" i="13"/>
  <c r="M116" i="23"/>
  <c r="M116" i="29"/>
  <c r="M116" i="33"/>
  <c r="M117" i="23"/>
  <c r="M117" i="27"/>
  <c r="M117" i="29"/>
  <c r="M117" i="33"/>
  <c r="M117" i="35"/>
  <c r="M23" i="23"/>
  <c r="M23" i="13"/>
  <c r="M23" i="35"/>
  <c r="M23" i="29"/>
  <c r="M23" i="33"/>
  <c r="M32" i="13"/>
  <c r="M32" i="20"/>
  <c r="M32" i="33"/>
  <c r="M32" i="29"/>
  <c r="M79" i="13"/>
  <c r="M79" i="20"/>
  <c r="M79" i="23"/>
  <c r="M79" i="33"/>
  <c r="M79" i="29"/>
  <c r="M79" i="27"/>
  <c r="M8" i="20"/>
  <c r="M8" i="13"/>
  <c r="M8" i="24"/>
  <c r="M8" i="51"/>
  <c r="M8" i="25"/>
  <c r="M8" i="41"/>
  <c r="M8" i="29"/>
  <c r="M8" i="33"/>
  <c r="M8" i="19"/>
  <c r="M30" i="20"/>
  <c r="M30" i="13"/>
  <c r="M30" i="33"/>
  <c r="M30" i="29"/>
  <c r="M30" i="35"/>
  <c r="M99" i="23"/>
  <c r="M99" i="27"/>
  <c r="M99" i="29"/>
  <c r="M99" i="13"/>
  <c r="M99" i="33"/>
  <c r="M110" i="33"/>
  <c r="M120" i="13"/>
  <c r="M120" i="23"/>
  <c r="M120" i="27"/>
  <c r="M120" i="29"/>
  <c r="M120" i="33"/>
  <c r="M100" i="13"/>
  <c r="M100" i="20"/>
  <c r="M100" i="29"/>
  <c r="M100" i="33"/>
  <c r="M100" i="27"/>
  <c r="M100" i="23"/>
  <c r="M122" i="35"/>
  <c r="M122" i="33"/>
  <c r="M108" i="13"/>
  <c r="M108" i="23"/>
  <c r="M108" i="33"/>
  <c r="M108" i="29"/>
  <c r="M108" i="27"/>
  <c r="M9" i="19"/>
  <c r="M9" i="25"/>
  <c r="M9" i="20"/>
  <c r="M9" i="51"/>
  <c r="M9" i="13"/>
  <c r="M9" i="29"/>
  <c r="M9" i="24"/>
  <c r="M9" i="41"/>
  <c r="M9" i="33"/>
  <c r="M86" i="35"/>
  <c r="M86" i="29"/>
  <c r="M86" i="13"/>
  <c r="M86" i="33"/>
  <c r="J107" i="4"/>
  <c r="M107" i="13"/>
  <c r="M107" i="35"/>
  <c r="M107" i="29"/>
  <c r="M107" i="33"/>
  <c r="M98" i="20"/>
  <c r="M98" i="13"/>
  <c r="M98" i="23"/>
  <c r="M98" i="27"/>
  <c r="M98" i="29"/>
  <c r="M98" i="33"/>
  <c r="M77" i="20"/>
  <c r="M77" i="13"/>
  <c r="M77" i="27"/>
  <c r="M77" i="23"/>
  <c r="M77" i="29"/>
  <c r="M77" i="33"/>
  <c r="M126" i="33"/>
  <c r="M67" i="13"/>
  <c r="M67" i="23"/>
  <c r="M67" i="27"/>
  <c r="M67" i="29"/>
  <c r="M67" i="33"/>
  <c r="M109" i="27"/>
  <c r="M109" i="13"/>
  <c r="M109" i="23"/>
  <c r="M109" i="20"/>
  <c r="M109" i="29"/>
  <c r="M109" i="35"/>
  <c r="M109" i="33"/>
  <c r="M112" i="13"/>
  <c r="M112" i="23"/>
  <c r="M112" i="27"/>
  <c r="M112" i="34"/>
  <c r="M112" i="33"/>
  <c r="M112" i="29"/>
  <c r="J108" i="4"/>
  <c r="M43" i="8"/>
  <c r="D39" i="9"/>
  <c r="N72" i="8"/>
  <c r="H62" i="9"/>
  <c r="B64" i="9"/>
  <c r="M44" i="8"/>
  <c r="D40" i="9"/>
  <c r="M39" i="8"/>
  <c r="D35" i="9"/>
  <c r="C50" i="9"/>
  <c r="N13" i="8"/>
  <c r="H49" i="9"/>
  <c r="N62" i="8"/>
  <c r="N46" i="8"/>
  <c r="G52" i="9"/>
  <c r="G30" i="9"/>
  <c r="M30" i="8"/>
  <c r="B68" i="9"/>
  <c r="D29" i="9"/>
  <c r="D13" i="9"/>
  <c r="B51" i="9"/>
  <c r="M14" i="8"/>
  <c r="M22" i="8"/>
  <c r="D21" i="9"/>
  <c r="B59" i="9"/>
  <c r="M37" i="8"/>
  <c r="B43" i="9"/>
  <c r="D33" i="9"/>
  <c r="G49" i="9"/>
  <c r="M62" i="8"/>
  <c r="G47" i="9"/>
  <c r="M60" i="8"/>
  <c r="I9" i="9"/>
  <c r="M71" i="8"/>
  <c r="G61" i="9"/>
  <c r="I23" i="9"/>
  <c r="H51" i="9"/>
  <c r="N64" i="8"/>
  <c r="G60" i="9"/>
  <c r="I22" i="9"/>
  <c r="N10" i="8"/>
  <c r="C47" i="9"/>
  <c r="B67" i="9"/>
  <c r="M29" i="8"/>
  <c r="M87" i="8"/>
  <c r="I35" i="9"/>
  <c r="M69" i="8"/>
  <c r="G57" i="9"/>
  <c r="I19" i="9"/>
  <c r="N43" i="8"/>
  <c r="N12" i="8"/>
  <c r="C49" i="9"/>
  <c r="N22" i="8"/>
  <c r="C59" i="9"/>
  <c r="M19" i="8"/>
  <c r="B56" i="9"/>
  <c r="D18" i="9"/>
  <c r="H52" i="9"/>
  <c r="N41" i="8"/>
  <c r="D38" i="9"/>
  <c r="M42" i="8"/>
  <c r="N40" i="8"/>
  <c r="N28" i="8"/>
  <c r="C66" i="9"/>
  <c r="N63" i="8"/>
  <c r="H50" i="9"/>
  <c r="N45" i="8"/>
  <c r="M46" i="8"/>
  <c r="D42" i="9"/>
  <c r="B66" i="9"/>
  <c r="H30" i="9"/>
  <c r="J23" i="9" s="1"/>
  <c r="I18" i="9"/>
  <c r="M68" i="8"/>
  <c r="G56" i="9"/>
  <c r="N11" i="8"/>
  <c r="C48" i="9"/>
  <c r="M86" i="8"/>
  <c r="I34" i="9"/>
  <c r="G51" i="9"/>
  <c r="M64" i="8"/>
  <c r="H55" i="9"/>
  <c r="N67" i="8"/>
  <c r="D41" i="9"/>
  <c r="M45" i="8"/>
  <c r="H59" i="9"/>
  <c r="I20" i="9"/>
  <c r="G58" i="9"/>
  <c r="D12" i="9"/>
  <c r="M13" i="8"/>
  <c r="B50" i="9"/>
  <c r="N87" i="8"/>
  <c r="B62" i="9"/>
  <c r="M25" i="8"/>
  <c r="D24" i="9"/>
  <c r="N19" i="8"/>
  <c r="C56" i="9"/>
  <c r="H56" i="9"/>
  <c r="N68" i="8"/>
  <c r="M20" i="8"/>
  <c r="D19" i="9"/>
  <c r="B57" i="9"/>
  <c r="N20" i="8"/>
  <c r="C57" i="9"/>
  <c r="D10" i="9"/>
  <c r="M11" i="8"/>
  <c r="B48" i="9"/>
  <c r="M88" i="8"/>
  <c r="I36" i="9"/>
  <c r="H54" i="9"/>
  <c r="G59" i="9"/>
  <c r="I26" i="9"/>
  <c r="M73" i="8"/>
  <c r="G65" i="9"/>
  <c r="G68" i="9"/>
  <c r="N73" i="8"/>
  <c r="H65" i="9"/>
  <c r="N74" i="8"/>
  <c r="H66" i="9"/>
  <c r="N94" i="8"/>
  <c r="B47" i="9"/>
  <c r="D9" i="9"/>
  <c r="M10" i="8"/>
  <c r="N44" i="8"/>
  <c r="C64" i="9"/>
  <c r="H61" i="9"/>
  <c r="N71" i="8"/>
  <c r="N88" i="8"/>
  <c r="H48" i="9"/>
  <c r="N61" i="8"/>
  <c r="C52" i="9"/>
  <c r="N15" i="8"/>
  <c r="I39" i="9"/>
  <c r="M91" i="8"/>
  <c r="B54" i="9"/>
  <c r="M17" i="8"/>
  <c r="D16" i="9"/>
  <c r="C30" i="9"/>
  <c r="E15" i="9" s="1"/>
  <c r="N91" i="8"/>
  <c r="C68" i="9"/>
  <c r="N30" i="8"/>
  <c r="G64" i="9"/>
  <c r="I40" i="9"/>
  <c r="M92" i="8"/>
  <c r="C65" i="9"/>
  <c r="N27" i="8"/>
  <c r="N90" i="8"/>
  <c r="D20" i="9"/>
  <c r="B58" i="9"/>
  <c r="M21" i="8"/>
  <c r="N16" i="8"/>
  <c r="C53" i="9"/>
  <c r="N93" i="8"/>
  <c r="C43" i="9"/>
  <c r="E33" i="9" s="1"/>
  <c r="N37" i="8"/>
  <c r="M41" i="8"/>
  <c r="D37" i="9"/>
  <c r="M72" i="8"/>
  <c r="I24" i="9"/>
  <c r="G62" i="9"/>
  <c r="N39" i="8"/>
  <c r="B61" i="9"/>
  <c r="D23" i="9"/>
  <c r="M24" i="8"/>
  <c r="H57" i="9"/>
  <c r="N69" i="8"/>
  <c r="D34" i="9"/>
  <c r="M38" i="8"/>
  <c r="N89" i="8"/>
  <c r="D27" i="9"/>
  <c r="M28" i="8"/>
  <c r="M61" i="8"/>
  <c r="I10" i="9"/>
  <c r="G48" i="9"/>
  <c r="H43" i="9"/>
  <c r="J37" i="9" s="1"/>
  <c r="N85" i="8"/>
  <c r="C62" i="9"/>
  <c r="N25" i="8"/>
  <c r="N38" i="8"/>
  <c r="B53" i="9"/>
  <c r="D15" i="9"/>
  <c r="M16" i="8"/>
  <c r="N21" i="8"/>
  <c r="C58" i="9"/>
  <c r="H68" i="9"/>
  <c r="N86" i="8"/>
  <c r="N23" i="8"/>
  <c r="C60" i="9"/>
  <c r="N29" i="8"/>
  <c r="C67" i="9"/>
  <c r="H47" i="9"/>
  <c r="N60" i="8"/>
  <c r="I37" i="9"/>
  <c r="M89" i="8"/>
  <c r="D11" i="9"/>
  <c r="M12" i="8"/>
  <c r="B49" i="9"/>
  <c r="C51" i="9"/>
  <c r="N14" i="8"/>
  <c r="I33" i="9"/>
  <c r="G43" i="9"/>
  <c r="F27" i="10" s="1"/>
  <c r="M85" i="8"/>
  <c r="N17" i="8"/>
  <c r="C54" i="9"/>
  <c r="H64" i="9"/>
  <c r="N92" i="8"/>
  <c r="M27" i="8"/>
  <c r="D26" i="9"/>
  <c r="B65" i="9"/>
  <c r="H53" i="9"/>
  <c r="M93" i="8"/>
  <c r="I41" i="9"/>
  <c r="H58" i="9"/>
  <c r="D17" i="9"/>
  <c r="M18" i="8"/>
  <c r="B55" i="9"/>
  <c r="H67" i="9"/>
  <c r="N18" i="8"/>
  <c r="C55" i="9"/>
  <c r="M94" i="8"/>
  <c r="I42" i="9"/>
  <c r="B30" i="9"/>
  <c r="B17" i="10" s="1"/>
  <c r="N42" i="8"/>
  <c r="M67" i="8"/>
  <c r="G55" i="9"/>
  <c r="M40" i="8"/>
  <c r="D36" i="9"/>
  <c r="D25" i="9"/>
  <c r="B52" i="9"/>
  <c r="M15" i="8"/>
  <c r="D14" i="9"/>
  <c r="D22" i="9"/>
  <c r="M23" i="8"/>
  <c r="B60" i="9"/>
  <c r="G67" i="9"/>
  <c r="H60" i="9"/>
  <c r="I12" i="9"/>
  <c r="G50" i="9"/>
  <c r="M63" i="8"/>
  <c r="I27" i="9"/>
  <c r="M74" i="8"/>
  <c r="G66" i="9"/>
  <c r="G53" i="9"/>
  <c r="I15" i="9"/>
  <c r="N24" i="8"/>
  <c r="C61" i="9"/>
  <c r="G54" i="9"/>
  <c r="I16" i="9"/>
  <c r="M90" i="8"/>
  <c r="I38"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J45" i="10"/>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D34" i="10"/>
  <c r="J34" i="10"/>
  <c r="H66" i="4"/>
  <c r="H32" i="10"/>
  <c r="F54" i="10"/>
  <c r="I22" i="4"/>
  <c r="K41" i="10"/>
  <c r="C46" i="10"/>
  <c r="H119" i="4"/>
  <c r="H137" i="4"/>
  <c r="I136" i="4"/>
  <c r="H68" i="4"/>
  <c r="I68" i="4"/>
  <c r="I38" i="4"/>
  <c r="K43" i="10"/>
  <c r="I10" i="4"/>
  <c r="H135" i="4"/>
  <c r="H12" i="4"/>
  <c r="J26" i="10"/>
  <c r="L26" i="10" s="1"/>
  <c r="D26" i="10"/>
  <c r="I34" i="4"/>
  <c r="H9" i="10"/>
  <c r="J9" i="10"/>
  <c r="L9" i="10" s="1"/>
  <c r="J49" i="10"/>
  <c r="L49" i="10" s="1"/>
  <c r="D49" i="10"/>
  <c r="D21" i="10"/>
  <c r="J21" i="10"/>
  <c r="I39" i="4"/>
  <c r="I27"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24" i="9"/>
  <c r="M33" i="9"/>
  <c r="L21" i="9"/>
  <c r="M29" i="9"/>
  <c r="L19" i="9"/>
  <c r="L10" i="9"/>
  <c r="L39" i="9"/>
  <c r="L26" i="9"/>
  <c r="O34" i="9"/>
  <c r="M38" i="9"/>
  <c r="O21" i="9"/>
  <c r="M9" i="9"/>
  <c r="M18" i="9"/>
  <c r="L40" i="9"/>
  <c r="O12" i="9"/>
  <c r="N26" i="9"/>
  <c r="M37" i="9"/>
  <c r="N34" i="9"/>
  <c r="N24" i="9"/>
  <c r="O19" i="9"/>
  <c r="M40" i="9"/>
  <c r="L28" i="9"/>
  <c r="L25" i="9"/>
  <c r="N35" i="9"/>
  <c r="N33" i="9"/>
  <c r="O40" i="9"/>
  <c r="L36" i="9"/>
  <c r="O11" i="9"/>
  <c r="O33" i="9"/>
  <c r="L11" i="9"/>
  <c r="L17" i="9"/>
  <c r="M23" i="9"/>
  <c r="L35" i="9"/>
  <c r="O9" i="9"/>
  <c r="N10" i="9"/>
  <c r="L41" i="9"/>
  <c r="N27" i="9"/>
  <c r="M16" i="9"/>
  <c r="O29" i="9"/>
  <c r="N42" i="9"/>
  <c r="M27" i="9"/>
  <c r="O36" i="9"/>
  <c r="N22" i="9"/>
  <c r="O26" i="9"/>
  <c r="N39" i="9"/>
  <c r="N36" i="9"/>
  <c r="N16" i="9"/>
  <c r="L12" i="9"/>
  <c r="O35" i="9"/>
  <c r="M39" i="9"/>
  <c r="M12" i="9"/>
  <c r="M19" i="9"/>
  <c r="L22" i="9"/>
  <c r="M34" i="9"/>
  <c r="L38" i="9"/>
  <c r="N37" i="9"/>
  <c r="L29" i="9"/>
  <c r="N20" i="9"/>
  <c r="O16" i="9"/>
  <c r="O42" i="9"/>
  <c r="O18" i="9"/>
  <c r="N11" i="9"/>
  <c r="O28" i="9"/>
  <c r="M24" i="9"/>
  <c r="O20" i="9"/>
  <c r="L33" i="9"/>
  <c r="L23" i="9"/>
  <c r="O23" i="9"/>
  <c r="L18" i="9"/>
  <c r="M36" i="9"/>
  <c r="O15" i="9"/>
  <c r="N23" i="9"/>
  <c r="N12" i="9"/>
  <c r="L34" i="9"/>
  <c r="L16" i="9"/>
  <c r="N13" i="9"/>
  <c r="N40" i="9"/>
  <c r="N25" i="9"/>
  <c r="N17" i="9"/>
  <c r="O41" i="9"/>
  <c r="O27" i="9"/>
  <c r="M11" i="9"/>
  <c r="O14" i="9"/>
  <c r="L27" i="9"/>
  <c r="M28" i="9"/>
  <c r="L20" i="9"/>
  <c r="O38" i="9"/>
  <c r="N41" i="9"/>
  <c r="O25" i="9"/>
  <c r="N29" i="9"/>
  <c r="O39" i="9"/>
  <c r="M10" i="9"/>
  <c r="M41" i="9"/>
  <c r="O37" i="9"/>
  <c r="L15" i="9"/>
  <c r="O24" i="9"/>
  <c r="M35" i="9"/>
  <c r="N19" i="9"/>
  <c r="M26" i="9"/>
  <c r="L42" i="9"/>
  <c r="N9" i="9"/>
  <c r="M25" i="9"/>
  <c r="N18" i="9"/>
  <c r="O17" i="9"/>
  <c r="N21" i="9"/>
  <c r="L37" i="9"/>
  <c r="L14" i="9"/>
  <c r="L13" i="9"/>
  <c r="N28" i="9"/>
  <c r="M22" i="9"/>
  <c r="M13" i="9"/>
  <c r="M20" i="9"/>
  <c r="M14" i="9"/>
  <c r="L9" i="9"/>
  <c r="M42" i="9"/>
  <c r="M21" i="9"/>
  <c r="O13" i="9"/>
  <c r="M15" i="9"/>
  <c r="N14" i="9"/>
  <c r="N38" i="9"/>
  <c r="O10" i="9"/>
  <c r="O22" i="9"/>
  <c r="M17" i="9"/>
  <c r="N15" i="9"/>
  <c r="M7" i="72" l="1"/>
  <c r="M7" i="22"/>
  <c r="J25" i="4"/>
  <c r="M33" i="18"/>
  <c r="M33" i="35"/>
  <c r="M33" i="33"/>
  <c r="M33" i="20"/>
  <c r="M33" i="37"/>
  <c r="M33" i="29"/>
  <c r="M35" i="37"/>
  <c r="M35" i="18"/>
  <c r="M22" i="37"/>
  <c r="M22" i="18"/>
  <c r="M29" i="37"/>
  <c r="M29" i="18"/>
  <c r="M135" i="37"/>
  <c r="M37" i="37"/>
  <c r="M66" i="37"/>
  <c r="M66" i="18"/>
  <c r="M111" i="37"/>
  <c r="M111" i="18"/>
  <c r="M10" i="37"/>
  <c r="M10" i="18"/>
  <c r="M75" i="37"/>
  <c r="M134" i="37"/>
  <c r="M36" i="37"/>
  <c r="M12" i="37"/>
  <c r="M12" i="18"/>
  <c r="M89" i="37"/>
  <c r="M89" i="18"/>
  <c r="M87" i="37"/>
  <c r="M87" i="18"/>
  <c r="M25" i="37"/>
  <c r="M25" i="18"/>
  <c r="M11" i="37"/>
  <c r="M11" i="18"/>
  <c r="M7" i="37"/>
  <c r="M7" i="18"/>
  <c r="M34" i="37"/>
  <c r="M34" i="18"/>
  <c r="M119" i="37"/>
  <c r="M119" i="18"/>
  <c r="M68" i="37"/>
  <c r="M68" i="18"/>
  <c r="M96" i="37"/>
  <c r="L24" i="10"/>
  <c r="L14" i="10"/>
  <c r="J75" i="4"/>
  <c r="J96" i="4"/>
  <c r="L15" i="10"/>
  <c r="L48" i="9"/>
  <c r="L68" i="9"/>
  <c r="N55" i="9"/>
  <c r="M43" i="9"/>
  <c r="M66" i="9"/>
  <c r="O65" i="9"/>
  <c r="L51" i="9"/>
  <c r="M48" i="9"/>
  <c r="M53" i="9"/>
  <c r="O53" i="9"/>
  <c r="N58" i="9"/>
  <c r="O68" i="9"/>
  <c r="O52" i="9"/>
  <c r="M58" i="9"/>
  <c r="N53" i="9"/>
  <c r="N50" i="9"/>
  <c r="O67" i="9"/>
  <c r="M65" i="9"/>
  <c r="L53" i="9"/>
  <c r="L62" i="9"/>
  <c r="L55" i="9"/>
  <c r="L61" i="9"/>
  <c r="M57" i="9"/>
  <c r="L67" i="9"/>
  <c r="M30" i="9"/>
  <c r="O51" i="9"/>
  <c r="L43" i="9"/>
  <c r="L50" i="9"/>
  <c r="O64" i="9"/>
  <c r="L47" i="9"/>
  <c r="N60" i="9"/>
  <c r="M68" i="9"/>
  <c r="N30" i="9"/>
  <c r="M59" i="9"/>
  <c r="O43" i="9"/>
  <c r="N52" i="9"/>
  <c r="O48" i="9"/>
  <c r="O47" i="9"/>
  <c r="L58" i="9"/>
  <c r="M60" i="9"/>
  <c r="N64" i="9"/>
  <c r="N68" i="9"/>
  <c r="M61" i="9"/>
  <c r="O61" i="9"/>
  <c r="N66" i="9"/>
  <c r="O56" i="9"/>
  <c r="L59" i="9"/>
  <c r="L66" i="9"/>
  <c r="L54" i="9"/>
  <c r="N62" i="9"/>
  <c r="N51" i="9"/>
  <c r="L64" i="9"/>
  <c r="O58" i="9"/>
  <c r="O57" i="9"/>
  <c r="O66" i="9"/>
  <c r="L56" i="9"/>
  <c r="O62" i="9"/>
  <c r="N48" i="9"/>
  <c r="L57" i="9"/>
  <c r="N47" i="9"/>
  <c r="M67" i="9"/>
  <c r="N61" i="9"/>
  <c r="M51" i="9"/>
  <c r="M64" i="9"/>
  <c r="O30" i="9"/>
  <c r="M55" i="9"/>
  <c r="M56" i="9"/>
  <c r="L60" i="9"/>
  <c r="M47" i="9"/>
  <c r="N67" i="9"/>
  <c r="O60" i="9"/>
  <c r="N49" i="9"/>
  <c r="O54" i="9"/>
  <c r="M54" i="9"/>
  <c r="L65" i="9"/>
  <c r="M50" i="9"/>
  <c r="M52" i="9"/>
  <c r="N43" i="9"/>
  <c r="N59" i="9"/>
  <c r="N54" i="9"/>
  <c r="M49" i="9"/>
  <c r="N57" i="9"/>
  <c r="N56" i="9"/>
  <c r="L30" i="9"/>
  <c r="M62" i="9"/>
  <c r="L52" i="9"/>
  <c r="O55" i="9"/>
  <c r="O50" i="9"/>
  <c r="O49" i="9"/>
  <c r="N65" i="9"/>
  <c r="O59" i="9"/>
  <c r="L49" i="9"/>
  <c r="L42" i="10"/>
  <c r="J11" i="4"/>
  <c r="M11" i="13"/>
  <c r="M11" i="33"/>
  <c r="M11" i="23"/>
  <c r="M11" i="29"/>
  <c r="M11" i="35"/>
  <c r="J10" i="4"/>
  <c r="M10" i="20"/>
  <c r="M10" i="23"/>
  <c r="M10" i="13"/>
  <c r="M10" i="24"/>
  <c r="M10" i="35"/>
  <c r="M10" i="51"/>
  <c r="M10" i="41"/>
  <c r="M10" i="29"/>
  <c r="M10" i="33"/>
  <c r="M68" i="20"/>
  <c r="M68" i="13"/>
  <c r="M68" i="27"/>
  <c r="M68" i="23"/>
  <c r="M68" i="29"/>
  <c r="M68" i="35"/>
  <c r="M68" i="33"/>
  <c r="M136" i="26"/>
  <c r="M119" i="23"/>
  <c r="M119" i="20"/>
  <c r="M119" i="27"/>
  <c r="M119" i="13"/>
  <c r="M119" i="35"/>
  <c r="M119" i="29"/>
  <c r="M119" i="33"/>
  <c r="M111" i="23"/>
  <c r="M111" i="20"/>
  <c r="M111" i="27"/>
  <c r="M111" i="35"/>
  <c r="M111" i="29"/>
  <c r="M111" i="13"/>
  <c r="M111" i="34"/>
  <c r="M111" i="33"/>
  <c r="J7" i="4"/>
  <c r="M7" i="19"/>
  <c r="M7" i="13"/>
  <c r="M7" i="23"/>
  <c r="M7" i="25"/>
  <c r="M7" i="20"/>
  <c r="M7" i="24"/>
  <c r="M7" i="29"/>
  <c r="M7" i="41"/>
  <c r="M7" i="51"/>
  <c r="M7" i="35"/>
  <c r="M7" i="33"/>
  <c r="J22" i="4"/>
  <c r="M22" i="20"/>
  <c r="M22" i="13"/>
  <c r="M22" i="24"/>
  <c r="M22" i="51"/>
  <c r="M22" i="23"/>
  <c r="M22" i="29"/>
  <c r="M22" i="35"/>
  <c r="M22" i="33"/>
  <c r="M29" i="23"/>
  <c r="M29" i="13"/>
  <c r="M29" i="29"/>
  <c r="M29" i="35"/>
  <c r="M29" i="24"/>
  <c r="M29" i="20"/>
  <c r="M29" i="33"/>
  <c r="M137" i="26"/>
  <c r="M87" i="13"/>
  <c r="M87" i="20"/>
  <c r="M87" i="23"/>
  <c r="M87" i="27"/>
  <c r="M87" i="33"/>
  <c r="M87" i="29"/>
  <c r="M87" i="35"/>
  <c r="M35" i="13"/>
  <c r="M35" i="23"/>
  <c r="M35" i="29"/>
  <c r="M35" i="35"/>
  <c r="M35" i="33"/>
  <c r="M34" i="13"/>
  <c r="M34" i="23"/>
  <c r="M34" i="29"/>
  <c r="M34" i="35"/>
  <c r="M34" i="33"/>
  <c r="J38" i="4"/>
  <c r="M38" i="13"/>
  <c r="M66" i="13"/>
  <c r="M66" i="20"/>
  <c r="M66" i="27"/>
  <c r="M66" i="35"/>
  <c r="M66" i="33"/>
  <c r="M66" i="23"/>
  <c r="M66" i="29"/>
  <c r="M89" i="20"/>
  <c r="M89" i="13"/>
  <c r="M89" i="23"/>
  <c r="M89" i="27"/>
  <c r="M89" i="29"/>
  <c r="M89" i="35"/>
  <c r="M89" i="33"/>
  <c r="M96" i="33"/>
  <c r="M75" i="33"/>
  <c r="J37" i="4"/>
  <c r="M37" i="13"/>
  <c r="I66" i="9"/>
  <c r="M134" i="26"/>
  <c r="M134" i="34"/>
  <c r="M12" i="13"/>
  <c r="M12" i="23"/>
  <c r="M12" i="29"/>
  <c r="M12" i="35"/>
  <c r="M12" i="33"/>
  <c r="J36" i="4"/>
  <c r="M36" i="13"/>
  <c r="L21" i="10"/>
  <c r="H53" i="10"/>
  <c r="M135" i="26"/>
  <c r="M135" i="34"/>
  <c r="M25" i="23"/>
  <c r="M25" i="13"/>
  <c r="M25" i="20"/>
  <c r="M25" i="29"/>
  <c r="M25" i="33"/>
  <c r="L31" i="10"/>
  <c r="L22" i="10"/>
  <c r="L12" i="10"/>
  <c r="L10" i="10"/>
  <c r="I64" i="9"/>
  <c r="I61" i="9"/>
  <c r="I57" i="9"/>
  <c r="I53" i="9"/>
  <c r="I50" i="9"/>
  <c r="I30" i="9"/>
  <c r="I47" i="9"/>
  <c r="D64" i="9"/>
  <c r="D43" i="9"/>
  <c r="D47" i="9"/>
  <c r="G17" i="10"/>
  <c r="E36" i="9"/>
  <c r="E40" i="9"/>
  <c r="E34" i="9"/>
  <c r="E35" i="9"/>
  <c r="E42" i="9"/>
  <c r="D30" i="9"/>
  <c r="E41" i="9"/>
  <c r="E39" i="9"/>
  <c r="F17" i="10"/>
  <c r="J17" i="10" s="1"/>
  <c r="E38" i="9"/>
  <c r="E37" i="9"/>
  <c r="B27" i="10"/>
  <c r="J27" i="10" s="1"/>
  <c r="J33" i="9"/>
  <c r="E19" i="9"/>
  <c r="C69" i="9"/>
  <c r="E10" i="9"/>
  <c r="J39" i="9"/>
  <c r="E22" i="9"/>
  <c r="J11" i="9"/>
  <c r="E14" i="9"/>
  <c r="G27" i="10"/>
  <c r="H27" i="10" s="1"/>
  <c r="J25" i="9"/>
  <c r="E18" i="9"/>
  <c r="E12" i="9"/>
  <c r="J19" i="9"/>
  <c r="J13" i="9"/>
  <c r="H69" i="9"/>
  <c r="E28" i="9"/>
  <c r="E21" i="9"/>
  <c r="E16" i="9"/>
  <c r="E17" i="9"/>
  <c r="J9" i="9"/>
  <c r="J17" i="9"/>
  <c r="J29" i="9"/>
  <c r="J12" i="9"/>
  <c r="J10" i="9"/>
  <c r="J14" i="9"/>
  <c r="B69" i="9"/>
  <c r="E24" i="9"/>
  <c r="E13" i="9"/>
  <c r="E9" i="9"/>
  <c r="C17" i="10"/>
  <c r="D17" i="10" s="1"/>
  <c r="J26" i="9"/>
  <c r="C27" i="10"/>
  <c r="J21" i="9"/>
  <c r="J15" i="9"/>
  <c r="J18" i="9"/>
  <c r="J16" i="9"/>
  <c r="J24" i="9"/>
  <c r="E29" i="9"/>
  <c r="E11" i="9"/>
  <c r="E20" i="9"/>
  <c r="E23" i="9"/>
  <c r="E25" i="9"/>
  <c r="E26" i="9"/>
  <c r="E27" i="9"/>
  <c r="J22" i="9"/>
  <c r="J27" i="9"/>
  <c r="J28" i="9"/>
  <c r="J20" i="9"/>
  <c r="J40" i="9"/>
  <c r="J41" i="9"/>
  <c r="G69" i="9"/>
  <c r="J34" i="9"/>
  <c r="J35" i="9"/>
  <c r="J38" i="9"/>
  <c r="I43" i="9"/>
  <c r="J36" i="9"/>
  <c r="J42" i="9"/>
  <c r="J119" i="4"/>
  <c r="J137" i="4"/>
  <c r="J135" i="4"/>
  <c r="J111" i="4"/>
  <c r="J12" i="4"/>
  <c r="J66" i="4"/>
  <c r="J35" i="4"/>
  <c r="J134" i="4"/>
  <c r="J34" i="4"/>
  <c r="J136" i="4"/>
  <c r="J68" i="4"/>
  <c r="J89" i="4"/>
  <c r="J87" i="4"/>
  <c r="J29" i="4"/>
  <c r="K53" i="10"/>
  <c r="K55" i="10"/>
  <c r="L44" i="10"/>
  <c r="L23" i="10"/>
  <c r="L30" i="10"/>
  <c r="G57" i="10"/>
  <c r="L32" i="10"/>
  <c r="H54" i="10"/>
  <c r="L3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J68" i="9" l="1"/>
  <c r="J63" i="9"/>
  <c r="E67" i="9"/>
  <c r="E63" i="9"/>
  <c r="L55" i="10"/>
  <c r="M69" i="9"/>
  <c r="O69" i="9"/>
  <c r="L69" i="9"/>
  <c r="N69" i="9"/>
  <c r="L53" i="10"/>
  <c r="J43" i="9"/>
  <c r="J30" i="9"/>
  <c r="I69" i="9"/>
  <c r="E43" i="9"/>
  <c r="D69" i="9"/>
  <c r="H17" i="10"/>
  <c r="E52" i="9"/>
  <c r="D52" i="9" s="1"/>
  <c r="E58" i="9"/>
  <c r="D58" i="9" s="1"/>
  <c r="E51" i="9"/>
  <c r="D51" i="9" s="1"/>
  <c r="E50" i="9"/>
  <c r="D50" i="9" s="1"/>
  <c r="J53" i="9"/>
  <c r="J52" i="9"/>
  <c r="D27" i="10"/>
  <c r="E54" i="9"/>
  <c r="D54" i="9" s="1"/>
  <c r="E60" i="9"/>
  <c r="D60" i="9" s="1"/>
  <c r="E55" i="9"/>
  <c r="D55" i="9" s="1"/>
  <c r="E61" i="9"/>
  <c r="D61" i="9" s="1"/>
  <c r="K27" i="10"/>
  <c r="L27" i="10" s="1"/>
  <c r="J64" i="9"/>
  <c r="J60" i="9"/>
  <c r="I60" i="9" s="1"/>
  <c r="J49" i="9"/>
  <c r="J56" i="9"/>
  <c r="I56" i="9" s="1"/>
  <c r="E56" i="9"/>
  <c r="D56" i="9" s="1"/>
  <c r="E48" i="9"/>
  <c r="D48" i="9" s="1"/>
  <c r="E47" i="9"/>
  <c r="E64" i="9"/>
  <c r="E68" i="9"/>
  <c r="D68" i="9" s="1"/>
  <c r="E65" i="9"/>
  <c r="D65" i="9" s="1"/>
  <c r="E59" i="9"/>
  <c r="D59" i="9" s="1"/>
  <c r="K17" i="10"/>
  <c r="L17" i="10" s="1"/>
  <c r="J59" i="9"/>
  <c r="J48" i="9"/>
  <c r="I48" i="9" s="1"/>
  <c r="J54" i="9"/>
  <c r="I54" i="9" s="1"/>
  <c r="J61" i="9"/>
  <c r="J55" i="9"/>
  <c r="J62" i="9"/>
  <c r="I62" i="9" s="1"/>
  <c r="J50" i="9"/>
  <c r="J57" i="9"/>
  <c r="J67" i="9"/>
  <c r="J47" i="9"/>
  <c r="J58" i="9"/>
  <c r="I58" i="9" s="1"/>
  <c r="J51" i="9"/>
  <c r="J65" i="9"/>
  <c r="I65" i="9" s="1"/>
  <c r="J66" i="9"/>
  <c r="E57" i="9"/>
  <c r="D57" i="9" s="1"/>
  <c r="E62" i="9"/>
  <c r="D62" i="9" s="1"/>
  <c r="E49" i="9"/>
  <c r="D49" i="9" s="1"/>
  <c r="E53" i="9"/>
  <c r="D53" i="9" s="1"/>
  <c r="E66" i="9"/>
  <c r="D66" i="9" s="1"/>
  <c r="E30" i="9"/>
  <c r="K57" i="10"/>
  <c r="H57" i="10"/>
  <c r="L46" i="10"/>
  <c r="L35" i="10"/>
  <c r="L54" i="10"/>
  <c r="J57" i="10"/>
  <c r="D57" i="10"/>
  <c r="L52" i="10"/>
  <c r="J69" i="9" l="1"/>
  <c r="E69" i="9"/>
  <c r="L57" i="10"/>
</calcChain>
</file>

<file path=xl/sharedStrings.xml><?xml version="1.0" encoding="utf-8"?>
<sst xmlns="http://schemas.openxmlformats.org/spreadsheetml/2006/main" count="5510" uniqueCount="424">
  <si>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</si>
  <si>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</si>
  <si>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</si>
  <si>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</si>
  <si>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</si>
  <si>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</si>
  <si>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</si>
  <si>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</si>
  <si>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</si>
  <si>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</si>
  <si>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</si>
  <si>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</si>
  <si>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</si>
  <si>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</si>
  <si>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</si>
  <si>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</si>
  <si>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</si>
  <si>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</si>
  <si>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</si>
  <si>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</si>
  <si>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</si>
  <si>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</si>
  <si>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</si>
  <si>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</si>
  <si>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</si>
  <si>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</si>
  <si>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</si>
  <si>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</si>
  <si>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</si>
  <si>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</si>
  <si>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</si>
  <si>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</si>
  <si>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</si>
  <si>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</si>
  <si>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</si>
  <si>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</si>
  <si>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</si>
  <si>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</si>
  <si>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</si>
  <si>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</si>
  <si>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</si>
  <si>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</si>
  <si>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</si>
  <si>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</si>
  <si>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</si>
  <si>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</si>
  <si>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</si>
  <si>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</si>
  <si>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</si>
  <si>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</si>
  <si>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</si>
  <si>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</si>
  <si>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</si>
  <si>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</si>
  <si>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</si>
  <si>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</si>
  <si>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</si>
  <si>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</si>
  <si>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</si>
  <si>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</si>
  <si>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</si>
  <si>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</si>
  <si>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</si>
  <si>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</si>
  <si>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</si>
  <si>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</si>
  <si>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</si>
  <si>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</si>
  <si>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</si>
  <si>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</si>
  <si>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</si>
  <si>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</si>
  <si>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</si>
  <si>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</si>
  <si>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</si>
  <si>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</si>
  <si>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</si>
  <si>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</si>
  <si>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</si>
  <si>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</si>
  <si>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</si>
  <si>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</si>
  <si>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</si>
  <si>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</si>
  <si>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</si>
  <si>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</si>
  <si>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</si>
  <si>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</si>
  <si>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</si>
  <si>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</si>
  <si>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</si>
  <si>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</si>
  <si>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</si>
  <si>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</si>
  <si>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</si>
  <si>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</si>
  <si>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</si>
  <si>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</si>
  <si>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</si>
  <si>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</si>
  <si>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</si>
  <si>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</si>
  <si>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</si>
  <si>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</si>
  <si>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</si>
  <si>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</si>
  <si>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</si>
  <si>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</si>
  <si>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</si>
  <si>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</si>
  <si>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</si>
  <si>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</si>
  <si>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</si>
  <si>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</si>
  <si>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</si>
  <si>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</si>
  <si>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</si>
  <si>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</si>
  <si>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</si>
  <si>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</si>
  <si>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</si>
  <si>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</si>
  <si>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</si>
  <si>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</si>
  <si>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</si>
  <si>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</si>
  <si>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</si>
  <si>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</si>
  <si>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</si>
  <si>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</si>
  <si>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</si>
  <si>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</si>
  <si>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</si>
  <si>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</si>
  <si>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</si>
  <si>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</si>
  <si>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</si>
  <si>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</si>
  <si>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Telenor Forsikring AS</t>
  </si>
  <si>
    <t>SpareBank 1 Forsikring AS</t>
  </si>
  <si>
    <t>Storebrand ASA</t>
  </si>
  <si>
    <t>KLP Skadeforsikring</t>
  </si>
  <si>
    <t>Selskap</t>
  </si>
  <si>
    <t>Flytting fra andre</t>
  </si>
  <si>
    <t>Flytting til andre</t>
  </si>
  <si>
    <t>Q8</t>
  </si>
  <si>
    <t>Q9</t>
  </si>
  <si>
    <t>Q10</t>
  </si>
  <si>
    <t>Q14</t>
  </si>
  <si>
    <t>Q15</t>
  </si>
  <si>
    <t>Q16</t>
  </si>
  <si>
    <t>R7</t>
  </si>
  <si>
    <t>R8</t>
  </si>
  <si>
    <t>R9</t>
  </si>
  <si>
    <t>R10</t>
  </si>
  <si>
    <t>R14</t>
  </si>
  <si>
    <t>R15</t>
  </si>
  <si>
    <t>R16</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</si>
  <si>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</si>
  <si>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</si>
  <si>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</si>
  <si>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</si>
  <si>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</si>
  <si>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</si>
  <si>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</si>
  <si>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</si>
  <si>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</si>
  <si>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</si>
  <si>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</si>
  <si>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</si>
  <si>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</si>
  <si>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</si>
  <si>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</si>
  <si>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</si>
  <si>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</si>
  <si>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</si>
  <si>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</si>
  <si>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</si>
  <si>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</si>
  <si>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</si>
  <si>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</si>
  <si>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</si>
  <si>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</si>
  <si>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</si>
  <si>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</si>
  <si>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</si>
  <si>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</si>
  <si>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</si>
  <si>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</si>
  <si>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</si>
  <si>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</si>
  <si>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</si>
  <si>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</si>
  <si>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</si>
  <si>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</si>
  <si>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</si>
  <si>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</si>
  <si>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</si>
  <si>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</si>
  <si>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</si>
  <si>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</si>
  <si>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</si>
  <si>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</si>
  <si>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</si>
  <si>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</si>
  <si>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</si>
  <si>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</si>
  <si>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</si>
  <si>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</si>
  <si>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</si>
  <si>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</si>
  <si>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</si>
  <si>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</si>
  <si>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</si>
  <si>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</si>
  <si>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</si>
  <si>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</si>
  <si>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</si>
  <si>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</si>
  <si>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</si>
  <si>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</si>
  <si>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</si>
  <si>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</si>
  <si>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</si>
  <si>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</si>
  <si>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</si>
  <si>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</si>
  <si>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</si>
  <si>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</si>
  <si>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</si>
  <si>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</si>
  <si>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</si>
  <si>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</si>
  <si>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</si>
  <si>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</si>
  <si>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</si>
  <si>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</si>
  <si>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</si>
  <si>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</si>
  <si>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</si>
  <si>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</si>
  <si>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</si>
  <si>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</si>
  <si>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</si>
  <si>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</si>
  <si>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</si>
  <si>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</si>
  <si>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</si>
  <si>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</si>
  <si>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</si>
  <si>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</si>
  <si>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</si>
  <si>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</si>
  <si>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</si>
  <si>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</si>
  <si>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</si>
  <si>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</si>
  <si>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</si>
  <si>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</si>
  <si>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</si>
  <si>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</si>
  <si>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</si>
  <si>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</si>
  <si>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</si>
  <si>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</si>
  <si>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</si>
  <si>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</si>
  <si>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</si>
  <si>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</si>
  <si>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</si>
  <si>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</si>
  <si>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</si>
  <si>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</si>
  <si>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</si>
  <si>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</si>
  <si>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</si>
  <si>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</si>
  <si>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</si>
  <si>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</si>
  <si>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</si>
  <si>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</si>
  <si>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</si>
  <si>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</si>
  <si>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</si>
  <si>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</si>
  <si>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</si>
  <si>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</si>
  <si>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</si>
  <si>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</si>
  <si>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</si>
  <si>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</si>
  <si>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</si>
  <si>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</si>
  <si>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</si>
  <si>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</si>
  <si>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</si>
  <si>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</si>
  <si>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</si>
  <si>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</si>
  <si>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</si>
  <si>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</si>
  <si>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</si>
  <si>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</si>
  <si>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</si>
  <si>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</si>
  <si>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</si>
  <si>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</si>
  <si>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</si>
  <si>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</si>
  <si>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</si>
  <si>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</si>
  <si>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</si>
  <si>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</si>
  <si>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</si>
  <si>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</si>
  <si>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</si>
  <si>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</si>
  <si>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</si>
  <si>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</si>
  <si>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</si>
  <si>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</si>
  <si>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</si>
  <si>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</si>
  <si>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</si>
  <si>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</si>
  <si>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</si>
  <si>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</si>
  <si>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</si>
  <si>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</si>
  <si>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</si>
  <si>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</si>
  <si>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</si>
  <si>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</si>
  <si>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</si>
  <si>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</si>
  <si>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</si>
  <si>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</si>
  <si>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</si>
  <si>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</si>
  <si>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</si>
  <si>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</si>
  <si>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</si>
  <si>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</si>
  <si>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</si>
  <si>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</si>
  <si>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</si>
  <si>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</si>
  <si>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</si>
  <si>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</si>
  <si>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</si>
  <si>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</si>
  <si>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</si>
  <si>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</si>
  <si>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</si>
  <si>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</si>
  <si>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</si>
  <si>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</si>
  <si>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</si>
  <si>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</si>
  <si>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</si>
  <si>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</si>
  <si>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</si>
  <si>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</si>
  <si>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</si>
  <si>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</si>
  <si>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</si>
  <si>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</si>
  <si>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</si>
  <si>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 xml:space="preserve">    13.5 Andre tekniske avsetninger for skadeforsikringsvirksomheten</t>
  </si>
  <si>
    <t xml:space="preserve">    5.2 Overføring av premieres., tilleggsavsetn. til andre selskap/kasser</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</si>
  <si>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</si>
  <si>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</si>
  <si>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</si>
  <si>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</si>
  <si>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</si>
  <si>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</si>
  <si>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</si>
  <si>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</si>
  <si>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</si>
  <si>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</si>
  <si>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</si>
  <si>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</si>
  <si>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</si>
  <si>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</si>
  <si>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</si>
  <si>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</si>
  <si>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</si>
  <si>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</si>
  <si>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</si>
  <si>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</si>
  <si>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</si>
  <si>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</si>
  <si>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</si>
  <si>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</si>
  <si>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   Herav pensjonskapitalbevis </t>
    </r>
    <r>
      <rPr>
        <vertAlign val="superscript"/>
        <sz val="10"/>
        <rFont val="Times New Roman"/>
        <family val="1"/>
      </rPr>
      <t>14</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</si>
  <si>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</si>
  <si>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</si>
  <si>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</si>
  <si>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</si>
  <si>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</si>
  <si>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</si>
  <si>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</si>
  <si>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</si>
  <si>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</si>
  <si>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13.4 Premiefond, innskuddsfond og fond for regulering av pensjoner mv.</t>
  </si>
  <si>
    <t xml:space="preserve">    14.1 Premiekapital mv.</t>
  </si>
  <si>
    <t xml:space="preserve">    14.2 Tilleggsavsetninger</t>
  </si>
  <si>
    <t xml:space="preserve">    14.3 Premiefond, innskuddsfond og fond for regulering av pensjoner mv.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</si>
  <si>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</si>
  <si>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</si>
  <si>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</si>
  <si>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</si>
  <si>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</si>
  <si>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31.03.</t>
  </si>
  <si>
    <t/>
  </si>
  <si>
    <t>Landkreditt Forsikring</t>
  </si>
  <si>
    <t>31.3.2018</t>
  </si>
  <si>
    <t>31.3.2019</t>
  </si>
  <si>
    <t>Figur 1  Brutto forfalt premie livprodukter  -  produkter uten investeringsvalg pr. 31.03.</t>
  </si>
  <si>
    <t>Figur 2  Brutto forfalt premie livprodukter  -  produkter med investeringsvalg pr. 31.03.</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</si>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</sst>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0.000"/>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9">
    <xf numFmtId="0" fontId="0" fillId="0" borderId="0"/>
    <xf numFmtId="0" fontId="19" fillId="0" borderId="0"/>
    <xf numFmtId="164"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0" fillId="0" borderId="0" applyFont="0" applyFill="0" applyBorder="0" applyAlignment="0" applyProtection="0"/>
    <xf numFmtId="164" fontId="19" fillId="0" borderId="0" applyFont="0" applyFill="0" applyBorder="0" applyAlignment="0" applyProtection="0"/>
    <xf numFmtId="0" fontId="10" fillId="0" borderId="0"/>
    <xf numFmtId="0" fontId="19" fillId="0" borderId="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9" fillId="0" borderId="0"/>
    <xf numFmtId="164" fontId="19"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164" fontId="25" fillId="0" borderId="0" applyFont="0" applyFill="0" applyBorder="0" applyAlignment="0" applyProtection="0"/>
    <xf numFmtId="0" fontId="10"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0" fontId="2" fillId="0" borderId="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7" borderId="0" applyNumberFormat="0" applyBorder="0" applyAlignment="0" applyProtection="0"/>
    <xf numFmtId="0" fontId="14" fillId="0" borderId="0"/>
    <xf numFmtId="171" fontId="15" fillId="0" borderId="7" applyFont="0" applyFill="0" applyBorder="0" applyAlignment="0" applyProtection="0">
      <alignment horizontal="right"/>
    </xf>
    <xf numFmtId="164" fontId="19" fillId="0" borderId="0" applyFont="0" applyFill="0" applyBorder="0" applyAlignment="0" applyProtection="0"/>
    <xf numFmtId="0" fontId="19" fillId="0" borderId="0"/>
  </cellStyleXfs>
  <cellXfs count="715">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5"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5" fontId="15" fillId="3" borderId="5" xfId="1" applyNumberFormat="1" applyFont="1" applyFill="1" applyBorder="1" applyAlignment="1">
      <alignment horizontal="right"/>
    </xf>
    <xf numFmtId="0" fontId="17" fillId="0" borderId="6" xfId="1" applyFont="1" applyBorder="1"/>
    <xf numFmtId="165"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14" fontId="16" fillId="0" borderId="4" xfId="1" applyNumberFormat="1" applyFont="1" applyBorder="1" applyAlignment="1">
      <alignment horizontal="center"/>
    </xf>
    <xf numFmtId="0" fontId="17" fillId="0" borderId="3" xfId="1" applyFont="1" applyBorder="1"/>
    <xf numFmtId="165" fontId="17" fillId="3" borderId="6" xfId="1" applyNumberFormat="1" applyFont="1" applyFill="1" applyBorder="1" applyAlignment="1">
      <alignment horizontal="right"/>
    </xf>
    <xf numFmtId="165" fontId="17" fillId="3" borderId="3" xfId="1" applyNumberFormat="1" applyFont="1" applyFill="1" applyBorder="1" applyAlignment="1">
      <alignment horizontal="right"/>
    </xf>
    <xf numFmtId="165" fontId="15" fillId="3" borderId="3" xfId="1" applyNumberFormat="1" applyFont="1" applyFill="1" applyBorder="1" applyAlignment="1">
      <alignment horizontal="right"/>
    </xf>
    <xf numFmtId="165" fontId="17" fillId="0" borderId="0" xfId="1" applyNumberFormat="1" applyFont="1" applyBorder="1"/>
    <xf numFmtId="3" fontId="17" fillId="0" borderId="0" xfId="1" applyNumberFormat="1" applyFont="1" applyBorder="1"/>
    <xf numFmtId="165"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5"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5"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5"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7" fontId="45" fillId="0" borderId="7" xfId="0" applyNumberFormat="1" applyFont="1" applyBorder="1" applyAlignment="1">
      <alignment horizontal="left"/>
    </xf>
    <xf numFmtId="0" fontId="45" fillId="0" borderId="2" xfId="0" applyFont="1" applyBorder="1" applyAlignment="1">
      <alignment horizontal="center"/>
    </xf>
    <xf numFmtId="167"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7"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0" fontId="0" fillId="0" borderId="0" xfId="0"/>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7"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165" fontId="55" fillId="7" borderId="3" xfId="844" applyNumberFormat="1" applyFont="1" applyBorder="1" applyAlignment="1">
      <alignment horizontal="right"/>
    </xf>
    <xf numFmtId="3" fontId="45" fillId="0" borderId="2" xfId="0" applyNumberFormat="1" applyFont="1" applyBorder="1"/>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8" fontId="17" fillId="0" borderId="0" xfId="1" applyNumberFormat="1" applyFont="1" applyFill="1" applyBorder="1" applyAlignment="1">
      <alignment horizontal="center"/>
    </xf>
    <xf numFmtId="168" fontId="17" fillId="3" borderId="3" xfId="1" applyNumberFormat="1" applyFont="1" applyFill="1" applyBorder="1" applyAlignment="1">
      <alignment horizontal="right"/>
    </xf>
    <xf numFmtId="168"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7" fontId="15" fillId="0" borderId="4" xfId="0" applyNumberFormat="1" applyFont="1" applyBorder="1" applyAlignment="1">
      <alignment horizontal="center"/>
    </xf>
    <xf numFmtId="167" fontId="15" fillId="0" borderId="11" xfId="0" applyNumberFormat="1" applyFont="1" applyBorder="1" applyAlignment="1">
      <alignment horizontal="center"/>
    </xf>
    <xf numFmtId="0" fontId="15" fillId="0" borderId="5" xfId="0" applyFont="1" applyBorder="1" applyAlignment="1">
      <alignment horizontal="center"/>
    </xf>
    <xf numFmtId="165" fontId="45" fillId="0" borderId="4" xfId="0" applyNumberFormat="1" applyFont="1" applyBorder="1" applyAlignment="1">
      <alignment horizontal="right"/>
    </xf>
    <xf numFmtId="165" fontId="45" fillId="0" borderId="3" xfId="0" applyNumberFormat="1" applyFont="1" applyBorder="1" applyAlignment="1">
      <alignment horizontal="right"/>
    </xf>
    <xf numFmtId="165" fontId="30" fillId="0" borderId="4" xfId="0" applyNumberFormat="1" applyFont="1" applyBorder="1" applyAlignment="1">
      <alignment horizontal="right"/>
    </xf>
    <xf numFmtId="165" fontId="30" fillId="0" borderId="3" xfId="0" applyNumberFormat="1" applyFont="1" applyBorder="1" applyAlignment="1">
      <alignment horizontal="right"/>
    </xf>
    <xf numFmtId="165"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5" fontId="30" fillId="0" borderId="11" xfId="0" applyNumberFormat="1" applyFont="1" applyBorder="1" applyAlignment="1">
      <alignment horizontal="right"/>
    </xf>
    <xf numFmtId="165"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42" fillId="9" borderId="0" xfId="0" applyFont="1" applyFill="1"/>
    <xf numFmtId="0" fontId="66"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7" fillId="0" borderId="4" xfId="1" applyNumberFormat="1" applyFont="1" applyFill="1" applyBorder="1" applyAlignment="1">
      <alignment horizontal="right"/>
    </xf>
    <xf numFmtId="3" fontId="67" fillId="0" borderId="3" xfId="1" applyNumberFormat="1" applyFont="1" applyFill="1" applyBorder="1" applyAlignment="1">
      <alignment horizontal="right"/>
    </xf>
    <xf numFmtId="3" fontId="67" fillId="0" borderId="11" xfId="1" applyNumberFormat="1" applyFont="1" applyFill="1" applyBorder="1" applyAlignment="1">
      <alignment horizontal="right"/>
    </xf>
    <xf numFmtId="3" fontId="67"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0" borderId="3"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2" xfId="1" quotePrefix="1" applyNumberFormat="1" applyFont="1" applyFill="1" applyBorder="1" applyAlignment="1">
      <alignment horizontal="right"/>
    </xf>
    <xf numFmtId="0" fontId="56"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8" fillId="0" borderId="0" xfId="0" applyFont="1" applyAlignment="1">
      <alignment horizontal="left" vertical="center" readingOrder="1"/>
    </xf>
    <xf numFmtId="0" fontId="17" fillId="0" borderId="0" xfId="1" applyFont="1" applyFill="1" applyBorder="1" applyAlignment="1">
      <alignment horizontal="left"/>
    </xf>
    <xf numFmtId="0" fontId="71" fillId="0" borderId="0" xfId="1" applyFont="1" applyFill="1" applyAlignment="1">
      <alignment horizontal="left"/>
    </xf>
    <xf numFmtId="0" fontId="18" fillId="0" borderId="0" xfId="1" applyFont="1" applyFill="1"/>
    <xf numFmtId="0" fontId="42" fillId="9" borderId="0" xfId="3" applyFont="1" applyFill="1" applyAlignment="1" applyProtection="1"/>
    <xf numFmtId="0" fontId="64" fillId="0" borderId="0" xfId="0" applyFont="1" applyFill="1"/>
    <xf numFmtId="0" fontId="65"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3" fillId="0" borderId="0" xfId="1" applyFont="1" applyBorder="1" applyAlignment="1">
      <alignment horizontal="left"/>
    </xf>
    <xf numFmtId="3" fontId="67" fillId="0" borderId="2" xfId="1" applyNumberFormat="1" applyFont="1" applyFill="1" applyBorder="1" applyAlignment="1">
      <alignment horizontal="right"/>
    </xf>
    <xf numFmtId="3" fontId="59" fillId="0" borderId="2" xfId="1" applyNumberFormat="1" applyFont="1" applyFill="1" applyBorder="1" applyAlignment="1">
      <alignment horizontal="right"/>
    </xf>
    <xf numFmtId="0" fontId="72" fillId="0" borderId="0" xfId="0" applyFont="1" applyFill="1" applyAlignment="1">
      <alignment horizontal="left" vertical="center" readingOrder="1"/>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5" fontId="30" fillId="0" borderId="3" xfId="0" applyNumberFormat="1" applyFont="1" applyBorder="1"/>
    <xf numFmtId="165" fontId="45" fillId="0" borderId="3" xfId="0" applyNumberFormat="1" applyFont="1" applyBorder="1"/>
    <xf numFmtId="165" fontId="30" fillId="0" borderId="3" xfId="0" applyNumberFormat="1" applyFont="1" applyFill="1" applyBorder="1"/>
    <xf numFmtId="165" fontId="45" fillId="0" borderId="6" xfId="0" applyNumberFormat="1" applyFont="1" applyBorder="1"/>
    <xf numFmtId="165" fontId="15" fillId="0" borderId="6" xfId="1" applyNumberFormat="1" applyFont="1" applyBorder="1" applyAlignment="1">
      <alignment horizontal="center"/>
    </xf>
    <xf numFmtId="165" fontId="17" fillId="3" borderId="0" xfId="1" applyNumberFormat="1" applyFont="1" applyFill="1" applyBorder="1" applyAlignment="1">
      <alignment horizontal="right"/>
    </xf>
    <xf numFmtId="165"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68" fontId="15" fillId="3" borderId="7" xfId="1" applyNumberFormat="1" applyFont="1" applyFill="1" applyBorder="1" applyAlignment="1">
      <alignment horizontal="right"/>
    </xf>
    <xf numFmtId="168" fontId="15" fillId="3" borderId="3" xfId="1" applyNumberFormat="1" applyFont="1" applyFill="1" applyBorder="1" applyAlignment="1">
      <alignment horizontal="right"/>
    </xf>
    <xf numFmtId="168"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5" fontId="15" fillId="3" borderId="0" xfId="1" applyNumberFormat="1" applyFont="1" applyFill="1" applyBorder="1" applyAlignment="1">
      <alignment horizontal="right"/>
    </xf>
    <xf numFmtId="0" fontId="13" fillId="0" borderId="0" xfId="1" applyFont="1" applyBorder="1" applyAlignment="1">
      <alignment horizontal="center"/>
    </xf>
    <xf numFmtId="3" fontId="60" fillId="4" borderId="3" xfId="0" applyNumberFormat="1" applyFont="1" applyFill="1" applyBorder="1" applyAlignment="1" applyProtection="1">
      <alignment horizontal="right"/>
    </xf>
    <xf numFmtId="3" fontId="60" fillId="4" borderId="3" xfId="0"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169" fontId="15" fillId="0" borderId="6" xfId="0" applyNumberFormat="1" applyFont="1" applyFill="1" applyBorder="1" applyAlignment="1" applyProtection="1">
      <alignment horizontal="center"/>
      <protection locked="0"/>
    </xf>
    <xf numFmtId="3" fontId="60"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1" fillId="0" borderId="0" xfId="0" applyFont="1" applyProtection="1">
      <protection locked="0"/>
    </xf>
    <xf numFmtId="3" fontId="62"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7" fillId="0" borderId="0" xfId="0" applyFont="1" applyProtection="1">
      <protection locked="0"/>
    </xf>
    <xf numFmtId="165" fontId="0" fillId="0" borderId="0" xfId="0" applyNumberFormat="1" applyProtection="1">
      <protection locked="0"/>
    </xf>
    <xf numFmtId="3" fontId="58" fillId="4" borderId="12" xfId="0" applyNumberFormat="1" applyFont="1" applyFill="1" applyBorder="1" applyProtection="1">
      <protection locked="0"/>
    </xf>
    <xf numFmtId="3" fontId="59" fillId="4" borderId="0" xfId="0" applyNumberFormat="1" applyFont="1" applyFill="1" applyBorder="1" applyProtection="1">
      <protection locked="0"/>
    </xf>
    <xf numFmtId="165"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5"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7"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1" fillId="0" borderId="0" xfId="0" applyFont="1" applyBorder="1" applyProtection="1">
      <protection locked="0"/>
    </xf>
    <xf numFmtId="0" fontId="14" fillId="0" borderId="0" xfId="0" applyFont="1" applyProtection="1">
      <protection locked="0"/>
    </xf>
    <xf numFmtId="0" fontId="63" fillId="0" borderId="0" xfId="0" applyFont="1" applyProtection="1">
      <protection locked="0"/>
    </xf>
    <xf numFmtId="0" fontId="41" fillId="0" borderId="0" xfId="1" applyFont="1" applyProtection="1">
      <protection locked="0"/>
    </xf>
    <xf numFmtId="0" fontId="57"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169"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5" applyNumberFormat="1" applyFont="1" applyFill="1" applyBorder="1" applyAlignment="1" applyProtection="1">
      <alignment horizontal="right"/>
      <protection locked="0"/>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0" fontId="30" fillId="0" borderId="3" xfId="1" applyFont="1" applyBorder="1" applyAlignment="1" applyProtection="1">
      <alignment horizontal="right"/>
      <protection locked="0"/>
    </xf>
    <xf numFmtId="166" fontId="30" fillId="0" borderId="3" xfId="847" applyNumberFormat="1" applyFont="1" applyBorder="1" applyAlignment="1" applyProtection="1">
      <alignment horizontal="right"/>
    </xf>
    <xf numFmtId="166" fontId="30" fillId="0" borderId="3" xfId="847" applyNumberFormat="1" applyFont="1" applyBorder="1" applyAlignment="1" applyProtection="1">
      <alignment horizontal="right"/>
      <protection locked="0"/>
    </xf>
    <xf numFmtId="3" fontId="30" fillId="10" borderId="3" xfId="1" applyNumberFormat="1" applyFont="1" applyFill="1" applyBorder="1" applyAlignment="1" applyProtection="1">
      <alignment horizontal="right"/>
      <protection locked="0"/>
    </xf>
    <xf numFmtId="170" fontId="30" fillId="0" borderId="3" xfId="847" applyNumberFormat="1" applyFont="1" applyBorder="1" applyAlignment="1" applyProtection="1">
      <alignment horizontal="right"/>
    </xf>
    <xf numFmtId="170"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6" fontId="30" fillId="4" borderId="4" xfId="847" applyNumberFormat="1" applyFont="1" applyFill="1" applyBorder="1" applyAlignment="1" applyProtection="1">
      <alignment horizontal="right"/>
    </xf>
    <xf numFmtId="166" fontId="30" fillId="4" borderId="4" xfId="847" applyNumberFormat="1" applyFont="1" applyFill="1" applyBorder="1" applyAlignment="1" applyProtection="1">
      <alignment horizontal="right"/>
      <protection locked="0"/>
    </xf>
    <xf numFmtId="166" fontId="30" fillId="4" borderId="3" xfId="847" applyNumberFormat="1" applyFont="1" applyFill="1" applyBorder="1" applyAlignment="1" applyProtection="1">
      <alignment horizontal="right"/>
    </xf>
    <xf numFmtId="166" fontId="30" fillId="4" borderId="3" xfId="847" applyNumberFormat="1" applyFont="1" applyFill="1" applyBorder="1" applyAlignment="1" applyProtection="1">
      <alignment horizontal="right"/>
      <protection locked="0"/>
    </xf>
    <xf numFmtId="0" fontId="19" fillId="0" borderId="0" xfId="1" applyFont="1" applyFill="1" applyProtection="1">
      <protection locked="0"/>
    </xf>
    <xf numFmtId="0" fontId="45" fillId="0" borderId="11" xfId="1" applyFont="1" applyFill="1" applyBorder="1" applyProtection="1">
      <protection locked="0"/>
    </xf>
    <xf numFmtId="3" fontId="45" fillId="4" borderId="6" xfId="1" applyNumberFormat="1" applyFont="1" applyFill="1" applyBorder="1" applyAlignment="1" applyProtection="1">
      <alignment horizontal="right"/>
      <protection locked="0"/>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0" xfId="1" applyFont="1" applyFill="1" applyProtection="1">
      <protection locked="0"/>
    </xf>
    <xf numFmtId="0" fontId="30" fillId="0" borderId="0" xfId="1" applyFont="1" applyFill="1" applyProtection="1">
      <protection locked="0"/>
    </xf>
    <xf numFmtId="0" fontId="61" fillId="0" borderId="0" xfId="1" applyFont="1" applyBorder="1" applyProtection="1">
      <protection locked="0"/>
    </xf>
    <xf numFmtId="0" fontId="61" fillId="0" borderId="0" xfId="1" applyFont="1" applyProtection="1">
      <protection locked="0"/>
    </xf>
    <xf numFmtId="0" fontId="70" fillId="0" borderId="0" xfId="1" applyFont="1" applyProtection="1">
      <protection locked="0"/>
    </xf>
    <xf numFmtId="0" fontId="70" fillId="0" borderId="0" xfId="1" applyFont="1" applyBorder="1" applyProtection="1">
      <protection locked="0"/>
    </xf>
    <xf numFmtId="4" fontId="70" fillId="0" borderId="0" xfId="1" applyNumberFormat="1" applyFont="1" applyProtection="1">
      <protection locked="0"/>
    </xf>
    <xf numFmtId="3" fontId="70" fillId="0" borderId="0" xfId="1" applyNumberFormat="1" applyFont="1" applyProtection="1">
      <protection locked="0"/>
    </xf>
    <xf numFmtId="3" fontId="30" fillId="0" borderId="11" xfId="7" applyNumberFormat="1" applyFont="1" applyFill="1" applyBorder="1" applyAlignment="1" applyProtection="1">
      <alignment horizontal="right"/>
    </xf>
    <xf numFmtId="3" fontId="30" fillId="0" borderId="11" xfId="7" applyNumberFormat="1" applyFont="1" applyFill="1" applyBorder="1" applyAlignment="1" applyProtection="1">
      <alignment horizontal="right"/>
      <protection locked="0"/>
    </xf>
    <xf numFmtId="0" fontId="19" fillId="0" borderId="0" xfId="1" applyFill="1" applyProtection="1">
      <protection locked="0"/>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0"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Fill="1" applyBorder="1" applyAlignment="1">
      <alignment horizontal="center"/>
    </xf>
    <xf numFmtId="0" fontId="17" fillId="0" borderId="6" xfId="0" applyFont="1" applyFill="1" applyBorder="1"/>
    <xf numFmtId="3" fontId="17" fillId="0" borderId="3" xfId="847" applyNumberFormat="1" applyFont="1" applyBorder="1" applyAlignment="1">
      <alignment horizontal="left"/>
    </xf>
    <xf numFmtId="0" fontId="15" fillId="0" borderId="6" xfId="1" applyFont="1" applyFill="1" applyBorder="1"/>
    <xf numFmtId="3" fontId="17" fillId="0" borderId="3" xfId="847" applyNumberFormat="1" applyFont="1" applyFill="1" applyBorder="1" applyAlignment="1">
      <alignment horizontal="left"/>
    </xf>
    <xf numFmtId="0" fontId="15" fillId="0" borderId="4" xfId="1" applyFont="1" applyFill="1" applyBorder="1"/>
    <xf numFmtId="0" fontId="15" fillId="0" borderId="11" xfId="1" applyFont="1" applyFill="1" applyBorder="1"/>
    <xf numFmtId="0" fontId="45" fillId="2" borderId="3" xfId="0" applyFont="1" applyFill="1" applyBorder="1" applyProtection="1">
      <protection locked="0"/>
    </xf>
    <xf numFmtId="0" fontId="45" fillId="2" borderId="6" xfId="0" applyFont="1" applyFill="1" applyBorder="1" applyProtection="1">
      <protection locked="0"/>
    </xf>
    <xf numFmtId="3" fontId="30" fillId="4" borderId="1" xfId="0" applyNumberFormat="1" applyFont="1" applyFill="1" applyBorder="1" applyAlignment="1" applyProtection="1">
      <alignment horizontal="right"/>
      <protection locked="0"/>
    </xf>
    <xf numFmtId="3" fontId="45" fillId="0" borderId="6" xfId="0" applyNumberFormat="1" applyFont="1" applyFill="1" applyBorder="1" applyAlignment="1" applyProtection="1">
      <alignment horizontal="right"/>
      <protection locked="0"/>
    </xf>
    <xf numFmtId="0" fontId="30" fillId="0" borderId="3" xfId="0" applyFont="1" applyBorder="1" applyAlignment="1" applyProtection="1">
      <alignment horizontal="right"/>
      <protection locked="0"/>
    </xf>
    <xf numFmtId="3" fontId="30" fillId="4" borderId="7" xfId="0" applyNumberFormat="1" applyFont="1" applyFill="1" applyBorder="1" applyAlignment="1" applyProtection="1">
      <alignment horizontal="right"/>
      <protection locked="0"/>
    </xf>
    <xf numFmtId="1" fontId="30" fillId="0" borderId="3" xfId="0" applyNumberFormat="1" applyFont="1" applyBorder="1" applyAlignment="1" applyProtection="1">
      <alignment horizontal="right"/>
      <protection locked="0"/>
    </xf>
    <xf numFmtId="3" fontId="30" fillId="4" borderId="0" xfId="0" applyNumberFormat="1" applyFont="1" applyFill="1" applyBorder="1" applyAlignment="1" applyProtection="1">
      <alignment horizontal="right"/>
      <protection locked="0"/>
    </xf>
    <xf numFmtId="3" fontId="30" fillId="4" borderId="1"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30" fillId="0" borderId="3" xfId="7" applyNumberFormat="1" applyFont="1" applyFill="1" applyBorder="1" applyAlignment="1" applyProtection="1">
      <alignment horizontal="right"/>
    </xf>
    <xf numFmtId="3" fontId="45" fillId="0" borderId="6" xfId="7" applyNumberFormat="1" applyFont="1" applyFill="1" applyBorder="1" applyAlignment="1" applyProtection="1">
      <alignment horizontal="right"/>
    </xf>
    <xf numFmtId="3" fontId="45" fillId="4" borderId="1" xfId="15" applyNumberFormat="1" applyFont="1" applyFill="1" applyBorder="1" applyAlignment="1" applyProtection="1">
      <alignment horizontal="right"/>
    </xf>
    <xf numFmtId="4" fontId="30" fillId="4" borderId="4" xfId="7" applyNumberFormat="1" applyFont="1" applyFill="1" applyBorder="1" applyAlignment="1" applyProtection="1">
      <alignment horizontal="right"/>
      <protection locked="0"/>
    </xf>
    <xf numFmtId="3" fontId="30" fillId="4" borderId="4" xfId="7" applyNumberFormat="1" applyFont="1" applyFill="1" applyBorder="1" applyAlignment="1" applyProtection="1">
      <alignment horizontal="right"/>
      <protection locked="0"/>
    </xf>
    <xf numFmtId="3" fontId="30" fillId="4" borderId="11" xfId="7" applyNumberFormat="1" applyFont="1" applyFill="1" applyBorder="1" applyAlignment="1" applyProtection="1">
      <alignment horizontal="right"/>
      <protection locked="0"/>
    </xf>
    <xf numFmtId="4" fontId="30" fillId="0" borderId="3" xfId="7" applyNumberFormat="1" applyFont="1" applyFill="1" applyBorder="1" applyAlignment="1" applyProtection="1">
      <alignment horizontal="right"/>
      <protection locked="0"/>
    </xf>
    <xf numFmtId="0" fontId="30" fillId="0" borderId="3" xfId="7" applyFont="1" applyBorder="1" applyAlignment="1" applyProtection="1">
      <alignment horizontal="right"/>
    </xf>
    <xf numFmtId="4" fontId="30" fillId="4" borderId="3" xfId="7" applyNumberFormat="1" applyFont="1" applyFill="1" applyBorder="1" applyAlignment="1" applyProtection="1">
      <alignment horizontal="right"/>
      <protection locked="0"/>
    </xf>
    <xf numFmtId="3" fontId="30" fillId="4" borderId="3" xfId="7" applyNumberFormat="1" applyFont="1" applyFill="1" applyBorder="1" applyAlignment="1" applyProtection="1">
      <alignment horizontal="right"/>
      <protection locked="0"/>
    </xf>
    <xf numFmtId="4" fontId="30" fillId="4" borderId="3"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xf>
    <xf numFmtId="3" fontId="30" fillId="4" borderId="6" xfId="7" applyNumberFormat="1" applyFont="1" applyFill="1" applyBorder="1" applyAlignment="1" applyProtection="1">
      <alignment horizontal="right"/>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4" borderId="1" xfId="0" applyNumberFormat="1" applyFont="1" applyFill="1" applyBorder="1" applyAlignment="1" applyProtection="1">
      <alignment horizontal="right"/>
    </xf>
    <xf numFmtId="3" fontId="45" fillId="0" borderId="6" xfId="0" applyNumberFormat="1" applyFont="1" applyFill="1" applyBorder="1" applyAlignment="1" applyProtection="1">
      <alignment horizontal="right"/>
    </xf>
    <xf numFmtId="0" fontId="30" fillId="2" borderId="3" xfId="0" applyFont="1" applyFill="1" applyBorder="1" applyProtection="1"/>
    <xf numFmtId="0" fontId="30" fillId="2" borderId="3" xfId="0" applyFont="1" applyFill="1" applyBorder="1" applyProtection="1">
      <protection locked="0"/>
    </xf>
    <xf numFmtId="0" fontId="30" fillId="2" borderId="6" xfId="0" applyFont="1" applyFill="1" applyBorder="1" applyProtection="1"/>
    <xf numFmtId="0" fontId="30" fillId="2" borderId="6" xfId="0"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30" fillId="0" borderId="3" xfId="0" applyFont="1" applyBorder="1" applyAlignment="1" applyProtection="1">
      <alignment horizontal="right"/>
    </xf>
    <xf numFmtId="3" fontId="30" fillId="4" borderId="7" xfId="0" applyNumberFormat="1" applyFont="1" applyFill="1" applyBorder="1" applyAlignment="1" applyProtection="1">
      <alignment horizontal="right"/>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3" fontId="30" fillId="11" borderId="3" xfId="0" applyNumberFormat="1" applyFont="1" applyFill="1" applyBorder="1" applyAlignment="1" applyProtection="1">
      <alignment horizontal="right"/>
    </xf>
    <xf numFmtId="3" fontId="45" fillId="4" borderId="6" xfId="0" applyNumberFormat="1" applyFont="1" applyFill="1" applyBorder="1" applyAlignment="1" applyProtection="1">
      <alignment horizontal="right"/>
    </xf>
    <xf numFmtId="1" fontId="30" fillId="0" borderId="3" xfId="0" applyNumberFormat="1" applyFont="1" applyBorder="1" applyAlignment="1" applyProtection="1">
      <alignment horizontal="right"/>
    </xf>
    <xf numFmtId="0" fontId="41" fillId="0" borderId="0" xfId="7" applyFont="1" applyFill="1"/>
    <xf numFmtId="0" fontId="19" fillId="0" borderId="0" xfId="7"/>
    <xf numFmtId="165" fontId="19" fillId="0" borderId="0" xfId="7" applyNumberFormat="1"/>
    <xf numFmtId="3" fontId="58" fillId="0" borderId="0" xfId="7" applyNumberFormat="1" applyFont="1" applyFill="1"/>
    <xf numFmtId="165" fontId="19" fillId="0" borderId="0" xfId="7" applyNumberFormat="1" applyBorder="1"/>
    <xf numFmtId="14" fontId="13" fillId="0" borderId="7" xfId="7" applyNumberFormat="1" applyFont="1" applyFill="1" applyBorder="1" applyAlignment="1">
      <alignment horizontal="left"/>
    </xf>
    <xf numFmtId="0" fontId="17" fillId="0" borderId="10" xfId="7" applyFont="1" applyBorder="1"/>
    <xf numFmtId="0" fontId="17" fillId="0" borderId="8" xfId="7" applyFont="1" applyBorder="1"/>
    <xf numFmtId="0" fontId="17" fillId="0" borderId="9" xfId="7" applyFont="1" applyBorder="1"/>
    <xf numFmtId="0" fontId="69" fillId="0" borderId="8" xfId="7" applyFont="1" applyBorder="1" applyAlignment="1">
      <alignment horizontal="center"/>
    </xf>
    <xf numFmtId="165" fontId="17" fillId="4" borderId="0" xfId="7" applyNumberFormat="1" applyFont="1" applyFill="1" applyBorder="1"/>
    <xf numFmtId="0" fontId="17" fillId="4" borderId="0" xfId="7" applyFont="1" applyFill="1" applyBorder="1"/>
    <xf numFmtId="3" fontId="45" fillId="0" borderId="1" xfId="7" applyNumberFormat="1" applyFont="1" applyFill="1" applyBorder="1"/>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19" fillId="0" borderId="0" xfId="7" applyBorder="1"/>
    <xf numFmtId="0" fontId="45" fillId="4" borderId="0" xfId="7" applyNumberFormat="1" applyFont="1" applyFill="1" applyBorder="1" applyAlignment="1">
      <alignment horizontal="center"/>
    </xf>
    <xf numFmtId="3" fontId="45" fillId="0" borderId="4" xfId="7" applyNumberFormat="1" applyFont="1" applyFill="1" applyBorder="1"/>
    <xf numFmtId="0" fontId="15" fillId="0" borderId="1" xfId="7" applyNumberFormat="1" applyFont="1" applyFill="1" applyBorder="1" applyAlignment="1">
      <alignment horizontal="center"/>
    </xf>
    <xf numFmtId="0" fontId="15" fillId="0" borderId="7" xfId="7" applyNumberFormat="1" applyFont="1" applyFill="1" applyBorder="1" applyAlignment="1">
      <alignment horizontal="center"/>
    </xf>
    <xf numFmtId="3" fontId="50" fillId="4" borderId="11" xfId="7" applyNumberFormat="1" applyFont="1" applyFill="1" applyBorder="1"/>
    <xf numFmtId="0" fontId="13" fillId="0" borderId="6" xfId="7" applyFont="1" applyFill="1" applyBorder="1" applyAlignment="1">
      <alignment horizontal="center"/>
    </xf>
    <xf numFmtId="169" fontId="15" fillId="0" borderId="6" xfId="7" applyNumberFormat="1" applyFont="1" applyFill="1" applyBorder="1" applyAlignment="1">
      <alignment horizontal="center"/>
    </xf>
    <xf numFmtId="169" fontId="13" fillId="4" borderId="0" xfId="7" applyNumberFormat="1" applyFont="1" applyFill="1" applyBorder="1" applyAlignment="1">
      <alignment horizontal="center"/>
    </xf>
    <xf numFmtId="0" fontId="13" fillId="4" borderId="0" xfId="7" applyNumberFormat="1" applyFont="1" applyFill="1" applyBorder="1" applyAlignment="1">
      <alignment horizontal="center"/>
    </xf>
    <xf numFmtId="0" fontId="45" fillId="0" borderId="7" xfId="7" applyFont="1" applyFill="1" applyBorder="1"/>
    <xf numFmtId="4" fontId="30" fillId="4" borderId="7" xfId="848" applyNumberFormat="1" applyFont="1" applyFill="1" applyBorder="1" applyAlignment="1" applyProtection="1">
      <alignment horizontal="right"/>
      <protection locked="0"/>
    </xf>
    <xf numFmtId="4" fontId="30" fillId="4" borderId="7" xfId="7" applyNumberFormat="1" applyFont="1" applyFill="1" applyBorder="1" applyAlignment="1">
      <alignment horizontal="right"/>
    </xf>
    <xf numFmtId="4" fontId="30" fillId="4" borderId="3" xfId="848" applyNumberFormat="1" applyFont="1" applyFill="1" applyBorder="1" applyAlignment="1" applyProtection="1">
      <alignment horizontal="right"/>
      <protection locked="0"/>
    </xf>
    <xf numFmtId="4" fontId="30" fillId="4" borderId="3" xfId="7" applyNumberFormat="1" applyFont="1" applyFill="1" applyBorder="1" applyAlignment="1">
      <alignment horizontal="right"/>
    </xf>
    <xf numFmtId="4" fontId="30" fillId="4" borderId="7" xfId="7" applyNumberFormat="1" applyFont="1" applyFill="1" applyBorder="1" applyAlignment="1" applyProtection="1">
      <alignment horizontal="right"/>
    </xf>
    <xf numFmtId="0" fontId="36" fillId="0" borderId="0" xfId="7" applyFont="1" applyBorder="1"/>
    <xf numFmtId="0" fontId="36" fillId="0" borderId="0" xfId="7" applyFont="1"/>
    <xf numFmtId="0" fontId="30" fillId="0" borderId="3" xfId="7" applyFont="1" applyFill="1" applyBorder="1"/>
    <xf numFmtId="3" fontId="30" fillId="4" borderId="3" xfId="7" applyNumberFormat="1" applyFont="1" applyFill="1" applyBorder="1" applyAlignment="1">
      <alignment horizontal="right"/>
    </xf>
    <xf numFmtId="0" fontId="53" fillId="0" borderId="0" xfId="7" applyFont="1" applyBorder="1"/>
    <xf numFmtId="0" fontId="53" fillId="0" borderId="0" xfId="7" applyFont="1"/>
    <xf numFmtId="3" fontId="30" fillId="4" borderId="3" xfId="848" applyNumberFormat="1" applyFont="1" applyFill="1" applyBorder="1" applyAlignment="1" applyProtection="1">
      <alignment horizontal="right"/>
      <protection locked="0"/>
    </xf>
    <xf numFmtId="0" fontId="30" fillId="0" borderId="6" xfId="7" applyFont="1" applyFill="1" applyBorder="1"/>
    <xf numFmtId="3" fontId="30" fillId="4" borderId="6" xfId="848" applyNumberFormat="1" applyFont="1" applyFill="1" applyBorder="1" applyAlignment="1" applyProtection="1">
      <alignment horizontal="right"/>
      <protection locked="0"/>
    </xf>
    <xf numFmtId="3" fontId="30" fillId="4" borderId="6" xfId="7" applyNumberFormat="1" applyFont="1" applyFill="1" applyBorder="1" applyAlignment="1">
      <alignment horizontal="right"/>
    </xf>
    <xf numFmtId="0" fontId="30" fillId="0" borderId="0" xfId="7" applyFont="1" applyFill="1"/>
    <xf numFmtId="0" fontId="30" fillId="0" borderId="0" xfId="7" applyFont="1"/>
    <xf numFmtId="4" fontId="30" fillId="4" borderId="4" xfId="7" applyNumberFormat="1" applyFont="1" applyFill="1" applyBorder="1" applyAlignment="1" applyProtection="1">
      <alignment horizontal="right"/>
    </xf>
    <xf numFmtId="3" fontId="30" fillId="4" borderId="11" xfId="7" applyNumberFormat="1" applyFont="1" applyFill="1" applyBorder="1" applyAlignment="1" applyProtection="1">
      <alignment horizontal="right"/>
    </xf>
    <xf numFmtId="4" fontId="30" fillId="0" borderId="3" xfId="7" applyNumberFormat="1" applyFont="1" applyFill="1" applyBorder="1" applyAlignment="1" applyProtection="1">
      <alignment horizontal="right"/>
    </xf>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1" fontId="13" fillId="0" borderId="11" xfId="1" applyNumberFormat="1" applyFont="1" applyFill="1" applyBorder="1" applyAlignment="1">
      <alignment horizontal="center"/>
    </xf>
    <xf numFmtId="3" fontId="50" fillId="0" borderId="6" xfId="1" applyNumberFormat="1" applyFont="1" applyFill="1" applyBorder="1" applyProtection="1">
      <protection locked="0"/>
    </xf>
    <xf numFmtId="3" fontId="50" fillId="0" borderId="11" xfId="0" applyNumberFormat="1" applyFont="1" applyFill="1" applyBorder="1" applyProtection="1">
      <protection locked="0"/>
    </xf>
    <xf numFmtId="0" fontId="0" fillId="0" borderId="0" xfId="0" applyFill="1" applyBorder="1" applyProtection="1">
      <protection locked="0"/>
    </xf>
    <xf numFmtId="169" fontId="13" fillId="0" borderId="0" xfId="0" applyNumberFormat="1" applyFont="1" applyFill="1" applyBorder="1" applyAlignment="1" applyProtection="1">
      <alignment horizontal="center"/>
      <protection locked="0"/>
    </xf>
    <xf numFmtId="0" fontId="13" fillId="0" borderId="0" xfId="0" applyNumberFormat="1" applyFont="1" applyFill="1" applyBorder="1" applyAlignment="1" applyProtection="1">
      <alignment horizontal="center"/>
      <protection locked="0"/>
    </xf>
    <xf numFmtId="0" fontId="0" fillId="0" borderId="0" xfId="0" applyFill="1" applyProtection="1">
      <protection locked="0"/>
    </xf>
    <xf numFmtId="172" fontId="19" fillId="0" borderId="0" xfId="0" applyNumberFormat="1" applyFont="1" applyProtection="1">
      <protection locked="0"/>
    </xf>
    <xf numFmtId="168" fontId="17" fillId="3" borderId="7" xfId="1" applyNumberFormat="1" applyFont="1" applyFill="1" applyBorder="1" applyAlignment="1">
      <alignment horizontal="right"/>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1" xfId="7" applyNumberFormat="1" applyFont="1" applyFill="1" applyBorder="1" applyAlignment="1">
      <alignment horizontal="center"/>
    </xf>
    <xf numFmtId="0" fontId="45" fillId="0" borderId="14" xfId="7" applyNumberFormat="1" applyFont="1" applyFill="1" applyBorder="1" applyAlignment="1">
      <alignment horizontal="center"/>
    </xf>
    <xf numFmtId="0" fontId="45" fillId="0" borderId="15" xfId="7" applyNumberFormat="1" applyFont="1" applyFill="1" applyBorder="1" applyAlignment="1">
      <alignment horizontal="center"/>
    </xf>
    <xf numFmtId="0" fontId="45" fillId="4" borderId="0" xfId="7" applyNumberFormat="1" applyFont="1" applyFill="1" applyBorder="1" applyAlignment="1">
      <alignment horizontal="center"/>
    </xf>
    <xf numFmtId="0" fontId="45" fillId="0" borderId="11" xfId="7" applyNumberFormat="1" applyFont="1" applyFill="1" applyBorder="1" applyAlignment="1">
      <alignment horizontal="center"/>
    </xf>
    <xf numFmtId="0" fontId="45" fillId="0" borderId="12" xfId="7" applyNumberFormat="1" applyFont="1" applyFill="1" applyBorder="1" applyAlignment="1">
      <alignment horizontal="center"/>
    </xf>
    <xf numFmtId="0" fontId="45" fillId="0" borderId="5" xfId="7" applyNumberFormat="1" applyFont="1" applyFill="1" applyBorder="1" applyAlignment="1">
      <alignment horizontal="center"/>
    </xf>
  </cellXfs>
  <cellStyles count="849">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8 2" xfId="848" xr:uid="{E03ADAB9-8EE2-446A-B247-4274D904AC52}"/>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1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Figurer!$M$8</c:f>
              <c:strCache>
                <c:ptCount val="1"/>
                <c:pt idx="0">
                  <c:v>2018</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Figurer!$M$10:$M$30</c:f>
              <c:numCache>
                <c:formatCode>#,##0</c:formatCode>
                <c:ptCount val="21"/>
                <c:pt idx="0">
                  <c:v>105522.829</c:v>
                </c:pt>
                <c:pt idx="1">
                  <c:v>1773028</c:v>
                </c:pt>
                <c:pt idx="2">
                  <c:v>66623</c:v>
                </c:pt>
                <c:pt idx="3">
                  <c:v>460011</c:v>
                </c:pt>
                <c:pt idx="4">
                  <c:v>4814</c:v>
                </c:pt>
                <c:pt idx="5">
                  <c:v>1052245</c:v>
                </c:pt>
                <c:pt idx="6">
                  <c:v>178625</c:v>
                </c:pt>
                <c:pt idx="7">
                  <c:v>10248</c:v>
                </c:pt>
                <c:pt idx="8">
                  <c:v>153678.71638</c:v>
                </c:pt>
                <c:pt idx="9">
                  <c:v>6307422.4361200007</c:v>
                </c:pt>
                <c:pt idx="10">
                  <c:v>20618</c:v>
                </c:pt>
                <c:pt idx="11">
                  <c:v>107643.077</c:v>
                </c:pt>
                <c:pt idx="12">
                  <c:v>21888.014999999999</c:v>
                </c:pt>
                <c:pt idx="13">
                  <c:v>620.45399999999995</c:v>
                </c:pt>
                <c:pt idx="14">
                  <c:v>665744.15912939585</c:v>
                </c:pt>
                <c:pt idx="15">
                  <c:v>725316</c:v>
                </c:pt>
                <c:pt idx="16">
                  <c:v>0</c:v>
                </c:pt>
                <c:pt idx="17">
                  <c:v>816522.19760999992</c:v>
                </c:pt>
                <c:pt idx="18">
                  <c:v>2307542.6269999999</c:v>
                </c:pt>
                <c:pt idx="19">
                  <c:v>0</c:v>
                </c:pt>
                <c:pt idx="20">
                  <c:v>417186</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2019</c:v>
                </c:pt>
              </c:strCache>
            </c:strRef>
          </c:tx>
          <c:invertIfNegative val="0"/>
          <c:cat>
            <c:strRef>
              <c:f>Figurer!$L$10:$L$30</c:f>
              <c:strCache>
                <c:ptCount val="21"/>
                <c:pt idx="0">
                  <c:v>Danica Pensjon</c:v>
                </c:pt>
                <c:pt idx="1">
                  <c:v>DNB Liv</c:v>
                </c:pt>
                <c:pt idx="2">
                  <c:v>Eika Forsikring</c:v>
                </c:pt>
                <c:pt idx="3">
                  <c:v>Frende Livsfors</c:v>
                </c:pt>
                <c:pt idx="4">
                  <c:v>Frende Skade</c:v>
                </c:pt>
                <c:pt idx="5">
                  <c:v>Gjensidige Fors</c:v>
                </c:pt>
                <c:pt idx="6">
                  <c:v>Gjensidige Pensj</c:v>
                </c:pt>
                <c:pt idx="7">
                  <c:v>Handelsb Liv</c:v>
                </c:pt>
                <c:pt idx="8">
                  <c:v>If Skadefors</c:v>
                </c:pt>
                <c:pt idx="9">
                  <c:v>KLP</c:v>
                </c:pt>
                <c:pt idx="10">
                  <c:v>KLP Bedriftsp</c:v>
                </c:pt>
                <c:pt idx="11">
                  <c:v>KLP Skadef</c:v>
                </c:pt>
                <c:pt idx="12">
                  <c:v>Landbruksfors.</c:v>
                </c:pt>
                <c:pt idx="13">
                  <c:v>NEMI</c:v>
                </c:pt>
                <c:pt idx="14">
                  <c:v>Nordea Liv</c:v>
                </c:pt>
                <c:pt idx="15">
                  <c:v>OPF</c:v>
                </c:pt>
                <c:pt idx="16">
                  <c:v>Protector Fors</c:v>
                </c:pt>
                <c:pt idx="17">
                  <c:v>SpareBank 1</c:v>
                </c:pt>
                <c:pt idx="18">
                  <c:v>Storebrand </c:v>
                </c:pt>
                <c:pt idx="19">
                  <c:v>Telenor Fors</c:v>
                </c:pt>
                <c:pt idx="20">
                  <c:v>Tryg Fors</c:v>
                </c:pt>
              </c:strCache>
            </c:strRef>
          </c:cat>
          <c:val>
            <c:numRef>
              <c:f>Figurer!$N$10:$N$30</c:f>
              <c:numCache>
                <c:formatCode>#,##0</c:formatCode>
                <c:ptCount val="21"/>
                <c:pt idx="0">
                  <c:v>106551.42599999999</c:v>
                </c:pt>
                <c:pt idx="1">
                  <c:v>1720403.8</c:v>
                </c:pt>
                <c:pt idx="2">
                  <c:v>73468</c:v>
                </c:pt>
                <c:pt idx="3">
                  <c:v>493427</c:v>
                </c:pt>
                <c:pt idx="4">
                  <c:v>1699</c:v>
                </c:pt>
                <c:pt idx="5">
                  <c:v>1031602</c:v>
                </c:pt>
                <c:pt idx="6">
                  <c:v>201661</c:v>
                </c:pt>
                <c:pt idx="7">
                  <c:v>9227.8753499999984</c:v>
                </c:pt>
                <c:pt idx="8">
                  <c:v>152402.34600000002</c:v>
                </c:pt>
                <c:pt idx="9">
                  <c:v>6685288.0742199998</c:v>
                </c:pt>
                <c:pt idx="10">
                  <c:v>23364</c:v>
                </c:pt>
                <c:pt idx="11">
                  <c:v>136835</c:v>
                </c:pt>
                <c:pt idx="12">
                  <c:v>22249</c:v>
                </c:pt>
                <c:pt idx="13">
                  <c:v>4425.9740000000002</c:v>
                </c:pt>
                <c:pt idx="14">
                  <c:v>643709.20639581443</c:v>
                </c:pt>
                <c:pt idx="15">
                  <c:v>973969.14500999998</c:v>
                </c:pt>
                <c:pt idx="16">
                  <c:v>174427.98112853389</c:v>
                </c:pt>
                <c:pt idx="17">
                  <c:v>894213.30877</c:v>
                </c:pt>
                <c:pt idx="18">
                  <c:v>2180985.9240000001</c:v>
                </c:pt>
                <c:pt idx="19">
                  <c:v>0</c:v>
                </c:pt>
                <c:pt idx="20">
                  <c:v>497838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2018</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Figurer!$M$37:$M$46</c:f>
              <c:numCache>
                <c:formatCode>#,##0</c:formatCode>
                <c:ptCount val="10"/>
                <c:pt idx="0">
                  <c:v>512553.30499999999</c:v>
                </c:pt>
                <c:pt idx="1">
                  <c:v>1933331</c:v>
                </c:pt>
                <c:pt idx="2">
                  <c:v>88637</c:v>
                </c:pt>
                <c:pt idx="3">
                  <c:v>681493</c:v>
                </c:pt>
                <c:pt idx="4">
                  <c:v>20875.777999999998</c:v>
                </c:pt>
                <c:pt idx="5">
                  <c:v>108569</c:v>
                </c:pt>
                <c:pt idx="6">
                  <c:v>2294973.0361000001</c:v>
                </c:pt>
                <c:pt idx="7">
                  <c:v>42877</c:v>
                </c:pt>
                <c:pt idx="8">
                  <c:v>912443.09380000003</c:v>
                </c:pt>
                <c:pt idx="9">
                  <c:v>2667749.4759999998</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2019</c:v>
                </c:pt>
              </c:strCache>
            </c:strRef>
          </c:tx>
          <c:invertIfNegative val="0"/>
          <c:cat>
            <c:strRef>
              <c:f>Figurer!$L$37:$L$46</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Figurer!$N$37:$N$46</c:f>
              <c:numCache>
                <c:formatCode>#,##0</c:formatCode>
                <c:ptCount val="10"/>
                <c:pt idx="0">
                  <c:v>506748.04200000002</c:v>
                </c:pt>
                <c:pt idx="1">
                  <c:v>2408062</c:v>
                </c:pt>
                <c:pt idx="2">
                  <c:v>96311</c:v>
                </c:pt>
                <c:pt idx="3">
                  <c:v>781465</c:v>
                </c:pt>
                <c:pt idx="4">
                  <c:v>19489.256000000001</c:v>
                </c:pt>
                <c:pt idx="5">
                  <c:v>135943</c:v>
                </c:pt>
                <c:pt idx="6">
                  <c:v>3083447.26988</c:v>
                </c:pt>
                <c:pt idx="7">
                  <c:v>38700.716099999998</c:v>
                </c:pt>
                <c:pt idx="8">
                  <c:v>1073722.1763800001</c:v>
                </c:pt>
                <c:pt idx="9">
                  <c:v>2762007.8890000004</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2018</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Figurer!$M$60:$M$74</c:f>
              <c:numCache>
                <c:formatCode>#,##0</c:formatCode>
                <c:ptCount val="15"/>
                <c:pt idx="0">
                  <c:v>1056297.5660000001</c:v>
                </c:pt>
                <c:pt idx="1">
                  <c:v>203084238.5</c:v>
                </c:pt>
                <c:pt idx="2">
                  <c:v>0</c:v>
                </c:pt>
                <c:pt idx="3">
                  <c:v>1014744</c:v>
                </c:pt>
                <c:pt idx="4">
                  <c:v>0</c:v>
                </c:pt>
                <c:pt idx="5">
                  <c:v>6138522</c:v>
                </c:pt>
                <c:pt idx="6">
                  <c:v>23193</c:v>
                </c:pt>
                <c:pt idx="7">
                  <c:v>0</c:v>
                </c:pt>
                <c:pt idx="8">
                  <c:v>450711574.44376999</c:v>
                </c:pt>
                <c:pt idx="9">
                  <c:v>1517090</c:v>
                </c:pt>
                <c:pt idx="10">
                  <c:v>12214.147999999999</c:v>
                </c:pt>
                <c:pt idx="11">
                  <c:v>49831728.590089791</c:v>
                </c:pt>
                <c:pt idx="12">
                  <c:v>71272663</c:v>
                </c:pt>
                <c:pt idx="13">
                  <c:v>18998939.185520001</c:v>
                </c:pt>
                <c:pt idx="14">
                  <c:v>181070508.74600002</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2019</c:v>
                </c:pt>
              </c:strCache>
            </c:strRef>
          </c:tx>
          <c:invertIfNegative val="0"/>
          <c:cat>
            <c:strRef>
              <c:f>Figurer!$L$60:$L$74</c:f>
              <c:strCache>
                <c:ptCount val="15"/>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KLP Skadef</c:v>
                </c:pt>
                <c:pt idx="11">
                  <c:v>Nordea Liv</c:v>
                </c:pt>
                <c:pt idx="12">
                  <c:v>OPF</c:v>
                </c:pt>
                <c:pt idx="13">
                  <c:v>SpareBank 1</c:v>
                </c:pt>
                <c:pt idx="14">
                  <c:v>Storebrand </c:v>
                </c:pt>
              </c:strCache>
            </c:strRef>
          </c:cat>
          <c:val>
            <c:numRef>
              <c:f>Figurer!$N$60:$N$74</c:f>
              <c:numCache>
                <c:formatCode>#,##0</c:formatCode>
                <c:ptCount val="15"/>
                <c:pt idx="0">
                  <c:v>1186547.58</c:v>
                </c:pt>
                <c:pt idx="1">
                  <c:v>200343540.27200001</c:v>
                </c:pt>
                <c:pt idx="2">
                  <c:v>0</c:v>
                </c:pt>
                <c:pt idx="3">
                  <c:v>1154102.79</c:v>
                </c:pt>
                <c:pt idx="4">
                  <c:v>0</c:v>
                </c:pt>
                <c:pt idx="5">
                  <c:v>6798454</c:v>
                </c:pt>
                <c:pt idx="6">
                  <c:v>24156.061791620199</c:v>
                </c:pt>
                <c:pt idx="7">
                  <c:v>0</c:v>
                </c:pt>
                <c:pt idx="8">
                  <c:v>477264053.30385</c:v>
                </c:pt>
                <c:pt idx="9">
                  <c:v>1573553</c:v>
                </c:pt>
                <c:pt idx="10">
                  <c:v>23088</c:v>
                </c:pt>
                <c:pt idx="11">
                  <c:v>50874402.35331405</c:v>
                </c:pt>
                <c:pt idx="12">
                  <c:v>75420758.385900304</c:v>
                </c:pt>
                <c:pt idx="13">
                  <c:v>20077494.383109998</c:v>
                </c:pt>
                <c:pt idx="14">
                  <c:v>181276652.00800002</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2018</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Figurer!$M$85:$M$94</c:f>
              <c:numCache>
                <c:formatCode>#,##0</c:formatCode>
                <c:ptCount val="10"/>
                <c:pt idx="0">
                  <c:v>16706584.574999999</c:v>
                </c:pt>
                <c:pt idx="1">
                  <c:v>74630254</c:v>
                </c:pt>
                <c:pt idx="2">
                  <c:v>3185848</c:v>
                </c:pt>
                <c:pt idx="3">
                  <c:v>22784107</c:v>
                </c:pt>
                <c:pt idx="4">
                  <c:v>2344983.7411500001</c:v>
                </c:pt>
                <c:pt idx="5">
                  <c:v>2816074</c:v>
                </c:pt>
                <c:pt idx="6">
                  <c:v>58443269.995210707</c:v>
                </c:pt>
                <c:pt idx="7">
                  <c:v>2055445</c:v>
                </c:pt>
                <c:pt idx="8">
                  <c:v>26221241.436800003</c:v>
                </c:pt>
                <c:pt idx="9">
                  <c:v>89292605.564999998</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2019</c:v>
                </c:pt>
              </c:strCache>
            </c:strRef>
          </c:tx>
          <c:invertIfNegative val="0"/>
          <c:cat>
            <c:strRef>
              <c:f>Figurer!$L$85:$L$94</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f>Figurer!$N$85:$N$94</c:f>
              <c:numCache>
                <c:formatCode>#,##0</c:formatCode>
                <c:ptCount val="10"/>
                <c:pt idx="0">
                  <c:v>18231058.762000002</c:v>
                </c:pt>
                <c:pt idx="1">
                  <c:v>85192428.625</c:v>
                </c:pt>
                <c:pt idx="2">
                  <c:v>3631130</c:v>
                </c:pt>
                <c:pt idx="3">
                  <c:v>26882141</c:v>
                </c:pt>
                <c:pt idx="4">
                  <c:v>2497218.77415</c:v>
                </c:pt>
                <c:pt idx="5">
                  <c:v>3934107</c:v>
                </c:pt>
                <c:pt idx="6">
                  <c:v>64970069.999999896</c:v>
                </c:pt>
                <c:pt idx="7">
                  <c:v>2236863.3610899998</c:v>
                </c:pt>
                <c:pt idx="8">
                  <c:v>30793410.668050002</c:v>
                </c:pt>
                <c:pt idx="9">
                  <c:v>99882666.639999986</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Figurer!$M$110</c:f>
              <c:strCache>
                <c:ptCount val="1"/>
                <c:pt idx="0">
                  <c:v>2018</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Figurer!$M$111:$M$118</c:f>
              <c:numCache>
                <c:formatCode>#,##0</c:formatCode>
                <c:ptCount val="8"/>
                <c:pt idx="0">
                  <c:v>1918.3780000000006</c:v>
                </c:pt>
                <c:pt idx="1">
                  <c:v>33099</c:v>
                </c:pt>
                <c:pt idx="2">
                  <c:v>8758</c:v>
                </c:pt>
                <c:pt idx="3">
                  <c:v>-418198.02100000001</c:v>
                </c:pt>
                <c:pt idx="4">
                  <c:v>163</c:v>
                </c:pt>
                <c:pt idx="5">
                  <c:v>-45945.832359999702</c:v>
                </c:pt>
                <c:pt idx="6">
                  <c:v>14295.352540000002</c:v>
                </c:pt>
                <c:pt idx="7">
                  <c:v>-35442.452000000005</c:v>
                </c:pt>
              </c:numCache>
            </c:numRef>
          </c:val>
          <c:extLst>
            <c:ext xmlns:c16="http://schemas.microsoft.com/office/drawing/2014/chart" uri="{C3380CC4-5D6E-409C-BE32-E72D297353CC}">
              <c16:uniqueId val="{00000000-2BF8-4278-857F-91A0E7196849}"/>
            </c:ext>
          </c:extLst>
        </c:ser>
        <c:ser>
          <c:idx val="1"/>
          <c:order val="1"/>
          <c:tx>
            <c:strRef>
              <c:f>Figurer!$N$110</c:f>
              <c:strCache>
                <c:ptCount val="1"/>
                <c:pt idx="0">
                  <c:v>2019</c:v>
                </c:pt>
              </c:strCache>
            </c:strRef>
          </c:tx>
          <c:invertIfNegative val="0"/>
          <c:cat>
            <c:strRef>
              <c:f>Figurer!$L$111:$L$118</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f>Figurer!$N$111:$N$118</c:f>
              <c:numCache>
                <c:formatCode>#,##0</c:formatCode>
                <c:ptCount val="8"/>
                <c:pt idx="0">
                  <c:v>-1576.8909999999996</c:v>
                </c:pt>
                <c:pt idx="1">
                  <c:v>33779</c:v>
                </c:pt>
                <c:pt idx="2">
                  <c:v>20554</c:v>
                </c:pt>
                <c:pt idx="3">
                  <c:v>-248299.76699999999</c:v>
                </c:pt>
                <c:pt idx="4">
                  <c:v>-14</c:v>
                </c:pt>
                <c:pt idx="5">
                  <c:v>-22302.415059999901</c:v>
                </c:pt>
                <c:pt idx="6">
                  <c:v>-5187.3273599999993</c:v>
                </c:pt>
                <c:pt idx="7">
                  <c:v>-72397.951000000001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Figurer!$M$135</c:f>
              <c:strCache>
                <c:ptCount val="1"/>
                <c:pt idx="0">
                  <c:v>2018</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Figurer!$M$136:$M$144</c:f>
              <c:numCache>
                <c:formatCode>#,##0</c:formatCode>
                <c:ptCount val="9"/>
                <c:pt idx="0">
                  <c:v>-62184.46100000001</c:v>
                </c:pt>
                <c:pt idx="1">
                  <c:v>-846689</c:v>
                </c:pt>
                <c:pt idx="2">
                  <c:v>-35262.409</c:v>
                </c:pt>
                <c:pt idx="3">
                  <c:v>136390</c:v>
                </c:pt>
                <c:pt idx="4">
                  <c:v>98497</c:v>
                </c:pt>
                <c:pt idx="5">
                  <c:v>-60654.12293000007</c:v>
                </c:pt>
                <c:pt idx="6">
                  <c:v>41666</c:v>
                </c:pt>
                <c:pt idx="7">
                  <c:v>977355.9649599999</c:v>
                </c:pt>
                <c:pt idx="8">
                  <c:v>-498335.65299999993</c:v>
                </c:pt>
              </c:numCache>
            </c:numRef>
          </c:val>
          <c:extLst>
            <c:ext xmlns:c16="http://schemas.microsoft.com/office/drawing/2014/chart" uri="{C3380CC4-5D6E-409C-BE32-E72D297353CC}">
              <c16:uniqueId val="{00000000-B400-4C26-965B-0553A4A37873}"/>
            </c:ext>
          </c:extLst>
        </c:ser>
        <c:ser>
          <c:idx val="1"/>
          <c:order val="1"/>
          <c:tx>
            <c:strRef>
              <c:f>Figurer!$N$135</c:f>
              <c:strCache>
                <c:ptCount val="1"/>
                <c:pt idx="0">
                  <c:v>2019</c:v>
                </c:pt>
              </c:strCache>
            </c:strRef>
          </c:tx>
          <c:invertIfNegative val="0"/>
          <c:cat>
            <c:strRef>
              <c:f>Figurer!$L$136:$L$144</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f>Figurer!$N$136:$N$144</c:f>
              <c:numCache>
                <c:formatCode>#,##0</c:formatCode>
                <c:ptCount val="9"/>
                <c:pt idx="0">
                  <c:v>-16045.73000000001</c:v>
                </c:pt>
                <c:pt idx="1">
                  <c:v>510695</c:v>
                </c:pt>
                <c:pt idx="2">
                  <c:v>13609.839</c:v>
                </c:pt>
                <c:pt idx="3">
                  <c:v>445335</c:v>
                </c:pt>
                <c:pt idx="4">
                  <c:v>173001</c:v>
                </c:pt>
                <c:pt idx="5">
                  <c:v>7302.415059999912</c:v>
                </c:pt>
                <c:pt idx="6">
                  <c:v>18484.602370000001</c:v>
                </c:pt>
                <c:pt idx="7">
                  <c:v>160465.41979000001</c:v>
                </c:pt>
                <c:pt idx="8">
                  <c:v>-1365161.726</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8</xdr:col>
      <xdr:colOff>571500</xdr:colOff>
      <xdr:row>54</xdr:row>
      <xdr:rowOff>57150</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95250" y="28575"/>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2019 </a:t>
          </a:r>
          <a:r>
            <a:rPr lang="nb-NO" sz="1100" b="0">
              <a:effectLst/>
              <a:latin typeface="Arial"/>
              <a:ea typeface="ＭＳ 明朝"/>
              <a:cs typeface="Times New Roman"/>
            </a:rPr>
            <a:t>(11.06.2019)</a:t>
          </a:r>
          <a:r>
            <a:rPr lang="nb-NO" sz="1600" b="1">
              <a:effectLst/>
              <a:latin typeface="Arial"/>
              <a:ea typeface="ＭＳ 明朝"/>
              <a:cs typeface="Times New Roman"/>
            </a:rPr>
            <a:t> </a:t>
          </a:r>
        </a:p>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mn-lt"/>
              <a:ea typeface="+mn-ea"/>
              <a:cs typeface="+mn-cs"/>
            </a:rPr>
            <a:t>Sist endret 28.01.2020</a:t>
          </a:r>
          <a:endParaRPr lang="nb-NO" sz="1200">
            <a:effectLst/>
          </a:endParaRPr>
        </a:p>
        <a:p>
          <a:pPr>
            <a:spcAft>
              <a:spcPts val="0"/>
            </a:spcAft>
          </a:pPr>
          <a:endParaRPr lang="nb-NO" sz="120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r>
            <a:rPr lang="nb-NO" sz="1100" u="sng">
              <a:latin typeface="Times New Roman" panose="02020603050405020304" pitchFamily="18" charset="0"/>
              <a:cs typeface="Times New Roman" panose="02020603050405020304" pitchFamily="18" charset="0"/>
            </a:rPr>
            <a:t>Protector Forsikring</a:t>
          </a:r>
        </a:p>
        <a:p>
          <a:r>
            <a:rPr lang="nb-NO" sz="1100" u="none">
              <a:latin typeface="Times New Roman" panose="02020603050405020304" pitchFamily="18" charset="0"/>
              <a:cs typeface="Times New Roman" panose="02020603050405020304" pitchFamily="18" charset="0"/>
            </a:rPr>
            <a:t>Selskapet</a:t>
          </a:r>
          <a:r>
            <a:rPr lang="nb-NO" sz="1100" u="none" baseline="0">
              <a:latin typeface="Times New Roman" panose="02020603050405020304" pitchFamily="18" charset="0"/>
              <a:cs typeface="Times New Roman" panose="02020603050405020304" pitchFamily="18" charset="0"/>
            </a:rPr>
            <a:t> inngår i statistikken fra 2. kvartal 2018.</a:t>
          </a:r>
          <a:br>
            <a:rPr lang="nb-NO" sz="1100" u="none" baseline="0">
              <a:latin typeface="Times New Roman" panose="02020603050405020304" pitchFamily="18" charset="0"/>
              <a:cs typeface="Times New Roman" panose="02020603050405020304" pitchFamily="18" charset="0"/>
            </a:rPr>
          </a:br>
          <a:endParaRPr lang="nb-NO" sz="1100" u="none">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19/Q1-2019/Mottatte/SpareBank%201%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2702.741</v>
          </cell>
        </row>
        <row r="69">
          <cell r="AG69">
            <v>1652.1780000000001</v>
          </cell>
        </row>
        <row r="71">
          <cell r="AG71">
            <v>1000</v>
          </cell>
        </row>
        <row r="74">
          <cell r="AG74">
            <v>982.40599999999995</v>
          </cell>
        </row>
        <row r="75">
          <cell r="AG75">
            <v>1947.19</v>
          </cell>
        </row>
        <row r="78">
          <cell r="AG78">
            <v>4.2599488100001883</v>
          </cell>
        </row>
        <row r="79">
          <cell r="AG79">
            <v>24050.537948809997</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L39" sqref="L39"/>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60"/>
      <c r="C43" s="660"/>
      <c r="D43" s="660"/>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130</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66623</v>
      </c>
      <c r="C7" s="299">
        <v>73468</v>
      </c>
      <c r="D7" s="342">
        <f>IF(B7=0, "    ---- ", IF(ABS(ROUND(100/B7*C7-100,1))&lt;999,ROUND(100/B7*C7-100,1),IF(ROUND(100/B7*C7-100,1)&gt;999,999,-999)))</f>
        <v>10.3</v>
      </c>
      <c r="E7" s="11">
        <f>IFERROR(100/'Skjema total MA'!C7*C7,0)</f>
        <v>4.5981505049754379</v>
      </c>
      <c r="F7" s="298"/>
      <c r="G7" s="299"/>
      <c r="H7" s="342"/>
      <c r="I7" s="160"/>
      <c r="J7" s="300">
        <f t="shared" ref="J7:K9" si="0">SUM(B7,F7)</f>
        <v>66623</v>
      </c>
      <c r="K7" s="301">
        <f t="shared" si="0"/>
        <v>73468</v>
      </c>
      <c r="L7" s="365">
        <f>IF(J7=0, "    ---- ", IF(ABS(ROUND(100/J7*K7-100,1))&lt;999,ROUND(100/J7*K7-100,1),IF(ROUND(100/J7*K7-100,1)&gt;999,999,-999)))</f>
        <v>10.3</v>
      </c>
      <c r="M7" s="11">
        <f>IFERROR(100/'Skjema total MA'!I7*K7,0)</f>
        <v>1.7132666569819806</v>
      </c>
    </row>
    <row r="8" spans="1:14" ht="15.75" x14ac:dyDescent="0.2">
      <c r="A8" s="21" t="s">
        <v>25</v>
      </c>
      <c r="B8" s="277">
        <v>32965</v>
      </c>
      <c r="C8" s="278">
        <v>37387</v>
      </c>
      <c r="D8" s="166">
        <f t="shared" ref="D8:D9" si="1">IF(B8=0, "    ---- ", IF(ABS(ROUND(100/B8*C8-100,1))&lt;999,ROUND(100/B8*C8-100,1),IF(ROUND(100/B8*C8-100,1)&gt;999,999,-999)))</f>
        <v>13.4</v>
      </c>
      <c r="E8" s="27">
        <f>IFERROR(100/'Skjema total MA'!C8*C8,0)</f>
        <v>3.8002441888121852</v>
      </c>
      <c r="F8" s="281"/>
      <c r="G8" s="282"/>
      <c r="H8" s="166"/>
      <c r="I8" s="175"/>
      <c r="J8" s="230">
        <f t="shared" si="0"/>
        <v>32965</v>
      </c>
      <c r="K8" s="283">
        <f t="shared" si="0"/>
        <v>37387</v>
      </c>
      <c r="L8" s="250"/>
      <c r="M8" s="27">
        <f>IFERROR(100/'Skjema total MA'!I8*K8,0)</f>
        <v>3.8002441888121852</v>
      </c>
    </row>
    <row r="9" spans="1:14" ht="15.75" x14ac:dyDescent="0.2">
      <c r="A9" s="21" t="s">
        <v>24</v>
      </c>
      <c r="B9" s="277">
        <v>33658</v>
      </c>
      <c r="C9" s="278">
        <v>36081</v>
      </c>
      <c r="D9" s="166">
        <f t="shared" si="1"/>
        <v>7.2</v>
      </c>
      <c r="E9" s="27">
        <f>IFERROR(100/'Skjema total MA'!C9*C9,0)</f>
        <v>9.8005653577356853</v>
      </c>
      <c r="F9" s="281"/>
      <c r="G9" s="282"/>
      <c r="H9" s="166"/>
      <c r="I9" s="175"/>
      <c r="J9" s="230">
        <f t="shared" si="0"/>
        <v>33658</v>
      </c>
      <c r="K9" s="283">
        <f t="shared" si="0"/>
        <v>36081</v>
      </c>
      <c r="L9" s="250"/>
      <c r="M9" s="27">
        <f>IFERROR(100/'Skjema total MA'!I9*K9,0)</f>
        <v>9.8005653577356853</v>
      </c>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61" priority="12">
      <formula>kvartal &lt; 4</formula>
    </cfRule>
  </conditionalFormatting>
  <conditionalFormatting sqref="A69:A74">
    <cfRule type="expression" dxfId="160" priority="10">
      <formula>kvartal &lt; 4</formula>
    </cfRule>
  </conditionalFormatting>
  <conditionalFormatting sqref="A80:A85">
    <cfRule type="expression" dxfId="159" priority="9">
      <formula>kvartal &lt; 4</formula>
    </cfRule>
  </conditionalFormatting>
  <conditionalFormatting sqref="A90:A95">
    <cfRule type="expression" dxfId="158" priority="6">
      <formula>kvartal &lt; 4</formula>
    </cfRule>
  </conditionalFormatting>
  <conditionalFormatting sqref="A101:A106">
    <cfRule type="expression" dxfId="157" priority="5">
      <formula>kvartal &lt; 4</formula>
    </cfRule>
  </conditionalFormatting>
  <conditionalFormatting sqref="A115">
    <cfRule type="expression" dxfId="156" priority="4">
      <formula>kvartal &lt; 4</formula>
    </cfRule>
  </conditionalFormatting>
  <conditionalFormatting sqref="A123">
    <cfRule type="expression" dxfId="155" priority="3">
      <formula>kvartal &lt; 4</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142</v>
      </c>
      <c r="B1" s="648"/>
      <c r="C1" s="244" t="s">
        <v>131</v>
      </c>
      <c r="D1" s="26"/>
      <c r="E1" s="26"/>
      <c r="F1" s="26"/>
      <c r="G1" s="26"/>
      <c r="H1" s="26"/>
      <c r="I1" s="26"/>
      <c r="J1" s="26"/>
      <c r="K1" s="26"/>
      <c r="L1" s="26"/>
      <c r="M1" s="26"/>
    </row>
    <row r="2" spans="1:17" ht="15.75" x14ac:dyDescent="0.25">
      <c r="A2" s="165" t="s">
        <v>28</v>
      </c>
      <c r="B2" s="687"/>
      <c r="C2" s="687"/>
      <c r="D2" s="687"/>
      <c r="E2" s="291"/>
      <c r="F2" s="687"/>
      <c r="G2" s="687"/>
      <c r="H2" s="687"/>
      <c r="I2" s="291"/>
      <c r="J2" s="687"/>
      <c r="K2" s="687"/>
      <c r="L2" s="687"/>
      <c r="M2" s="291"/>
    </row>
    <row r="3" spans="1:17" ht="15.75" x14ac:dyDescent="0.25">
      <c r="A3" s="163"/>
      <c r="B3" s="291"/>
      <c r="C3" s="291"/>
      <c r="D3" s="291"/>
      <c r="E3" s="291"/>
      <c r="F3" s="291"/>
      <c r="G3" s="291"/>
      <c r="H3" s="291"/>
      <c r="I3" s="291"/>
      <c r="J3" s="291"/>
      <c r="K3" s="291"/>
      <c r="L3" s="291"/>
      <c r="M3" s="291"/>
    </row>
    <row r="4" spans="1:17" x14ac:dyDescent="0.2">
      <c r="A4" s="144"/>
      <c r="B4" s="683" t="s">
        <v>0</v>
      </c>
      <c r="C4" s="684"/>
      <c r="D4" s="684"/>
      <c r="E4" s="293"/>
      <c r="F4" s="683" t="s">
        <v>1</v>
      </c>
      <c r="G4" s="684"/>
      <c r="H4" s="684"/>
      <c r="I4" s="296"/>
      <c r="J4" s="683" t="s">
        <v>2</v>
      </c>
      <c r="K4" s="684"/>
      <c r="L4" s="684"/>
      <c r="M4" s="296"/>
    </row>
    <row r="5" spans="1:17"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7" x14ac:dyDescent="0.2">
      <c r="A6" s="649"/>
      <c r="B6" s="156"/>
      <c r="C6" s="156"/>
      <c r="D6" s="242" t="s">
        <v>4</v>
      </c>
      <c r="E6" s="156" t="s">
        <v>30</v>
      </c>
      <c r="F6" s="161"/>
      <c r="G6" s="161"/>
      <c r="H6" s="241" t="s">
        <v>4</v>
      </c>
      <c r="I6" s="156" t="s">
        <v>30</v>
      </c>
      <c r="J6" s="161"/>
      <c r="K6" s="161"/>
      <c r="L6" s="241" t="s">
        <v>4</v>
      </c>
      <c r="M6" s="156" t="s">
        <v>30</v>
      </c>
    </row>
    <row r="7" spans="1:17" ht="15.75" x14ac:dyDescent="0.2">
      <c r="A7" s="14" t="s">
        <v>23</v>
      </c>
      <c r="B7" s="298">
        <v>180824</v>
      </c>
      <c r="C7" s="299">
        <v>197024</v>
      </c>
      <c r="D7" s="342">
        <f>IF(B7=0, "    ---- ", IF(ABS(ROUND(100/B7*C7-100,1))&lt;999,ROUND(100/B7*C7-100,1),IF(ROUND(100/B7*C7-100,1)&gt;999,999,-999)))</f>
        <v>9</v>
      </c>
      <c r="E7" s="11">
        <f>IFERROR(100/'Skjema total MA'!C7*C7,0)</f>
        <v>12.331164657977361</v>
      </c>
      <c r="F7" s="298"/>
      <c r="G7" s="299"/>
      <c r="H7" s="342"/>
      <c r="I7" s="160"/>
      <c r="J7" s="300">
        <f t="shared" ref="J7:K10" si="0">SUM(B7,F7)</f>
        <v>180824</v>
      </c>
      <c r="K7" s="301">
        <f t="shared" si="0"/>
        <v>197024</v>
      </c>
      <c r="L7" s="365">
        <f>IF(J7=0, "    ---- ", IF(ABS(ROUND(100/J7*K7-100,1))&lt;999,ROUND(100/J7*K7-100,1),IF(ROUND(100/J7*K7-100,1)&gt;999,999,-999)))</f>
        <v>9</v>
      </c>
      <c r="M7" s="11">
        <f>IFERROR(100/'Skjema total MA'!I7*K7,0)</f>
        <v>4.594580631366278</v>
      </c>
    </row>
    <row r="8" spans="1:17" ht="15.75" x14ac:dyDescent="0.2">
      <c r="A8" s="21" t="s">
        <v>25</v>
      </c>
      <c r="B8" s="277">
        <v>153778</v>
      </c>
      <c r="C8" s="278">
        <v>169144</v>
      </c>
      <c r="D8" s="166">
        <f t="shared" ref="D8:D10" si="1">IF(B8=0, "    ---- ", IF(ABS(ROUND(100/B8*C8-100,1))&lt;999,ROUND(100/B8*C8-100,1),IF(ROUND(100/B8*C8-100,1)&gt;999,999,-999)))</f>
        <v>10</v>
      </c>
      <c r="E8" s="27">
        <f>IFERROR(100/'Skjema total MA'!C8*C8,0)</f>
        <v>17.192834489861401</v>
      </c>
      <c r="F8" s="281"/>
      <c r="G8" s="282"/>
      <c r="H8" s="166"/>
      <c r="I8" s="175"/>
      <c r="J8" s="230">
        <f t="shared" si="0"/>
        <v>153778</v>
      </c>
      <c r="K8" s="283">
        <f t="shared" si="0"/>
        <v>169144</v>
      </c>
      <c r="L8" s="166">
        <f t="shared" ref="L8:L9" si="2">IF(J8=0, "    ---- ", IF(ABS(ROUND(100/J8*K8-100,1))&lt;999,ROUND(100/J8*K8-100,1),IF(ROUND(100/J8*K8-100,1)&gt;999,999,-999)))</f>
        <v>10</v>
      </c>
      <c r="M8" s="27">
        <f>IFERROR(100/'Skjema total MA'!I8*K8,0)</f>
        <v>17.192834489861401</v>
      </c>
    </row>
    <row r="9" spans="1:17" ht="15.75" x14ac:dyDescent="0.2">
      <c r="A9" s="21" t="s">
        <v>24</v>
      </c>
      <c r="B9" s="277">
        <v>27046</v>
      </c>
      <c r="C9" s="278">
        <v>27879</v>
      </c>
      <c r="D9" s="166">
        <f t="shared" si="1"/>
        <v>3.1</v>
      </c>
      <c r="E9" s="27">
        <f>IFERROR(100/'Skjema total MA'!C9*C9,0)</f>
        <v>7.5726826198917205</v>
      </c>
      <c r="F9" s="281"/>
      <c r="G9" s="282"/>
      <c r="H9" s="166"/>
      <c r="I9" s="175"/>
      <c r="J9" s="230">
        <f t="shared" si="0"/>
        <v>27046</v>
      </c>
      <c r="K9" s="283">
        <f t="shared" si="0"/>
        <v>27879</v>
      </c>
      <c r="L9" s="166">
        <f t="shared" si="2"/>
        <v>3.1</v>
      </c>
      <c r="M9" s="27">
        <f>IFERROR(100/'Skjema total MA'!I9*K9,0)</f>
        <v>7.5726826198917205</v>
      </c>
    </row>
    <row r="10" spans="1:17" ht="15.75" x14ac:dyDescent="0.2">
      <c r="A10" s="13" t="s">
        <v>371</v>
      </c>
      <c r="B10" s="302">
        <v>203887</v>
      </c>
      <c r="C10" s="303">
        <v>221250</v>
      </c>
      <c r="D10" s="171">
        <f t="shared" si="1"/>
        <v>8.5</v>
      </c>
      <c r="E10" s="11">
        <f>IFERROR(100/'Skjema total MA'!C10*C10,0)</f>
        <v>1.0929050885504215</v>
      </c>
      <c r="F10" s="302"/>
      <c r="G10" s="303"/>
      <c r="H10" s="171"/>
      <c r="I10" s="160"/>
      <c r="J10" s="300">
        <f t="shared" si="0"/>
        <v>203887</v>
      </c>
      <c r="K10" s="301">
        <f t="shared" si="0"/>
        <v>221250</v>
      </c>
      <c r="L10" s="366">
        <f t="shared" ref="L10" si="3">IF(J10=0, "    ---- ", IF(ABS(ROUND(100/J10*K10-100,1))&lt;999,ROUND(100/J10*K10-100,1),IF(ROUND(100/J10*K10-100,1)&gt;999,999,-999)))</f>
        <v>8.5</v>
      </c>
      <c r="M10" s="11">
        <f>IFERROR(100/'Skjema total MA'!I10*K10,0)</f>
        <v>0.34007269545984037</v>
      </c>
    </row>
    <row r="11" spans="1:17" s="43" customFormat="1" ht="15.75" x14ac:dyDescent="0.2">
      <c r="A11" s="13" t="s">
        <v>372</v>
      </c>
      <c r="B11" s="302"/>
      <c r="C11" s="303"/>
      <c r="D11" s="171"/>
      <c r="E11" s="11"/>
      <c r="F11" s="302"/>
      <c r="G11" s="303"/>
      <c r="H11" s="171"/>
      <c r="I11" s="160"/>
      <c r="J11" s="300"/>
      <c r="K11" s="301"/>
      <c r="L11" s="366"/>
      <c r="M11" s="11"/>
      <c r="N11" s="143"/>
      <c r="Q11" s="143"/>
    </row>
    <row r="12" spans="1:17" s="43" customFormat="1" ht="15.75" x14ac:dyDescent="0.2">
      <c r="A12" s="41" t="s">
        <v>373</v>
      </c>
      <c r="B12" s="304"/>
      <c r="C12" s="305"/>
      <c r="D12" s="169"/>
      <c r="E12" s="36"/>
      <c r="F12" s="304"/>
      <c r="G12" s="305"/>
      <c r="H12" s="169"/>
      <c r="I12" s="169"/>
      <c r="J12" s="306"/>
      <c r="K12" s="307"/>
      <c r="L12" s="367"/>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281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175053</v>
      </c>
      <c r="C22" s="302">
        <v>183923</v>
      </c>
      <c r="D22" s="342">
        <f t="shared" ref="D22:D32" si="4">IF(B22=0, "    ---- ", IF(ABS(ROUND(100/B22*C22-100,1))&lt;999,ROUND(100/B22*C22-100,1),IF(ROUND(100/B22*C22-100,1)&gt;999,999,-999)))</f>
        <v>5.0999999999999996</v>
      </c>
      <c r="E22" s="11">
        <f>IFERROR(100/'Skjema total MA'!C22*C22,0)</f>
        <v>26.680759685407558</v>
      </c>
      <c r="F22" s="310">
        <v>3315</v>
      </c>
      <c r="G22" s="310">
        <v>3183</v>
      </c>
      <c r="H22" s="342">
        <f t="shared" ref="H22:H29" si="5">IF(F22=0, "    ---- ", IF(ABS(ROUND(100/F22*G22-100,1))&lt;999,ROUND(100/F22*G22-100,1),IF(ROUND(100/F22*G22-100,1)&gt;999,999,-999)))</f>
        <v>-4</v>
      </c>
      <c r="I22" s="11">
        <f>IFERROR(100/'Skjema total MA'!F22*G22,0)</f>
        <v>1.0294726410249972</v>
      </c>
      <c r="J22" s="308">
        <f t="shared" ref="J22:K29" si="6">SUM(B22,F22)</f>
        <v>178368</v>
      </c>
      <c r="K22" s="308">
        <f t="shared" si="6"/>
        <v>187106</v>
      </c>
      <c r="L22" s="365">
        <f t="shared" ref="L22:L30" si="7">IF(J22=0, "    ---- ", IF(ABS(ROUND(100/J22*K22-100,1))&lt;999,ROUND(100/J22*K22-100,1),IF(ROUND(100/J22*K22-100,1)&gt;999,999,-999)))</f>
        <v>4.9000000000000004</v>
      </c>
      <c r="M22" s="24">
        <f>IFERROR(100/'Skjema total MA'!I22*K22,0)</f>
        <v>18.738063102174245</v>
      </c>
    </row>
    <row r="23" spans="1:14" ht="15.75" x14ac:dyDescent="0.2">
      <c r="A23" s="546" t="s">
        <v>374</v>
      </c>
      <c r="B23" s="277">
        <v>174504</v>
      </c>
      <c r="C23" s="277">
        <v>183373</v>
      </c>
      <c r="D23" s="166">
        <f t="shared" si="4"/>
        <v>5.0999999999999996</v>
      </c>
      <c r="E23" s="27">
        <f>IFERROR(100/'Skjema total MA'!C23*C23,0)</f>
        <v>34.873091581382425</v>
      </c>
      <c r="F23" s="285"/>
      <c r="G23" s="285"/>
      <c r="H23" s="166"/>
      <c r="I23" s="358"/>
      <c r="J23" s="285">
        <f t="shared" ref="J23:J26" si="8">SUM(B23,F23)</f>
        <v>174504</v>
      </c>
      <c r="K23" s="285">
        <f t="shared" ref="K23:K26" si="9">SUM(C23,G23)</f>
        <v>183373</v>
      </c>
      <c r="L23" s="166">
        <f t="shared" si="7"/>
        <v>5.0999999999999996</v>
      </c>
      <c r="M23" s="23">
        <f>IFERROR(100/'Skjema total MA'!I23*K23,0)</f>
        <v>32.963656200429597</v>
      </c>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v>550</v>
      </c>
      <c r="C25" s="277">
        <v>550</v>
      </c>
      <c r="D25" s="166">
        <f t="shared" ref="D25" si="10">IF(B25=0, "    ---- ", IF(ABS(ROUND(100/B25*C25-100,1))&lt;999,ROUND(100/B25*C25-100,1),IF(ROUND(100/B25*C25-100,1)&gt;999,999,-999)))</f>
        <v>0</v>
      </c>
      <c r="E25" s="11">
        <f>IFERROR(100/'Skjema total MA'!C25*C25,0)</f>
        <v>4.7763786365610077</v>
      </c>
      <c r="F25" s="285">
        <v>1110</v>
      </c>
      <c r="G25" s="285">
        <v>1002</v>
      </c>
      <c r="H25" s="166">
        <f t="shared" ref="H25:H26" si="11">IF(F25=0, "    ---- ", IF(ABS(ROUND(100/F25*G25-100,1))&lt;999,ROUND(100/F25*G25-100,1),IF(ROUND(100/F25*G25-100,1)&gt;999,999,-999)))</f>
        <v>-9.6999999999999993</v>
      </c>
      <c r="I25" s="358">
        <f>IFERROR(100/'Skjema total MA'!F25*G25,0)</f>
        <v>15.345981986883281</v>
      </c>
      <c r="J25" s="285">
        <f t="shared" si="8"/>
        <v>1660</v>
      </c>
      <c r="K25" s="285">
        <f t="shared" si="9"/>
        <v>1552</v>
      </c>
      <c r="L25" s="166">
        <f t="shared" si="7"/>
        <v>-6.5</v>
      </c>
      <c r="M25" s="23">
        <f>IFERROR(100/'Skjema total MA'!I25*K25,0)</f>
        <v>8.6010081080888767</v>
      </c>
    </row>
    <row r="26" spans="1:14" ht="15.75" x14ac:dyDescent="0.2">
      <c r="A26" s="546" t="s">
        <v>377</v>
      </c>
      <c r="B26" s="277"/>
      <c r="C26" s="277"/>
      <c r="D26" s="166"/>
      <c r="E26" s="11"/>
      <c r="F26" s="285">
        <v>2205</v>
      </c>
      <c r="G26" s="285">
        <v>2181</v>
      </c>
      <c r="H26" s="166">
        <f t="shared" si="11"/>
        <v>-1.1000000000000001</v>
      </c>
      <c r="I26" s="358">
        <f>IFERROR(100/'Skjema total MA'!F26*G26,0)</f>
        <v>0.80135248196435194</v>
      </c>
      <c r="J26" s="285">
        <f t="shared" si="8"/>
        <v>2205</v>
      </c>
      <c r="K26" s="285">
        <f t="shared" si="9"/>
        <v>2181</v>
      </c>
      <c r="L26" s="166">
        <f t="shared" si="7"/>
        <v>-1.1000000000000001</v>
      </c>
      <c r="M26" s="23">
        <f>IFERROR(100/'Skjema total MA'!I26*K26,0)</f>
        <v>0.80135248196435194</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174504</v>
      </c>
      <c r="C28" s="283">
        <v>183373</v>
      </c>
      <c r="D28" s="166">
        <f t="shared" si="4"/>
        <v>5.0999999999999996</v>
      </c>
      <c r="E28" s="11">
        <f>IFERROR(100/'Skjema total MA'!C28*C28,0)</f>
        <v>28.421168305674019</v>
      </c>
      <c r="F28" s="230"/>
      <c r="G28" s="283"/>
      <c r="H28" s="166"/>
      <c r="I28" s="27"/>
      <c r="J28" s="44">
        <f t="shared" si="6"/>
        <v>174504</v>
      </c>
      <c r="K28" s="44">
        <f t="shared" si="6"/>
        <v>183373</v>
      </c>
      <c r="L28" s="250">
        <f t="shared" si="7"/>
        <v>5.0999999999999996</v>
      </c>
      <c r="M28" s="23">
        <f>IFERROR(100/'Skjema total MA'!I28*K28,0)</f>
        <v>28.421168305674019</v>
      </c>
    </row>
    <row r="29" spans="1:14" s="3" customFormat="1" ht="15.75" x14ac:dyDescent="0.2">
      <c r="A29" s="13" t="s">
        <v>371</v>
      </c>
      <c r="B29" s="232">
        <v>610421</v>
      </c>
      <c r="C29" s="232">
        <v>709817.79</v>
      </c>
      <c r="D29" s="171">
        <f t="shared" si="4"/>
        <v>16.3</v>
      </c>
      <c r="E29" s="11">
        <f>IFERROR(100/'Skjema total MA'!C29*C29,0)</f>
        <v>1.4810989049325791</v>
      </c>
      <c r="F29" s="300">
        <v>117784</v>
      </c>
      <c r="G29" s="300">
        <v>136676</v>
      </c>
      <c r="H29" s="171">
        <f t="shared" si="5"/>
        <v>16</v>
      </c>
      <c r="I29" s="11">
        <f>IFERROR(100/'Skjema total MA'!F29*G29,0)</f>
        <v>0.67304766861673271</v>
      </c>
      <c r="J29" s="232">
        <f t="shared" si="6"/>
        <v>728205</v>
      </c>
      <c r="K29" s="232">
        <f t="shared" si="6"/>
        <v>846493.79</v>
      </c>
      <c r="L29" s="366">
        <f t="shared" si="7"/>
        <v>16.2</v>
      </c>
      <c r="M29" s="24">
        <f>IFERROR(100/'Skjema total MA'!I29*K29,0)</f>
        <v>1.2406091691547714</v>
      </c>
      <c r="N29" s="148"/>
    </row>
    <row r="30" spans="1:14" s="3" customFormat="1" ht="15.75" x14ac:dyDescent="0.2">
      <c r="A30" s="546" t="s">
        <v>374</v>
      </c>
      <c r="B30" s="277"/>
      <c r="C30" s="277">
        <v>707776.29</v>
      </c>
      <c r="D30" s="166" t="str">
        <f t="shared" si="4"/>
        <v xml:space="preserve">    ---- </v>
      </c>
      <c r="E30" s="11">
        <f>IFERROR(100/'Skjema total MA'!C30*C30,0)</f>
        <v>6.1465402182408431</v>
      </c>
      <c r="F30" s="285"/>
      <c r="G30" s="285"/>
      <c r="H30" s="166"/>
      <c r="I30" s="358"/>
      <c r="J30" s="285"/>
      <c r="K30" s="285">
        <f t="shared" ref="K30:K33" si="12">SUM(C30,G30)</f>
        <v>707776.29</v>
      </c>
      <c r="L30" s="166" t="str">
        <f t="shared" si="7"/>
        <v xml:space="preserve">    ---- </v>
      </c>
      <c r="M30" s="23">
        <f>IFERROR(100/'Skjema total MA'!I30*K30,0)</f>
        <v>4.5027986770305475</v>
      </c>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v>2041.5</v>
      </c>
      <c r="D32" s="166" t="str">
        <f t="shared" si="4"/>
        <v xml:space="preserve">    ---- </v>
      </c>
      <c r="E32" s="11">
        <f>IFERROR(100/'Skjema total MA'!C32*C32,0)</f>
        <v>0.15864276702825925</v>
      </c>
      <c r="F32" s="285">
        <v>103880</v>
      </c>
      <c r="G32" s="285">
        <v>108911</v>
      </c>
      <c r="H32" s="166">
        <f t="shared" ref="H32:H33" si="13">IF(F32=0, "    ---- ", IF(ABS(ROUND(100/F32*G32-100,1))&lt;999,ROUND(100/F32*G32-100,1),IF(ROUND(100/F32*G32-100,1)&gt;999,999,-999)))</f>
        <v>4.8</v>
      </c>
      <c r="I32" s="358">
        <f>IFERROR(100/'Skjema total MA'!F32*G32,0)</f>
        <v>2.6288283605301528</v>
      </c>
      <c r="J32" s="285">
        <f t="shared" ref="J32:J33" si="14">SUM(B32,F32)</f>
        <v>103880</v>
      </c>
      <c r="K32" s="285">
        <f t="shared" si="12"/>
        <v>110952.5</v>
      </c>
      <c r="L32" s="166">
        <f t="shared" ref="L32:L33" si="15">IF(J32=0, "    ---- ", IF(ABS(ROUND(100/J32*K32-100,1))&lt;999,ROUND(100/J32*K32-100,1),IF(ROUND(100/J32*K32-100,1)&gt;999,999,-999)))</f>
        <v>6.8</v>
      </c>
      <c r="M32" s="23">
        <f>IFERROR(100/'Skjema total MA'!I32*K32,0)</f>
        <v>2.0433987093395407</v>
      </c>
    </row>
    <row r="33" spans="1:14" ht="15.75" x14ac:dyDescent="0.2">
      <c r="A33" s="546" t="s">
        <v>377</v>
      </c>
      <c r="B33" s="277"/>
      <c r="C33" s="277"/>
      <c r="D33" s="166"/>
      <c r="E33" s="11"/>
      <c r="F33" s="285">
        <v>13904</v>
      </c>
      <c r="G33" s="285">
        <v>27765</v>
      </c>
      <c r="H33" s="166">
        <f t="shared" si="13"/>
        <v>99.7</v>
      </c>
      <c r="I33" s="358">
        <f>IFERROR(100/'Skjema total MA'!F34*G33,0)</f>
        <v>207.05236415364863</v>
      </c>
      <c r="J33" s="285">
        <f t="shared" si="14"/>
        <v>13904</v>
      </c>
      <c r="K33" s="285">
        <f t="shared" si="12"/>
        <v>27765</v>
      </c>
      <c r="L33" s="166">
        <f t="shared" si="15"/>
        <v>99.7</v>
      </c>
      <c r="M33" s="23">
        <f>IFERROR(100/'Skjema total MA'!I34*K33,0)</f>
        <v>143.11928498638218</v>
      </c>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32100</v>
      </c>
      <c r="C47" s="303">
        <v>33252</v>
      </c>
      <c r="D47" s="365">
        <f t="shared" ref="D47:D48" si="16">IF(B47=0, "    ---- ", IF(ABS(ROUND(100/B47*C47-100,1))&lt;999,ROUND(100/B47*C47-100,1),IF(ROUND(100/B47*C47-100,1)&gt;999,999,-999)))</f>
        <v>3.6</v>
      </c>
      <c r="E47" s="11">
        <f>IFERROR(100/'Skjema total MA'!C47*C47,0)</f>
        <v>1.3288028082705097</v>
      </c>
      <c r="F47" s="145"/>
      <c r="G47" s="33"/>
      <c r="H47" s="159"/>
      <c r="I47" s="159"/>
      <c r="J47" s="37"/>
      <c r="K47" s="37"/>
      <c r="L47" s="159"/>
      <c r="M47" s="159"/>
      <c r="N47" s="148"/>
    </row>
    <row r="48" spans="1:14" s="3" customFormat="1" ht="15.75" x14ac:dyDescent="0.2">
      <c r="A48" s="38" t="s">
        <v>382</v>
      </c>
      <c r="B48" s="277">
        <v>32100</v>
      </c>
      <c r="C48" s="278">
        <v>33252</v>
      </c>
      <c r="D48" s="250">
        <f t="shared" si="16"/>
        <v>3.6</v>
      </c>
      <c r="E48" s="27">
        <f>IFERROR(100/'Skjema total MA'!C48*C48,0)</f>
        <v>2.4842317206941424</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72034</v>
      </c>
      <c r="C66" s="345">
        <v>79228</v>
      </c>
      <c r="D66" s="342">
        <f t="shared" ref="D66:D111" si="17">IF(B66=0, "    ---- ", IF(ABS(ROUND(100/B66*C66-100,1))&lt;999,ROUND(100/B66*C66-100,1),IF(ROUND(100/B66*C66-100,1)&gt;999,999,-999)))</f>
        <v>10</v>
      </c>
      <c r="E66" s="11">
        <f>IFERROR(100/'Skjema total MA'!C66*C66,0)</f>
        <v>2.255218942964774</v>
      </c>
      <c r="F66" s="344">
        <v>85322</v>
      </c>
      <c r="G66" s="344">
        <v>93128</v>
      </c>
      <c r="H66" s="342">
        <f t="shared" ref="H66:H111" si="18">IF(F66=0, "    ---- ", IF(ABS(ROUND(100/F66*G66-100,1))&lt;999,ROUND(100/F66*G66-100,1),IF(ROUND(100/F66*G66-100,1)&gt;999,999,-999)))</f>
        <v>9.1</v>
      </c>
      <c r="I66" s="11">
        <f>IFERROR(100/'Skjema total MA'!F66*G66,0)</f>
        <v>1.180806932995097</v>
      </c>
      <c r="J66" s="301">
        <f t="shared" ref="J66:K79" si="19">SUM(B66,F66)</f>
        <v>157356</v>
      </c>
      <c r="K66" s="308">
        <f t="shared" si="19"/>
        <v>172356</v>
      </c>
      <c r="L66" s="366">
        <f t="shared" ref="L66:L111" si="20">IF(J66=0, "    ---- ", IF(ABS(ROUND(100/J66*K66-100,1))&lt;999,ROUND(100/J66*K66-100,1),IF(ROUND(100/J66*K66-100,1)&gt;999,999,-999)))</f>
        <v>9.5</v>
      </c>
      <c r="M66" s="11">
        <f>IFERROR(100/'Skjema total MA'!I66*K66,0)</f>
        <v>1.5119072333574997</v>
      </c>
    </row>
    <row r="67" spans="1:14" x14ac:dyDescent="0.2">
      <c r="A67" s="360" t="s">
        <v>9</v>
      </c>
      <c r="B67" s="44"/>
      <c r="C67" s="145"/>
      <c r="D67" s="166"/>
      <c r="E67" s="27"/>
      <c r="F67" s="230"/>
      <c r="G67" s="145"/>
      <c r="H67" s="166"/>
      <c r="I67" s="27"/>
      <c r="J67" s="283"/>
      <c r="K67" s="44"/>
      <c r="L67" s="250"/>
      <c r="M67" s="27"/>
    </row>
    <row r="68" spans="1:14" x14ac:dyDescent="0.2">
      <c r="A68" s="21" t="s">
        <v>10</v>
      </c>
      <c r="B68" s="286">
        <v>72034</v>
      </c>
      <c r="C68" s="287">
        <v>79228</v>
      </c>
      <c r="D68" s="166">
        <f t="shared" si="17"/>
        <v>10</v>
      </c>
      <c r="E68" s="27">
        <f>IFERROR(100/'Skjema total MA'!C68*C68,0)</f>
        <v>81.656347463421866</v>
      </c>
      <c r="F68" s="286">
        <v>85322</v>
      </c>
      <c r="G68" s="287">
        <v>93128</v>
      </c>
      <c r="H68" s="166">
        <f t="shared" si="18"/>
        <v>9.1</v>
      </c>
      <c r="I68" s="27">
        <f>IFERROR(100/'Skjema total MA'!F68*G68,0)</f>
        <v>1.1964129906829746</v>
      </c>
      <c r="J68" s="283">
        <f t="shared" si="19"/>
        <v>157356</v>
      </c>
      <c r="K68" s="44">
        <f t="shared" si="19"/>
        <v>172356</v>
      </c>
      <c r="L68" s="250">
        <f t="shared" si="20"/>
        <v>9.5</v>
      </c>
      <c r="M68" s="27">
        <f>IFERROR(100/'Skjema total MA'!I68*K68,0)</f>
        <v>2.1869923529087205</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v>72034</v>
      </c>
      <c r="C77" s="230">
        <v>79228</v>
      </c>
      <c r="D77" s="166">
        <f t="shared" si="17"/>
        <v>10</v>
      </c>
      <c r="E77" s="27">
        <f>IFERROR(100/'Skjema total MA'!C77*C77,0)</f>
        <v>2.763643092176574</v>
      </c>
      <c r="F77" s="230">
        <v>85322</v>
      </c>
      <c r="G77" s="145">
        <v>93128</v>
      </c>
      <c r="H77" s="166">
        <f t="shared" si="18"/>
        <v>9.1</v>
      </c>
      <c r="I77" s="27">
        <f>IFERROR(100/'Skjema total MA'!F77*G77,0)</f>
        <v>1.1969479302037977</v>
      </c>
      <c r="J77" s="283">
        <f t="shared" si="19"/>
        <v>157356</v>
      </c>
      <c r="K77" s="44">
        <f t="shared" si="19"/>
        <v>172356</v>
      </c>
      <c r="L77" s="250">
        <f t="shared" si="20"/>
        <v>9.5</v>
      </c>
      <c r="M77" s="27">
        <f>IFERROR(100/'Skjema total MA'!I77*K77,0)</f>
        <v>1.6187840315340192</v>
      </c>
    </row>
    <row r="78" spans="1:14" x14ac:dyDescent="0.2">
      <c r="A78" s="21" t="s">
        <v>9</v>
      </c>
      <c r="B78" s="230"/>
      <c r="C78" s="145"/>
      <c r="D78" s="166"/>
      <c r="E78" s="27"/>
      <c r="F78" s="230"/>
      <c r="G78" s="145"/>
      <c r="H78" s="166"/>
      <c r="I78" s="27"/>
      <c r="J78" s="283"/>
      <c r="K78" s="44"/>
      <c r="L78" s="250"/>
      <c r="M78" s="27"/>
    </row>
    <row r="79" spans="1:14" x14ac:dyDescent="0.2">
      <c r="A79" s="21" t="s">
        <v>10</v>
      </c>
      <c r="B79" s="286">
        <v>72034</v>
      </c>
      <c r="C79" s="287">
        <v>79228</v>
      </c>
      <c r="D79" s="166">
        <f t="shared" si="17"/>
        <v>10</v>
      </c>
      <c r="E79" s="27">
        <f>IFERROR(100/'Skjema total MA'!C79*C79,0)</f>
        <v>82.759186739941285</v>
      </c>
      <c r="F79" s="286">
        <v>85322</v>
      </c>
      <c r="G79" s="287">
        <v>93128</v>
      </c>
      <c r="H79" s="166">
        <f t="shared" si="18"/>
        <v>9.1</v>
      </c>
      <c r="I79" s="27">
        <f>IFERROR(100/'Skjema total MA'!F79*G79,0)</f>
        <v>1.1969479302037977</v>
      </c>
      <c r="J79" s="283">
        <f t="shared" si="19"/>
        <v>157356</v>
      </c>
      <c r="K79" s="44">
        <f t="shared" si="19"/>
        <v>172356</v>
      </c>
      <c r="L79" s="250">
        <f t="shared" si="20"/>
        <v>9.5</v>
      </c>
      <c r="M79" s="27">
        <f>IFERROR(100/'Skjema total MA'!I79*K79,0)</f>
        <v>2.1883173319805294</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v>200436</v>
      </c>
      <c r="C87" s="345">
        <v>223035</v>
      </c>
      <c r="D87" s="171">
        <f t="shared" si="17"/>
        <v>11.3</v>
      </c>
      <c r="E87" s="11">
        <f>IFERROR(100/'Skjema total MA'!C87*C87,0)</f>
        <v>5.7411572414550048E-2</v>
      </c>
      <c r="F87" s="344">
        <v>3068064</v>
      </c>
      <c r="G87" s="344">
        <v>3494454</v>
      </c>
      <c r="H87" s="171">
        <f t="shared" si="18"/>
        <v>13.9</v>
      </c>
      <c r="I87" s="11">
        <f>IFERROR(100/'Skjema total MA'!F87*G87,0)</f>
        <v>1.2912225035227971</v>
      </c>
      <c r="J87" s="301">
        <f t="shared" ref="J87:K111" si="21">SUM(B87,F87)</f>
        <v>3268500</v>
      </c>
      <c r="K87" s="232">
        <f t="shared" si="21"/>
        <v>3717489</v>
      </c>
      <c r="L87" s="366">
        <f t="shared" si="20"/>
        <v>13.7</v>
      </c>
      <c r="M87" s="11">
        <f>IFERROR(100/'Skjema total MA'!I87*K87,0)</f>
        <v>0.56401148692853365</v>
      </c>
    </row>
    <row r="88" spans="1:13" x14ac:dyDescent="0.2">
      <c r="A88" s="21" t="s">
        <v>9</v>
      </c>
      <c r="B88" s="230"/>
      <c r="C88" s="145"/>
      <c r="D88" s="166"/>
      <c r="E88" s="27"/>
      <c r="F88" s="230"/>
      <c r="G88" s="145"/>
      <c r="H88" s="166"/>
      <c r="I88" s="27"/>
      <c r="J88" s="283"/>
      <c r="K88" s="44"/>
      <c r="L88" s="250"/>
      <c r="M88" s="27"/>
    </row>
    <row r="89" spans="1:13" x14ac:dyDescent="0.2">
      <c r="A89" s="21" t="s">
        <v>10</v>
      </c>
      <c r="B89" s="230">
        <v>200436</v>
      </c>
      <c r="C89" s="145">
        <v>223035</v>
      </c>
      <c r="D89" s="166">
        <f t="shared" si="17"/>
        <v>11.3</v>
      </c>
      <c r="E89" s="27">
        <f>IFERROR(100/'Skjema total MA'!C89*C89,0)</f>
        <v>7.9896378193148037</v>
      </c>
      <c r="F89" s="230">
        <v>3068064</v>
      </c>
      <c r="G89" s="145">
        <v>3494454</v>
      </c>
      <c r="H89" s="166">
        <f t="shared" si="18"/>
        <v>13.9</v>
      </c>
      <c r="I89" s="27">
        <f>IFERROR(100/'Skjema total MA'!F89*G89,0)</f>
        <v>1.296927532516345</v>
      </c>
      <c r="J89" s="283">
        <f t="shared" si="21"/>
        <v>3268500</v>
      </c>
      <c r="K89" s="44">
        <f t="shared" si="21"/>
        <v>3717489</v>
      </c>
      <c r="L89" s="250">
        <f t="shared" si="20"/>
        <v>13.7</v>
      </c>
      <c r="M89" s="27">
        <f>IFERROR(100/'Skjema total MA'!I89*K89,0)</f>
        <v>1.3655565782479575</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v>200436</v>
      </c>
      <c r="C98" s="230">
        <v>223035</v>
      </c>
      <c r="D98" s="166">
        <f t="shared" si="17"/>
        <v>11.3</v>
      </c>
      <c r="E98" s="27">
        <f>IFERROR(100/'Skjema total MA'!C98*C98,0)</f>
        <v>5.9022385301665529E-2</v>
      </c>
      <c r="F98" s="286">
        <v>3068064</v>
      </c>
      <c r="G98" s="286">
        <v>3494454</v>
      </c>
      <c r="H98" s="166">
        <f t="shared" si="18"/>
        <v>13.9</v>
      </c>
      <c r="I98" s="27">
        <f>IFERROR(100/'Skjema total MA'!F98*G98,0)</f>
        <v>1.3005291442374431</v>
      </c>
      <c r="J98" s="283">
        <f t="shared" si="21"/>
        <v>3268500</v>
      </c>
      <c r="K98" s="44">
        <f t="shared" si="21"/>
        <v>3717489</v>
      </c>
      <c r="L98" s="250">
        <f t="shared" si="20"/>
        <v>13.7</v>
      </c>
      <c r="M98" s="27">
        <f>IFERROR(100/'Skjema total MA'!I98*K98,0)</f>
        <v>0.57494930052208937</v>
      </c>
    </row>
    <row r="99" spans="1:13" x14ac:dyDescent="0.2">
      <c r="A99" s="21" t="s">
        <v>9</v>
      </c>
      <c r="B99" s="286"/>
      <c r="C99" s="287"/>
      <c r="D99" s="166"/>
      <c r="E99" s="27"/>
      <c r="F99" s="230"/>
      <c r="G99" s="145"/>
      <c r="H99" s="166"/>
      <c r="I99" s="27"/>
      <c r="J99" s="283"/>
      <c r="K99" s="44"/>
      <c r="L99" s="250"/>
      <c r="M99" s="27"/>
    </row>
    <row r="100" spans="1:13" x14ac:dyDescent="0.2">
      <c r="A100" s="21" t="s">
        <v>10</v>
      </c>
      <c r="B100" s="286">
        <v>200436</v>
      </c>
      <c r="C100" s="287">
        <v>223035</v>
      </c>
      <c r="D100" s="166">
        <f t="shared" si="17"/>
        <v>11.3</v>
      </c>
      <c r="E100" s="27">
        <f>IFERROR(100/'Skjema total MA'!C100*C100,0)</f>
        <v>7.9896378171260043</v>
      </c>
      <c r="F100" s="230">
        <v>3068064</v>
      </c>
      <c r="G100" s="230">
        <v>3494454</v>
      </c>
      <c r="H100" s="166">
        <f t="shared" si="18"/>
        <v>13.9</v>
      </c>
      <c r="I100" s="27">
        <f>IFERROR(100/'Skjema total MA'!F100*G100,0)</f>
        <v>1.3005291442374431</v>
      </c>
      <c r="J100" s="283">
        <f t="shared" si="21"/>
        <v>3268500</v>
      </c>
      <c r="K100" s="44">
        <f t="shared" si="21"/>
        <v>3717489</v>
      </c>
      <c r="L100" s="250">
        <f t="shared" si="20"/>
        <v>13.7</v>
      </c>
      <c r="M100" s="27">
        <f>IFERROR(100/'Skjema total MA'!I100*K100,0)</f>
        <v>1.3693097819561779</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v>1186639.868</v>
      </c>
      <c r="H109" s="166" t="str">
        <f t="shared" si="18"/>
        <v xml:space="preserve">    ---- </v>
      </c>
      <c r="I109" s="27">
        <f>IFERROR(100/'Skjema total MA'!F109*G109,0)</f>
        <v>1.331290970931879</v>
      </c>
      <c r="J109" s="283"/>
      <c r="K109" s="44">
        <f t="shared" si="21"/>
        <v>1186639.868</v>
      </c>
      <c r="L109" s="250" t="str">
        <f t="shared" si="20"/>
        <v xml:space="preserve">    ---- </v>
      </c>
      <c r="M109" s="27">
        <f>IFERROR(100/'Skjema total MA'!I109*K109,0)</f>
        <v>1.3160245835191811</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0</v>
      </c>
      <c r="C111" s="159">
        <v>267.77300000000002</v>
      </c>
      <c r="D111" s="171" t="str">
        <f t="shared" si="17"/>
        <v xml:space="preserve">    ---- </v>
      </c>
      <c r="E111" s="11">
        <f>IFERROR(100/'Skjema total MA'!C111*C111,0)</f>
        <v>0.11754686944282286</v>
      </c>
      <c r="F111" s="300">
        <v>12609.424999999999</v>
      </c>
      <c r="G111" s="159">
        <v>30138.498</v>
      </c>
      <c r="H111" s="171">
        <f t="shared" si="18"/>
        <v>139</v>
      </c>
      <c r="I111" s="11">
        <f>IFERROR(100/'Skjema total MA'!F111*G111,0)</f>
        <v>0.70501744376481712</v>
      </c>
      <c r="J111" s="301">
        <f t="shared" si="21"/>
        <v>12609.424999999999</v>
      </c>
      <c r="K111" s="232">
        <f t="shared" si="21"/>
        <v>30406.271000000001</v>
      </c>
      <c r="L111" s="366">
        <f t="shared" si="20"/>
        <v>141.1</v>
      </c>
      <c r="M111" s="11">
        <f>IFERROR(100/'Skjema total MA'!I111*K111,0)</f>
        <v>0.67529580672883682</v>
      </c>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v>0</v>
      </c>
      <c r="C113" s="145">
        <v>267.77300000000002</v>
      </c>
      <c r="D113" s="166" t="str">
        <f t="shared" ref="D113:D121" si="22">IF(B113=0, "    ---- ", IF(ABS(ROUND(100/B113*C113-100,1))&lt;999,ROUND(100/B113*C113-100,1),IF(ROUND(100/B113*C113-100,1)&gt;999,999,-999)))</f>
        <v xml:space="preserve">    ---- </v>
      </c>
      <c r="E113" s="27">
        <f>IFERROR(100/'Skjema total MA'!C113*C113,0)</f>
        <v>100</v>
      </c>
      <c r="F113" s="230">
        <v>12609.424999999999</v>
      </c>
      <c r="G113" s="145">
        <v>30138.498</v>
      </c>
      <c r="H113" s="166">
        <f t="shared" ref="H113:H121" si="23">IF(F113=0, "    ---- ", IF(ABS(ROUND(100/F113*G113-100,1))&lt;999,ROUND(100/F113*G113-100,1),IF(ROUND(100/F113*G113-100,1)&gt;999,999,-999)))</f>
        <v>139</v>
      </c>
      <c r="I113" s="27">
        <f>IFERROR(100/'Skjema total MA'!F113*G113,0)</f>
        <v>0.7096586959335992</v>
      </c>
      <c r="J113" s="283">
        <f t="shared" ref="J113:K121" si="24">SUM(B113,F113)</f>
        <v>12609.424999999999</v>
      </c>
      <c r="K113" s="44">
        <f t="shared" si="24"/>
        <v>30406.271000000001</v>
      </c>
      <c r="L113" s="250">
        <f t="shared" ref="L113:L121" si="25">IF(J113=0, "    ---- ", IF(ABS(ROUND(100/J113*K113-100,1))&lt;999,ROUND(100/J113*K113-100,1),IF(ROUND(100/J113*K113-100,1)&gt;999,999,-999)))</f>
        <v>141.1</v>
      </c>
      <c r="M113" s="27">
        <f>IFERROR(100/'Skjema total MA'!I113*K113,0)</f>
        <v>0.71591869588550028</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1389.318</v>
      </c>
      <c r="C119" s="159">
        <v>441.15</v>
      </c>
      <c r="D119" s="171">
        <f t="shared" si="22"/>
        <v>-68.2</v>
      </c>
      <c r="E119" s="11">
        <f>IFERROR(100/'Skjema total MA'!C119*C119,0)</f>
        <v>0.23708289844383562</v>
      </c>
      <c r="F119" s="300">
        <v>47871.834000000003</v>
      </c>
      <c r="G119" s="159">
        <v>16528.659</v>
      </c>
      <c r="H119" s="171">
        <f t="shared" si="23"/>
        <v>-65.5</v>
      </c>
      <c r="I119" s="11">
        <f>IFERROR(100/'Skjema total MA'!F119*G119,0)</f>
        <v>0.37830930921302924</v>
      </c>
      <c r="J119" s="301">
        <f t="shared" si="24"/>
        <v>49261.152000000002</v>
      </c>
      <c r="K119" s="232">
        <f t="shared" si="24"/>
        <v>16969.809000000001</v>
      </c>
      <c r="L119" s="366">
        <f t="shared" si="25"/>
        <v>-65.599999999999994</v>
      </c>
      <c r="M119" s="11">
        <f>IFERROR(100/'Skjema total MA'!I119*K119,0)</f>
        <v>0.37254033858250202</v>
      </c>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v>1389.318</v>
      </c>
      <c r="C121" s="145">
        <v>441.15</v>
      </c>
      <c r="D121" s="166">
        <f t="shared" si="22"/>
        <v>-68.2</v>
      </c>
      <c r="E121" s="27">
        <f>IFERROR(100/'Skjema total MA'!C121*C121,0)</f>
        <v>4.6732756130739874</v>
      </c>
      <c r="F121" s="230">
        <v>47871.834000000003</v>
      </c>
      <c r="G121" s="145">
        <v>16528.659</v>
      </c>
      <c r="H121" s="166">
        <f t="shared" si="23"/>
        <v>-65.5</v>
      </c>
      <c r="I121" s="27">
        <f>IFERROR(100/'Skjema total MA'!F121*G121,0)</f>
        <v>0.37830930921302924</v>
      </c>
      <c r="J121" s="283">
        <f t="shared" si="24"/>
        <v>49261.152000000002</v>
      </c>
      <c r="K121" s="44">
        <f t="shared" si="24"/>
        <v>16969.809000000001</v>
      </c>
      <c r="L121" s="250">
        <f t="shared" si="25"/>
        <v>-65.599999999999994</v>
      </c>
      <c r="M121" s="27">
        <f>IFERROR(100/'Skjema total MA'!I121*K121,0)</f>
        <v>0.38756900531656729</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54" priority="12">
      <formula>kvartal &lt; 4</formula>
    </cfRule>
  </conditionalFormatting>
  <conditionalFormatting sqref="A69:A74">
    <cfRule type="expression" dxfId="153" priority="10">
      <formula>kvartal &lt; 4</formula>
    </cfRule>
  </conditionalFormatting>
  <conditionalFormatting sqref="A80:A85">
    <cfRule type="expression" dxfId="152" priority="9">
      <formula>kvartal &lt; 4</formula>
    </cfRule>
  </conditionalFormatting>
  <conditionalFormatting sqref="A90:A95">
    <cfRule type="expression" dxfId="151" priority="6">
      <formula>kvartal &lt; 4</formula>
    </cfRule>
  </conditionalFormatting>
  <conditionalFormatting sqref="A101:A106">
    <cfRule type="expression" dxfId="150" priority="5">
      <formula>kvartal &lt; 4</formula>
    </cfRule>
  </conditionalFormatting>
  <conditionalFormatting sqref="A115">
    <cfRule type="expression" dxfId="149" priority="4">
      <formula>kvartal &lt; 4</formula>
    </cfRule>
  </conditionalFormatting>
  <conditionalFormatting sqref="A123">
    <cfRule type="expression" dxfId="148" priority="3">
      <formula>kvartal &lt; 4</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132</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4814</v>
      </c>
      <c r="C47" s="303">
        <v>1699</v>
      </c>
      <c r="D47" s="365">
        <f t="shared" ref="D47:D57" si="0">IF(B47=0, "    ---- ", IF(ABS(ROUND(100/B47*C47-100,1))&lt;999,ROUND(100/B47*C47-100,1),IF(ROUND(100/B47*C47-100,1)&gt;999,999,-999)))</f>
        <v>-64.7</v>
      </c>
      <c r="E47" s="11">
        <f>IFERROR(100/'Skjema total MA'!C47*C47,0)</f>
        <v>6.78947423087813E-2</v>
      </c>
      <c r="F47" s="145"/>
      <c r="G47" s="33"/>
      <c r="H47" s="159"/>
      <c r="I47" s="159"/>
      <c r="J47" s="37"/>
      <c r="K47" s="37"/>
      <c r="L47" s="159"/>
      <c r="M47" s="159"/>
      <c r="N47" s="148"/>
    </row>
    <row r="48" spans="1:14" s="3" customFormat="1" ht="15.75" x14ac:dyDescent="0.2">
      <c r="A48" s="38" t="s">
        <v>382</v>
      </c>
      <c r="B48" s="277">
        <v>4814</v>
      </c>
      <c r="C48" s="278">
        <v>1699</v>
      </c>
      <c r="D48" s="250">
        <f t="shared" si="0"/>
        <v>-64.7</v>
      </c>
      <c r="E48" s="27">
        <f>IFERROR(100/'Skjema total MA'!C48*C48,0)</f>
        <v>0.12693100244975783</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1869.0029999999999</v>
      </c>
      <c r="C53" s="303">
        <v>0</v>
      </c>
      <c r="D53" s="366">
        <f t="shared" si="0"/>
        <v>-100</v>
      </c>
      <c r="E53" s="11">
        <f>IFERROR(100/'Skjema total MA'!C53*C53,0)</f>
        <v>0</v>
      </c>
      <c r="F53" s="145"/>
      <c r="G53" s="33"/>
      <c r="H53" s="145"/>
      <c r="I53" s="145"/>
      <c r="J53" s="33"/>
      <c r="K53" s="33"/>
      <c r="L53" s="159"/>
      <c r="M53" s="159"/>
      <c r="N53" s="148"/>
    </row>
    <row r="54" spans="1:14" s="3" customFormat="1" ht="15.75" x14ac:dyDescent="0.2">
      <c r="A54" s="38" t="s">
        <v>382</v>
      </c>
      <c r="B54" s="277">
        <v>1869.0029999999999</v>
      </c>
      <c r="C54" s="278">
        <v>0</v>
      </c>
      <c r="D54" s="250">
        <f t="shared" si="0"/>
        <v>-100</v>
      </c>
      <c r="E54" s="27">
        <f>IFERROR(100/'Skjema total MA'!C54*C54,0)</f>
        <v>0</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325</v>
      </c>
      <c r="C56" s="303">
        <v>0</v>
      </c>
      <c r="D56" s="366">
        <f t="shared" si="0"/>
        <v>-100</v>
      </c>
      <c r="E56" s="11">
        <f>IFERROR(100/'Skjema total MA'!C56*C56,0)</f>
        <v>0</v>
      </c>
      <c r="F56" s="145"/>
      <c r="G56" s="33"/>
      <c r="H56" s="145"/>
      <c r="I56" s="145"/>
      <c r="J56" s="33"/>
      <c r="K56" s="33"/>
      <c r="L56" s="159"/>
      <c r="M56" s="159"/>
      <c r="N56" s="148"/>
    </row>
    <row r="57" spans="1:14" s="3" customFormat="1" ht="15.75" x14ac:dyDescent="0.2">
      <c r="A57" s="38" t="s">
        <v>382</v>
      </c>
      <c r="B57" s="277">
        <v>325</v>
      </c>
      <c r="C57" s="278">
        <v>0</v>
      </c>
      <c r="D57" s="250">
        <f t="shared" si="0"/>
        <v>-100</v>
      </c>
      <c r="E57" s="27">
        <f>IFERROR(100/'Skjema total MA'!C57*C57,0)</f>
        <v>0</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47" priority="12">
      <formula>kvartal &lt; 4</formula>
    </cfRule>
  </conditionalFormatting>
  <conditionalFormatting sqref="A69:A74">
    <cfRule type="expression" dxfId="146" priority="10">
      <formula>kvartal &lt; 4</formula>
    </cfRule>
  </conditionalFormatting>
  <conditionalFormatting sqref="A80:A85">
    <cfRule type="expression" dxfId="145" priority="9">
      <formula>kvartal &lt; 4</formula>
    </cfRule>
  </conditionalFormatting>
  <conditionalFormatting sqref="A90:A95">
    <cfRule type="expression" dxfId="144" priority="6">
      <formula>kvartal &lt; 4</formula>
    </cfRule>
  </conditionalFormatting>
  <conditionalFormatting sqref="A101:A106">
    <cfRule type="expression" dxfId="143" priority="5">
      <formula>kvartal &lt; 4</formula>
    </cfRule>
  </conditionalFormatting>
  <conditionalFormatting sqref="A115">
    <cfRule type="expression" dxfId="142" priority="4">
      <formula>kvartal &lt; 4</formula>
    </cfRule>
  </conditionalFormatting>
  <conditionalFormatting sqref="A123">
    <cfRule type="expression" dxfId="141" priority="3">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120" zoomScaleNormal="120" zoomScaleSheetLayoutView="10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133</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440110</v>
      </c>
      <c r="C7" s="299">
        <v>447653</v>
      </c>
      <c r="D7" s="342">
        <f>IF(B7=0, "    ---- ", IF(ABS(ROUND(100/B7*C7-100,1))&lt;999,ROUND(100/B7*C7-100,1),IF(ROUND(100/B7*C7-100,1)&gt;999,999,-999)))</f>
        <v>1.7</v>
      </c>
      <c r="E7" s="11">
        <f>IFERROR(100/'Skjema total MA'!C7*C7,0)</f>
        <v>28.017311863719847</v>
      </c>
      <c r="F7" s="298"/>
      <c r="G7" s="299"/>
      <c r="H7" s="342"/>
      <c r="I7" s="160"/>
      <c r="J7" s="300">
        <f t="shared" ref="J7:K9" si="0">SUM(B7,F7)</f>
        <v>440110</v>
      </c>
      <c r="K7" s="301">
        <f t="shared" si="0"/>
        <v>447653</v>
      </c>
      <c r="L7" s="365">
        <f>IF(J7=0, "    ---- ", IF(ABS(ROUND(100/J7*K7-100,1))&lt;999,ROUND(100/J7*K7-100,1),IF(ROUND(100/J7*K7-100,1)&gt;999,999,-999)))</f>
        <v>1.7</v>
      </c>
      <c r="M7" s="11">
        <f>IFERROR(100/'Skjema total MA'!I7*K7,0)</f>
        <v>10.439224680105006</v>
      </c>
    </row>
    <row r="8" spans="1:14" ht="15.75" x14ac:dyDescent="0.2">
      <c r="A8" s="21" t="s">
        <v>25</v>
      </c>
      <c r="B8" s="277">
        <v>262594</v>
      </c>
      <c r="C8" s="278">
        <v>271079</v>
      </c>
      <c r="D8" s="166">
        <f t="shared" ref="D8:D9" si="1">IF(B8=0, "    ---- ", IF(ABS(ROUND(100/B8*C8-100,1))&lt;999,ROUND(100/B8*C8-100,1),IF(ROUND(100/B8*C8-100,1)&gt;999,999,-999)))</f>
        <v>3.2</v>
      </c>
      <c r="E8" s="27">
        <f>IFERROR(100/'Skjema total MA'!C8*C8,0)</f>
        <v>27.554133641613884</v>
      </c>
      <c r="F8" s="281"/>
      <c r="G8" s="282"/>
      <c r="H8" s="166"/>
      <c r="I8" s="175"/>
      <c r="J8" s="230">
        <f t="shared" si="0"/>
        <v>262594</v>
      </c>
      <c r="K8" s="283">
        <f t="shared" si="0"/>
        <v>271079</v>
      </c>
      <c r="L8" s="166">
        <f t="shared" ref="L8:L9" si="2">IF(J8=0, "    ---- ", IF(ABS(ROUND(100/J8*K8-100,1))&lt;999,ROUND(100/J8*K8-100,1),IF(ROUND(100/J8*K8-100,1)&gt;999,999,-999)))</f>
        <v>3.2</v>
      </c>
      <c r="M8" s="27">
        <f>IFERROR(100/'Skjema total MA'!I8*K8,0)</f>
        <v>27.554133641613884</v>
      </c>
    </row>
    <row r="9" spans="1:14" ht="15.75" x14ac:dyDescent="0.2">
      <c r="A9" s="21" t="s">
        <v>24</v>
      </c>
      <c r="B9" s="277">
        <v>177516</v>
      </c>
      <c r="C9" s="278">
        <v>176574</v>
      </c>
      <c r="D9" s="166">
        <f t="shared" si="1"/>
        <v>-0.5</v>
      </c>
      <c r="E9" s="27">
        <f>IFERROR(100/'Skjema total MA'!C9*C9,0)</f>
        <v>47.962224646678884</v>
      </c>
      <c r="F9" s="281"/>
      <c r="G9" s="282"/>
      <c r="H9" s="166"/>
      <c r="I9" s="175"/>
      <c r="J9" s="230">
        <f t="shared" si="0"/>
        <v>177516</v>
      </c>
      <c r="K9" s="283">
        <f t="shared" si="0"/>
        <v>176574</v>
      </c>
      <c r="L9" s="166">
        <f t="shared" si="2"/>
        <v>-0.5</v>
      </c>
      <c r="M9" s="27">
        <f>IFERROR(100/'Skjema total MA'!I9*K9,0)</f>
        <v>47.962224646678884</v>
      </c>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612135</v>
      </c>
      <c r="C47" s="303">
        <v>583949</v>
      </c>
      <c r="D47" s="365">
        <f t="shared" ref="D47:D58" si="3">IF(B47=0, "    ---- ", IF(ABS(ROUND(100/B47*C47-100,1))&lt;999,ROUND(100/B47*C47-100,1),IF(ROUND(100/B47*C47-100,1)&gt;999,999,-999)))</f>
        <v>-4.5999999999999996</v>
      </c>
      <c r="E47" s="11">
        <f>IFERROR(100/'Skjema total MA'!C47*C47,0)</f>
        <v>23.335530827822563</v>
      </c>
      <c r="F47" s="145"/>
      <c r="G47" s="33"/>
      <c r="H47" s="159"/>
      <c r="I47" s="159"/>
      <c r="J47" s="37"/>
      <c r="K47" s="37"/>
      <c r="L47" s="159"/>
      <c r="M47" s="159"/>
      <c r="N47" s="148"/>
    </row>
    <row r="48" spans="1:14" s="3" customFormat="1" ht="15.75" x14ac:dyDescent="0.2">
      <c r="A48" s="38" t="s">
        <v>382</v>
      </c>
      <c r="B48" s="277">
        <v>316750</v>
      </c>
      <c r="C48" s="278">
        <v>340884</v>
      </c>
      <c r="D48" s="250">
        <f t="shared" si="3"/>
        <v>7.6</v>
      </c>
      <c r="E48" s="27">
        <f>IFERROR(100/'Skjema total MA'!C48*C48,0)</f>
        <v>25.467185308465716</v>
      </c>
      <c r="F48" s="145"/>
      <c r="G48" s="33"/>
      <c r="H48" s="145"/>
      <c r="I48" s="145"/>
      <c r="J48" s="33"/>
      <c r="K48" s="33"/>
      <c r="L48" s="159"/>
      <c r="M48" s="159"/>
      <c r="N48" s="148"/>
    </row>
    <row r="49" spans="1:14" s="3" customFormat="1" ht="15.75" x14ac:dyDescent="0.2">
      <c r="A49" s="38" t="s">
        <v>383</v>
      </c>
      <c r="B49" s="44">
        <v>295385</v>
      </c>
      <c r="C49" s="283">
        <v>243065</v>
      </c>
      <c r="D49" s="250">
        <f>IF(B49=0, "    ---- ", IF(ABS(ROUND(100/B49*C49-100,1))&lt;999,ROUND(100/B49*C49-100,1),IF(ROUND(100/B49*C49-100,1)&gt;999,999,-999)))</f>
        <v>-17.7</v>
      </c>
      <c r="E49" s="27">
        <f>IFERROR(100/'Skjema total MA'!C49*C49,0)</f>
        <v>20.884018294524886</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28414</v>
      </c>
      <c r="C53" s="303">
        <v>19248</v>
      </c>
      <c r="D53" s="366">
        <f t="shared" si="3"/>
        <v>-32.299999999999997</v>
      </c>
      <c r="E53" s="11">
        <f>IFERROR(100/'Skjema total MA'!C53*C53,0)</f>
        <v>12.918030899341995</v>
      </c>
      <c r="F53" s="145"/>
      <c r="G53" s="33"/>
      <c r="H53" s="145"/>
      <c r="I53" s="145"/>
      <c r="J53" s="33"/>
      <c r="K53" s="33"/>
      <c r="L53" s="159"/>
      <c r="M53" s="159"/>
      <c r="N53" s="148"/>
    </row>
    <row r="54" spans="1:14" s="3" customFormat="1" ht="15.75" x14ac:dyDescent="0.2">
      <c r="A54" s="38" t="s">
        <v>382</v>
      </c>
      <c r="B54" s="277">
        <v>28414</v>
      </c>
      <c r="C54" s="278">
        <v>19248</v>
      </c>
      <c r="D54" s="250">
        <f t="shared" si="3"/>
        <v>-32.299999999999997</v>
      </c>
      <c r="E54" s="27">
        <f>IFERROR(100/'Skjema total MA'!C54*C54,0)</f>
        <v>30.440028257607281</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14525</v>
      </c>
      <c r="C56" s="303">
        <v>83351</v>
      </c>
      <c r="D56" s="366">
        <f t="shared" si="3"/>
        <v>473.8</v>
      </c>
      <c r="E56" s="11">
        <f>IFERROR(100/'Skjema total MA'!C56*C56,0)</f>
        <v>68.837158121382743</v>
      </c>
      <c r="F56" s="145"/>
      <c r="G56" s="33"/>
      <c r="H56" s="145"/>
      <c r="I56" s="145"/>
      <c r="J56" s="33"/>
      <c r="K56" s="33"/>
      <c r="L56" s="159"/>
      <c r="M56" s="159"/>
      <c r="N56" s="148"/>
    </row>
    <row r="57" spans="1:14" s="3" customFormat="1" ht="15.75" x14ac:dyDescent="0.2">
      <c r="A57" s="38" t="s">
        <v>382</v>
      </c>
      <c r="B57" s="277">
        <v>14525</v>
      </c>
      <c r="C57" s="278">
        <v>17319</v>
      </c>
      <c r="D57" s="250">
        <f t="shared" si="3"/>
        <v>19.2</v>
      </c>
      <c r="E57" s="27">
        <f>IFERROR(100/'Skjema total MA'!C57*C57,0)</f>
        <v>31.778914610337186</v>
      </c>
      <c r="F57" s="145"/>
      <c r="G57" s="33"/>
      <c r="H57" s="145"/>
      <c r="I57" s="145"/>
      <c r="J57" s="33"/>
      <c r="K57" s="33"/>
      <c r="L57" s="159"/>
      <c r="M57" s="159"/>
      <c r="N57" s="148"/>
    </row>
    <row r="58" spans="1:14" s="3" customFormat="1" ht="15.75" x14ac:dyDescent="0.2">
      <c r="A58" s="46" t="s">
        <v>383</v>
      </c>
      <c r="B58" s="279">
        <v>0</v>
      </c>
      <c r="C58" s="280">
        <v>66032</v>
      </c>
      <c r="D58" s="251" t="str">
        <f t="shared" si="3"/>
        <v xml:space="preserve">    ---- </v>
      </c>
      <c r="E58" s="22">
        <f>IFERROR(100/'Skjema total MA'!C58*C58,0)</f>
        <v>99.168122843040393</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40" priority="12">
      <formula>kvartal &lt; 4</formula>
    </cfRule>
  </conditionalFormatting>
  <conditionalFormatting sqref="A69:A74">
    <cfRule type="expression" dxfId="139" priority="10">
      <formula>kvartal &lt; 4</formula>
    </cfRule>
  </conditionalFormatting>
  <conditionalFormatting sqref="A80:A85">
    <cfRule type="expression" dxfId="138" priority="9">
      <formula>kvartal &lt; 4</formula>
    </cfRule>
  </conditionalFormatting>
  <conditionalFormatting sqref="A90:A95">
    <cfRule type="expression" dxfId="137" priority="6">
      <formula>kvartal &lt; 4</formula>
    </cfRule>
  </conditionalFormatting>
  <conditionalFormatting sqref="A101:A106">
    <cfRule type="expression" dxfId="136" priority="5">
      <formula>kvartal &lt; 4</formula>
    </cfRule>
  </conditionalFormatting>
  <conditionalFormatting sqref="A115">
    <cfRule type="expression" dxfId="135" priority="4">
      <formula>kvartal &lt; 4</formula>
    </cfRule>
  </conditionalFormatting>
  <conditionalFormatting sqref="A123">
    <cfRule type="expression" dxfId="134" priority="3">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134</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v>17993</v>
      </c>
      <c r="G7" s="299">
        <v>20238</v>
      </c>
      <c r="H7" s="342">
        <f>IF(F7=0, "    ---- ", IF(ABS(ROUND(100/F7*G7-100,1))&lt;999,ROUND(100/F7*G7-100,1),IF(ROUND(100/F7*G7-100,1)&gt;999,999,-999)))</f>
        <v>12.5</v>
      </c>
      <c r="I7" s="160">
        <f>IFERROR(100/'Skjema total MA'!F7*G7,0)</f>
        <v>0.75222746700293486</v>
      </c>
      <c r="J7" s="300">
        <f t="shared" ref="J7:K12" si="0">SUM(B7,F7)</f>
        <v>17993</v>
      </c>
      <c r="K7" s="301">
        <f t="shared" si="0"/>
        <v>20238</v>
      </c>
      <c r="L7" s="365">
        <f>IF(J7=0, "    ---- ", IF(ABS(ROUND(100/J7*K7-100,1))&lt;999,ROUND(100/J7*K7-100,1),IF(ROUND(100/J7*K7-100,1)&gt;999,999,-999)))</f>
        <v>12.5</v>
      </c>
      <c r="M7" s="11">
        <f>IFERROR(100/'Skjema total MA'!I7*K7,0)</f>
        <v>0.47194820335385912</v>
      </c>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v>516279</v>
      </c>
      <c r="G10" s="303">
        <v>555994</v>
      </c>
      <c r="H10" s="171">
        <f t="shared" ref="H10:H12" si="1">IF(F10=0, "    ---- ", IF(ABS(ROUND(100/F10*G10-100,1))&lt;999,ROUND(100/F10*G10-100,1),IF(ROUND(100/F10*G10-100,1)&gt;999,999,-999)))</f>
        <v>7.7</v>
      </c>
      <c r="I10" s="160">
        <f>IFERROR(100/'Skjema total MA'!F10*G10,0)</f>
        <v>1.2406313162688012</v>
      </c>
      <c r="J10" s="300">
        <f t="shared" si="0"/>
        <v>516279</v>
      </c>
      <c r="K10" s="301">
        <f t="shared" si="0"/>
        <v>555994</v>
      </c>
      <c r="L10" s="366">
        <f t="shared" ref="L10:L12" si="2">IF(J10=0, "    ---- ", IF(ABS(ROUND(100/J10*K10-100,1))&lt;999,ROUND(100/J10*K10-100,1),IF(ROUND(100/J10*K10-100,1)&gt;999,999,-999)))</f>
        <v>7.7</v>
      </c>
      <c r="M10" s="11">
        <f>IFERROR(100/'Skjema total MA'!I10*K10,0)</f>
        <v>0.85459154006552984</v>
      </c>
    </row>
    <row r="11" spans="1:14" s="43" customFormat="1" ht="15.75" x14ac:dyDescent="0.2">
      <c r="A11" s="13" t="s">
        <v>372</v>
      </c>
      <c r="B11" s="302"/>
      <c r="C11" s="303"/>
      <c r="D11" s="171"/>
      <c r="E11" s="11"/>
      <c r="F11" s="302">
        <v>1869</v>
      </c>
      <c r="G11" s="303">
        <v>1408</v>
      </c>
      <c r="H11" s="171">
        <f t="shared" si="1"/>
        <v>-24.7</v>
      </c>
      <c r="I11" s="160">
        <f>IFERROR(100/'Skjema total MA'!F11*G11,0)</f>
        <v>1.5166046129254869</v>
      </c>
      <c r="J11" s="300">
        <f t="shared" si="0"/>
        <v>1869</v>
      </c>
      <c r="K11" s="301">
        <f t="shared" si="0"/>
        <v>1408</v>
      </c>
      <c r="L11" s="366">
        <f t="shared" si="2"/>
        <v>-24.7</v>
      </c>
      <c r="M11" s="11">
        <f>IFERROR(100/'Skjema total MA'!I11*K11,0)</f>
        <v>1.4342326413741118</v>
      </c>
      <c r="N11" s="143"/>
    </row>
    <row r="12" spans="1:14" s="43" customFormat="1" ht="15.75" x14ac:dyDescent="0.2">
      <c r="A12" s="41" t="s">
        <v>373</v>
      </c>
      <c r="B12" s="304"/>
      <c r="C12" s="305"/>
      <c r="D12" s="169"/>
      <c r="E12" s="36"/>
      <c r="F12" s="304">
        <v>126</v>
      </c>
      <c r="G12" s="305">
        <v>870</v>
      </c>
      <c r="H12" s="169">
        <f t="shared" si="1"/>
        <v>590.5</v>
      </c>
      <c r="I12" s="169">
        <f>IFERROR(100/'Skjema total MA'!F12*G12,0)</f>
        <v>2.080998896079838</v>
      </c>
      <c r="J12" s="306">
        <f t="shared" si="0"/>
        <v>126</v>
      </c>
      <c r="K12" s="307">
        <f t="shared" si="0"/>
        <v>870</v>
      </c>
      <c r="L12" s="367">
        <f t="shared" si="2"/>
        <v>590.5</v>
      </c>
      <c r="M12" s="36">
        <f>IFERROR(100/'Skjema total MA'!I12*K12,0)</f>
        <v>1.9835911041969094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121751</v>
      </c>
      <c r="C22" s="302">
        <v>136472</v>
      </c>
      <c r="D22" s="342">
        <f t="shared" ref="D22:D29" si="3">IF(B22=0, "    ---- ", IF(ABS(ROUND(100/B22*C22-100,1))&lt;999,ROUND(100/B22*C22-100,1),IF(ROUND(100/B22*C22-100,1)&gt;999,999,-999)))</f>
        <v>12.1</v>
      </c>
      <c r="E22" s="11">
        <f>IFERROR(100/'Skjema total MA'!C22*C22,0)</f>
        <v>19.797288190095532</v>
      </c>
      <c r="F22" s="310">
        <v>12357</v>
      </c>
      <c r="G22" s="310">
        <v>16347</v>
      </c>
      <c r="H22" s="342">
        <f t="shared" ref="H22:H35" si="4">IF(F22=0, "    ---- ", IF(ABS(ROUND(100/F22*G22-100,1))&lt;999,ROUND(100/F22*G22-100,1),IF(ROUND(100/F22*G22-100,1)&gt;999,999,-999)))</f>
        <v>32.299999999999997</v>
      </c>
      <c r="I22" s="11">
        <f>IFERROR(100/'Skjema total MA'!F22*G22,0)</f>
        <v>5.2870842798729596</v>
      </c>
      <c r="J22" s="308">
        <f t="shared" ref="J22:K35" si="5">SUM(B22,F22)</f>
        <v>134108</v>
      </c>
      <c r="K22" s="308">
        <f t="shared" si="5"/>
        <v>152819</v>
      </c>
      <c r="L22" s="365">
        <f t="shared" ref="L22:L35" si="6">IF(J22=0, "    ---- ", IF(ABS(ROUND(100/J22*K22-100,1))&lt;999,ROUND(100/J22*K22-100,1),IF(ROUND(100/J22*K22-100,1)&gt;999,999,-999)))</f>
        <v>14</v>
      </c>
      <c r="M22" s="24">
        <f>IFERROR(100/'Skjema total MA'!I22*K22,0)</f>
        <v>15.304330514313628</v>
      </c>
    </row>
    <row r="23" spans="1:14" ht="15.75" x14ac:dyDescent="0.2">
      <c r="A23" s="546" t="s">
        <v>374</v>
      </c>
      <c r="B23" s="277"/>
      <c r="C23" s="277"/>
      <c r="D23" s="166"/>
      <c r="E23" s="11"/>
      <c r="F23" s="285">
        <v>3</v>
      </c>
      <c r="G23" s="285">
        <v>2</v>
      </c>
      <c r="H23" s="166">
        <f t="shared" si="4"/>
        <v>-33.299999999999997</v>
      </c>
      <c r="I23" s="358">
        <f>IFERROR(100/'Skjema total MA'!F23*G23,0)</f>
        <v>6.5662205534289418E-3</v>
      </c>
      <c r="J23" s="285">
        <f t="shared" ref="J23:J26" si="7">SUM(B23,F23)</f>
        <v>3</v>
      </c>
      <c r="K23" s="285">
        <f t="shared" ref="K23:K26" si="8">SUM(C23,G23)</f>
        <v>2</v>
      </c>
      <c r="L23" s="166">
        <f t="shared" si="6"/>
        <v>-33.299999999999997</v>
      </c>
      <c r="M23" s="23">
        <f>IFERROR(100/'Skjema total MA'!I23*K23,0)</f>
        <v>3.5952573389135364E-4</v>
      </c>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v>308</v>
      </c>
      <c r="G25" s="285">
        <v>4</v>
      </c>
      <c r="H25" s="166">
        <f t="shared" ref="H25:H26" si="9">IF(F25=0, "    ---- ", IF(ABS(ROUND(100/F25*G25-100,1))&lt;999,ROUND(100/F25*G25-100,1),IF(ROUND(100/F25*G25-100,1)&gt;999,999,-999)))</f>
        <v>-98.7</v>
      </c>
      <c r="I25" s="358">
        <f>IFERROR(100/'Skjema total MA'!F25*G25,0)</f>
        <v>6.1261405137258605E-2</v>
      </c>
      <c r="J25" s="285">
        <f t="shared" si="7"/>
        <v>308</v>
      </c>
      <c r="K25" s="285">
        <f t="shared" si="8"/>
        <v>4</v>
      </c>
      <c r="L25" s="166">
        <f t="shared" ref="L25:L26" si="10">IF(J25=0, "    ---- ", IF(ABS(ROUND(100/J25*K25-100,1))&lt;999,ROUND(100/J25*K25-100,1),IF(ROUND(100/J25*K25-100,1)&gt;999,999,-999)))</f>
        <v>-98.7</v>
      </c>
      <c r="M25" s="23">
        <f>IFERROR(100/'Skjema total MA'!I25*K25,0)</f>
        <v>2.2167546670332158E-2</v>
      </c>
    </row>
    <row r="26" spans="1:14" ht="15.75" x14ac:dyDescent="0.2">
      <c r="A26" s="546" t="s">
        <v>377</v>
      </c>
      <c r="B26" s="277"/>
      <c r="C26" s="277"/>
      <c r="D26" s="166"/>
      <c r="E26" s="11"/>
      <c r="F26" s="285">
        <v>12046</v>
      </c>
      <c r="G26" s="285">
        <v>16341</v>
      </c>
      <c r="H26" s="166">
        <f t="shared" si="9"/>
        <v>35.700000000000003</v>
      </c>
      <c r="I26" s="358">
        <f>IFERROR(100/'Skjema total MA'!F26*G26,0)</f>
        <v>6.0040811131496898</v>
      </c>
      <c r="J26" s="285">
        <f t="shared" si="7"/>
        <v>12046</v>
      </c>
      <c r="K26" s="285">
        <f t="shared" si="8"/>
        <v>16341</v>
      </c>
      <c r="L26" s="166">
        <f t="shared" si="10"/>
        <v>35.700000000000003</v>
      </c>
      <c r="M26" s="23">
        <f>IFERROR(100/'Skjema total MA'!I26*K26,0)</f>
        <v>6.0040811131496898</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121751</v>
      </c>
      <c r="C28" s="283">
        <v>136472</v>
      </c>
      <c r="D28" s="166">
        <f t="shared" si="3"/>
        <v>12.1</v>
      </c>
      <c r="E28" s="11">
        <f>IFERROR(100/'Skjema total MA'!C28*C28,0)</f>
        <v>21.151934477878122</v>
      </c>
      <c r="F28" s="230"/>
      <c r="G28" s="283"/>
      <c r="H28" s="166"/>
      <c r="I28" s="27"/>
      <c r="J28" s="44">
        <f t="shared" si="5"/>
        <v>121751</v>
      </c>
      <c r="K28" s="44">
        <f t="shared" si="5"/>
        <v>136472</v>
      </c>
      <c r="L28" s="250">
        <f t="shared" si="6"/>
        <v>12.1</v>
      </c>
      <c r="M28" s="23">
        <f>IFERROR(100/'Skjema total MA'!I28*K28,0)</f>
        <v>21.151934477878122</v>
      </c>
    </row>
    <row r="29" spans="1:14" s="3" customFormat="1" ht="15.75" x14ac:dyDescent="0.2">
      <c r="A29" s="13" t="s">
        <v>371</v>
      </c>
      <c r="B29" s="232">
        <v>1401345</v>
      </c>
      <c r="C29" s="232">
        <v>1708942</v>
      </c>
      <c r="D29" s="171">
        <f t="shared" si="3"/>
        <v>22</v>
      </c>
      <c r="E29" s="11">
        <f>IFERROR(100/'Skjema total MA'!C29*C29,0)</f>
        <v>3.5658617753061548</v>
      </c>
      <c r="F29" s="300">
        <v>1574201</v>
      </c>
      <c r="G29" s="300">
        <v>1557584</v>
      </c>
      <c r="H29" s="171">
        <f t="shared" si="4"/>
        <v>-1.1000000000000001</v>
      </c>
      <c r="I29" s="11">
        <f>IFERROR(100/'Skjema total MA'!F29*G29,0)</f>
        <v>7.6701709142404306</v>
      </c>
      <c r="J29" s="232">
        <f t="shared" si="5"/>
        <v>2975546</v>
      </c>
      <c r="K29" s="232">
        <f t="shared" si="5"/>
        <v>3266526</v>
      </c>
      <c r="L29" s="366">
        <f t="shared" si="6"/>
        <v>9.8000000000000007</v>
      </c>
      <c r="M29" s="24">
        <f>IFERROR(100/'Skjema total MA'!I29*K29,0)</f>
        <v>4.7873736993185254</v>
      </c>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v>1974</v>
      </c>
      <c r="G34" s="301">
        <v>2890</v>
      </c>
      <c r="H34" s="171">
        <f t="shared" si="4"/>
        <v>46.4</v>
      </c>
      <c r="I34" s="11">
        <f>IFERROR(100/'Skjema total MA'!F34*G34,0)</f>
        <v>21.551641721737603</v>
      </c>
      <c r="J34" s="232">
        <f t="shared" si="5"/>
        <v>1974</v>
      </c>
      <c r="K34" s="232">
        <f t="shared" si="5"/>
        <v>2890</v>
      </c>
      <c r="L34" s="366">
        <f t="shared" si="6"/>
        <v>46.4</v>
      </c>
      <c r="M34" s="24">
        <f>IFERROR(100/'Skjema total MA'!I34*K34,0)</f>
        <v>14.896983022173401</v>
      </c>
    </row>
    <row r="35" spans="1:14" ht="15.75" x14ac:dyDescent="0.2">
      <c r="A35" s="13" t="s">
        <v>373</v>
      </c>
      <c r="B35" s="232"/>
      <c r="C35" s="301"/>
      <c r="D35" s="171"/>
      <c r="E35" s="11"/>
      <c r="F35" s="300">
        <v>2091</v>
      </c>
      <c r="G35" s="301">
        <v>3006</v>
      </c>
      <c r="H35" s="171">
        <f t="shared" si="4"/>
        <v>43.8</v>
      </c>
      <c r="I35" s="11">
        <f>IFERROR(100/'Skjema total MA'!F35*G35,0)</f>
        <v>13.343129149133343</v>
      </c>
      <c r="J35" s="232">
        <f t="shared" si="5"/>
        <v>2091</v>
      </c>
      <c r="K35" s="232">
        <f t="shared" si="5"/>
        <v>3006</v>
      </c>
      <c r="L35" s="366">
        <f t="shared" si="6"/>
        <v>43.8</v>
      </c>
      <c r="M35" s="24">
        <f>IFERROR(100/'Skjema total MA'!I35*K35,0)</f>
        <v>20.034944996384596</v>
      </c>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56874</v>
      </c>
      <c r="C66" s="345">
        <v>65189</v>
      </c>
      <c r="D66" s="342">
        <f t="shared" ref="D66:D111" si="11">IF(B66=0, "    ---- ", IF(ABS(ROUND(100/B66*C66-100,1))&lt;999,ROUND(100/B66*C66-100,1),IF(ROUND(100/B66*C66-100,1)&gt;999,999,-999)))</f>
        <v>14.6</v>
      </c>
      <c r="E66" s="11">
        <f>IFERROR(100/'Skjema total MA'!C66*C66,0)</f>
        <v>1.8555998847999529</v>
      </c>
      <c r="F66" s="344">
        <v>651143</v>
      </c>
      <c r="G66" s="344">
        <v>744880</v>
      </c>
      <c r="H66" s="342">
        <f t="shared" ref="H66:H111" si="12">IF(F66=0, "    ---- ", IF(ABS(ROUND(100/F66*G66-100,1))&lt;999,ROUND(100/F66*G66-100,1),IF(ROUND(100/F66*G66-100,1)&gt;999,999,-999)))</f>
        <v>14.4</v>
      </c>
      <c r="I66" s="11">
        <f>IFERROR(100/'Skjema total MA'!F66*G66,0)</f>
        <v>9.4446296307167312</v>
      </c>
      <c r="J66" s="301">
        <f t="shared" ref="J66:K79" si="13">SUM(B66,F66)</f>
        <v>708017</v>
      </c>
      <c r="K66" s="308">
        <f t="shared" si="13"/>
        <v>810069</v>
      </c>
      <c r="L66" s="366">
        <f t="shared" ref="L66:L111" si="14">IF(J66=0, "    ---- ", IF(ABS(ROUND(100/J66*K66-100,1))&lt;999,ROUND(100/J66*K66-100,1),IF(ROUND(100/J66*K66-100,1)&gt;999,999,-999)))</f>
        <v>14.4</v>
      </c>
      <c r="M66" s="11">
        <f>IFERROR(100/'Skjema total MA'!I66*K66,0)</f>
        <v>7.1059271543704678</v>
      </c>
    </row>
    <row r="67" spans="1:14" x14ac:dyDescent="0.2">
      <c r="A67" s="360" t="s">
        <v>9</v>
      </c>
      <c r="B67" s="44">
        <v>56874</v>
      </c>
      <c r="C67" s="145">
        <v>65189</v>
      </c>
      <c r="D67" s="166">
        <f t="shared" si="11"/>
        <v>14.6</v>
      </c>
      <c r="E67" s="27">
        <f>IFERROR(100/'Skjema total MA'!C67*C67,0)</f>
        <v>2.3052065351583777</v>
      </c>
      <c r="F67" s="230"/>
      <c r="G67" s="145"/>
      <c r="H67" s="166"/>
      <c r="I67" s="27"/>
      <c r="J67" s="283">
        <f t="shared" si="13"/>
        <v>56874</v>
      </c>
      <c r="K67" s="44">
        <f t="shared" si="13"/>
        <v>65189</v>
      </c>
      <c r="L67" s="250">
        <f t="shared" si="14"/>
        <v>14.6</v>
      </c>
      <c r="M67" s="27">
        <f>IFERROR(100/'Skjema total MA'!I67*K67,0)</f>
        <v>2.3052065351583777</v>
      </c>
    </row>
    <row r="68" spans="1:14" x14ac:dyDescent="0.2">
      <c r="A68" s="21" t="s">
        <v>10</v>
      </c>
      <c r="B68" s="286"/>
      <c r="C68" s="287"/>
      <c r="D68" s="166"/>
      <c r="E68" s="27"/>
      <c r="F68" s="286">
        <v>651143</v>
      </c>
      <c r="G68" s="287">
        <v>744880</v>
      </c>
      <c r="H68" s="166">
        <f t="shared" si="12"/>
        <v>14.4</v>
      </c>
      <c r="I68" s="27">
        <f>IFERROR(100/'Skjema total MA'!F68*G68,0)</f>
        <v>9.5694539612139646</v>
      </c>
      <c r="J68" s="283">
        <f t="shared" si="13"/>
        <v>651143</v>
      </c>
      <c r="K68" s="44">
        <f t="shared" si="13"/>
        <v>744880</v>
      </c>
      <c r="L68" s="250">
        <f t="shared" si="14"/>
        <v>14.4</v>
      </c>
      <c r="M68" s="27">
        <f>IFERROR(100/'Skjema total MA'!I68*K68,0)</f>
        <v>9.4516399999689469</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v>56874</v>
      </c>
      <c r="C77" s="230">
        <v>65189</v>
      </c>
      <c r="D77" s="166">
        <f t="shared" si="11"/>
        <v>14.6</v>
      </c>
      <c r="E77" s="27">
        <f>IFERROR(100/'Skjema total MA'!C77*C77,0)</f>
        <v>2.2739325684846099</v>
      </c>
      <c r="F77" s="230">
        <v>651143</v>
      </c>
      <c r="G77" s="145">
        <v>744880</v>
      </c>
      <c r="H77" s="166">
        <f t="shared" si="12"/>
        <v>14.4</v>
      </c>
      <c r="I77" s="27">
        <f>IFERROR(100/'Skjema total MA'!F77*G77,0)</f>
        <v>9.5737326502255495</v>
      </c>
      <c r="J77" s="283">
        <f t="shared" si="13"/>
        <v>708017</v>
      </c>
      <c r="K77" s="44">
        <f t="shared" si="13"/>
        <v>810069</v>
      </c>
      <c r="L77" s="250">
        <f t="shared" si="14"/>
        <v>14.4</v>
      </c>
      <c r="M77" s="27">
        <f>IFERROR(100/'Skjema total MA'!I77*K77,0)</f>
        <v>7.6082455014083141</v>
      </c>
    </row>
    <row r="78" spans="1:14" x14ac:dyDescent="0.2">
      <c r="A78" s="21" t="s">
        <v>9</v>
      </c>
      <c r="B78" s="230">
        <v>56874</v>
      </c>
      <c r="C78" s="145">
        <v>65189</v>
      </c>
      <c r="D78" s="166">
        <f t="shared" si="11"/>
        <v>14.6</v>
      </c>
      <c r="E78" s="27">
        <f>IFERROR(100/'Skjema total MA'!C78*C78,0)</f>
        <v>2.3524911699816999</v>
      </c>
      <c r="F78" s="230"/>
      <c r="G78" s="145"/>
      <c r="H78" s="166"/>
      <c r="I78" s="27"/>
      <c r="J78" s="283">
        <f t="shared" si="13"/>
        <v>56874</v>
      </c>
      <c r="K78" s="44">
        <f t="shared" si="13"/>
        <v>65189</v>
      </c>
      <c r="L78" s="250">
        <f t="shared" si="14"/>
        <v>14.6</v>
      </c>
      <c r="M78" s="27">
        <f>IFERROR(100/'Skjema total MA'!I78*K78,0)</f>
        <v>2.3524911699816999</v>
      </c>
    </row>
    <row r="79" spans="1:14" x14ac:dyDescent="0.2">
      <c r="A79" s="21" t="s">
        <v>10</v>
      </c>
      <c r="B79" s="286"/>
      <c r="C79" s="287"/>
      <c r="D79" s="166"/>
      <c r="E79" s="27"/>
      <c r="F79" s="286">
        <v>651143</v>
      </c>
      <c r="G79" s="287">
        <v>744880</v>
      </c>
      <c r="H79" s="166">
        <f t="shared" si="12"/>
        <v>14.4</v>
      </c>
      <c r="I79" s="27">
        <f>IFERROR(100/'Skjema total MA'!F79*G79,0)</f>
        <v>9.5737326502255495</v>
      </c>
      <c r="J79" s="283">
        <f t="shared" si="13"/>
        <v>651143</v>
      </c>
      <c r="K79" s="44">
        <f t="shared" si="13"/>
        <v>744880</v>
      </c>
      <c r="L79" s="250">
        <f t="shared" si="14"/>
        <v>14.4</v>
      </c>
      <c r="M79" s="27">
        <f>IFERROR(100/'Skjema total MA'!I79*K79,0)</f>
        <v>9.4573662317857039</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v>4737177</v>
      </c>
      <c r="C87" s="345">
        <v>5089512</v>
      </c>
      <c r="D87" s="171">
        <f t="shared" si="11"/>
        <v>7.4</v>
      </c>
      <c r="E87" s="11">
        <f>IFERROR(100/'Skjema total MA'!C87*C87,0)</f>
        <v>1.3100943203655095</v>
      </c>
      <c r="F87" s="344">
        <v>20693627</v>
      </c>
      <c r="G87" s="344">
        <v>24768563</v>
      </c>
      <c r="H87" s="171">
        <f t="shared" si="12"/>
        <v>19.7</v>
      </c>
      <c r="I87" s="11">
        <f>IFERROR(100/'Skjema total MA'!F87*G87,0)</f>
        <v>9.1521381954153984</v>
      </c>
      <c r="J87" s="301">
        <f t="shared" ref="J87:K111" si="15">SUM(B87,F87)</f>
        <v>25430804</v>
      </c>
      <c r="K87" s="232">
        <f t="shared" si="15"/>
        <v>29858075</v>
      </c>
      <c r="L87" s="366">
        <f t="shared" si="14"/>
        <v>17.399999999999999</v>
      </c>
      <c r="M87" s="11">
        <f>IFERROR(100/'Skjema total MA'!I87*K87,0)</f>
        <v>4.5300193968492382</v>
      </c>
    </row>
    <row r="88" spans="1:13" x14ac:dyDescent="0.2">
      <c r="A88" s="21" t="s">
        <v>9</v>
      </c>
      <c r="B88" s="230">
        <v>4737177</v>
      </c>
      <c r="C88" s="145">
        <v>5089512</v>
      </c>
      <c r="D88" s="166">
        <f t="shared" si="11"/>
        <v>7.4</v>
      </c>
      <c r="E88" s="27">
        <f>IFERROR(100/'Skjema total MA'!C88*C88,0)</f>
        <v>1.3398528694423419</v>
      </c>
      <c r="F88" s="230"/>
      <c r="G88" s="145"/>
      <c r="H88" s="166"/>
      <c r="I88" s="27"/>
      <c r="J88" s="283">
        <f t="shared" si="15"/>
        <v>4737177</v>
      </c>
      <c r="K88" s="44">
        <f t="shared" si="15"/>
        <v>5089512</v>
      </c>
      <c r="L88" s="250">
        <f t="shared" si="14"/>
        <v>7.4</v>
      </c>
      <c r="M88" s="27">
        <f>IFERROR(100/'Skjema total MA'!I88*K88,0)</f>
        <v>1.3398528694423419</v>
      </c>
    </row>
    <row r="89" spans="1:13" x14ac:dyDescent="0.2">
      <c r="A89" s="21" t="s">
        <v>10</v>
      </c>
      <c r="B89" s="230"/>
      <c r="C89" s="145"/>
      <c r="D89" s="166"/>
      <c r="E89" s="27"/>
      <c r="F89" s="230">
        <v>20693627</v>
      </c>
      <c r="G89" s="145">
        <v>24768563</v>
      </c>
      <c r="H89" s="166">
        <f t="shared" si="12"/>
        <v>19.7</v>
      </c>
      <c r="I89" s="27">
        <f>IFERROR(100/'Skjema total MA'!F89*G89,0)</f>
        <v>9.1925752336604347</v>
      </c>
      <c r="J89" s="283">
        <f t="shared" si="15"/>
        <v>20693627</v>
      </c>
      <c r="K89" s="44">
        <f t="shared" si="15"/>
        <v>24768563</v>
      </c>
      <c r="L89" s="250">
        <f t="shared" si="14"/>
        <v>19.7</v>
      </c>
      <c r="M89" s="27">
        <f>IFERROR(100/'Skjema total MA'!I89*K89,0)</f>
        <v>9.0983118277953121</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v>4737177</v>
      </c>
      <c r="C98" s="230">
        <v>5089512</v>
      </c>
      <c r="D98" s="166">
        <f t="shared" si="11"/>
        <v>7.4</v>
      </c>
      <c r="E98" s="27">
        <f>IFERROR(100/'Skjema total MA'!C98*C98,0)</f>
        <v>1.3468520109464897</v>
      </c>
      <c r="F98" s="286">
        <v>20693627</v>
      </c>
      <c r="G98" s="286">
        <v>24768563</v>
      </c>
      <c r="H98" s="166">
        <f t="shared" si="12"/>
        <v>19.7</v>
      </c>
      <c r="I98" s="27">
        <f>IFERROR(100/'Skjema total MA'!F98*G98,0)</f>
        <v>9.2181033266945835</v>
      </c>
      <c r="J98" s="283">
        <f t="shared" si="15"/>
        <v>25430804</v>
      </c>
      <c r="K98" s="44">
        <f t="shared" si="15"/>
        <v>29858075</v>
      </c>
      <c r="L98" s="250">
        <f t="shared" si="14"/>
        <v>17.399999999999999</v>
      </c>
      <c r="M98" s="27">
        <f>IFERROR(100/'Skjema total MA'!I98*K98,0)</f>
        <v>4.6178695716883311</v>
      </c>
    </row>
    <row r="99" spans="1:13" x14ac:dyDescent="0.2">
      <c r="A99" s="21" t="s">
        <v>9</v>
      </c>
      <c r="B99" s="286">
        <v>4737177</v>
      </c>
      <c r="C99" s="287">
        <v>5089512</v>
      </c>
      <c r="D99" s="166">
        <f t="shared" si="11"/>
        <v>7.4</v>
      </c>
      <c r="E99" s="27">
        <f>IFERROR(100/'Skjema total MA'!C99*C99,0)</f>
        <v>1.356875749837599</v>
      </c>
      <c r="F99" s="230"/>
      <c r="G99" s="145"/>
      <c r="H99" s="166"/>
      <c r="I99" s="27"/>
      <c r="J99" s="283">
        <f t="shared" si="15"/>
        <v>4737177</v>
      </c>
      <c r="K99" s="44">
        <f t="shared" si="15"/>
        <v>5089512</v>
      </c>
      <c r="L99" s="250">
        <f t="shared" si="14"/>
        <v>7.4</v>
      </c>
      <c r="M99" s="27">
        <f>IFERROR(100/'Skjema total MA'!I99*K99,0)</f>
        <v>1.356875749837599</v>
      </c>
    </row>
    <row r="100" spans="1:13" x14ac:dyDescent="0.2">
      <c r="A100" s="21" t="s">
        <v>10</v>
      </c>
      <c r="B100" s="286"/>
      <c r="C100" s="287"/>
      <c r="D100" s="166"/>
      <c r="E100" s="27"/>
      <c r="F100" s="230">
        <v>20693627</v>
      </c>
      <c r="G100" s="230">
        <v>24768563</v>
      </c>
      <c r="H100" s="166">
        <f t="shared" si="12"/>
        <v>19.7</v>
      </c>
      <c r="I100" s="27">
        <f>IFERROR(100/'Skjema total MA'!F100*G100,0)</f>
        <v>9.2181033266945835</v>
      </c>
      <c r="J100" s="283">
        <f t="shared" si="15"/>
        <v>20693627</v>
      </c>
      <c r="K100" s="44">
        <f t="shared" si="15"/>
        <v>24768563</v>
      </c>
      <c r="L100" s="250">
        <f t="shared" si="14"/>
        <v>19.7</v>
      </c>
      <c r="M100" s="27">
        <f>IFERROR(100/'Skjema total MA'!I100*K100,0)</f>
        <v>9.1233183476529067</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v>4021522</v>
      </c>
      <c r="C108" s="230">
        <v>4119089</v>
      </c>
      <c r="D108" s="166">
        <f t="shared" si="11"/>
        <v>2.4</v>
      </c>
      <c r="E108" s="27">
        <f>IFERROR(100/'Skjema total MA'!C108*C108,0)</f>
        <v>1.309409512960338</v>
      </c>
      <c r="F108" s="230"/>
      <c r="G108" s="230"/>
      <c r="H108" s="166"/>
      <c r="I108" s="27"/>
      <c r="J108" s="283">
        <f t="shared" si="15"/>
        <v>4021522</v>
      </c>
      <c r="K108" s="44">
        <f t="shared" si="15"/>
        <v>4119089</v>
      </c>
      <c r="L108" s="250">
        <f t="shared" si="14"/>
        <v>2.4</v>
      </c>
      <c r="M108" s="27">
        <f>IFERROR(100/'Skjema total MA'!I108*K108,0)</f>
        <v>1.245845274111925</v>
      </c>
    </row>
    <row r="109" spans="1:13" ht="15.75" x14ac:dyDescent="0.2">
      <c r="A109" s="21" t="s">
        <v>391</v>
      </c>
      <c r="B109" s="230"/>
      <c r="C109" s="230"/>
      <c r="D109" s="166"/>
      <c r="E109" s="27"/>
      <c r="F109" s="230">
        <v>7015323</v>
      </c>
      <c r="G109" s="230">
        <v>8486249</v>
      </c>
      <c r="H109" s="166">
        <f t="shared" si="12"/>
        <v>21</v>
      </c>
      <c r="I109" s="27">
        <f>IFERROR(100/'Skjema total MA'!F109*G109,0)</f>
        <v>9.5207206292681938</v>
      </c>
      <c r="J109" s="283">
        <f t="shared" si="15"/>
        <v>7015323</v>
      </c>
      <c r="K109" s="44">
        <f t="shared" si="15"/>
        <v>8486249</v>
      </c>
      <c r="L109" s="250">
        <f t="shared" si="14"/>
        <v>21</v>
      </c>
      <c r="M109" s="27">
        <f>IFERROR(100/'Skjema total MA'!I109*K109,0)</f>
        <v>9.4115431370834965</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14262</v>
      </c>
      <c r="C111" s="159">
        <v>39261</v>
      </c>
      <c r="D111" s="171">
        <f t="shared" si="11"/>
        <v>175.3</v>
      </c>
      <c r="E111" s="11">
        <f>IFERROR(100/'Skjema total MA'!C111*C111,0)</f>
        <v>17.23477587805592</v>
      </c>
      <c r="F111" s="300">
        <v>512955</v>
      </c>
      <c r="G111" s="159">
        <v>882741</v>
      </c>
      <c r="H111" s="171">
        <f t="shared" si="12"/>
        <v>72.099999999999994</v>
      </c>
      <c r="I111" s="11">
        <f>IFERROR(100/'Skjema total MA'!F111*G111,0)</f>
        <v>20.64959585333013</v>
      </c>
      <c r="J111" s="301">
        <f t="shared" si="15"/>
        <v>527217</v>
      </c>
      <c r="K111" s="232">
        <f t="shared" si="15"/>
        <v>922002</v>
      </c>
      <c r="L111" s="366">
        <f t="shared" si="14"/>
        <v>74.900000000000006</v>
      </c>
      <c r="M111" s="11">
        <f>IFERROR(100/'Skjema total MA'!I111*K111,0)</f>
        <v>20.47683138769634</v>
      </c>
    </row>
    <row r="112" spans="1:13" x14ac:dyDescent="0.2">
      <c r="A112" s="21" t="s">
        <v>9</v>
      </c>
      <c r="B112" s="230">
        <v>14262</v>
      </c>
      <c r="C112" s="145">
        <v>39261</v>
      </c>
      <c r="D112" s="166">
        <f t="shared" ref="D112:D120" si="16">IF(B112=0, "    ---- ", IF(ABS(ROUND(100/B112*C112-100,1))&lt;999,ROUND(100/B112*C112-100,1),IF(ROUND(100/B112*C112-100,1)&gt;999,999,-999)))</f>
        <v>175.3</v>
      </c>
      <c r="E112" s="27">
        <f>IFERROR(100/'Skjema total MA'!C112*C112,0)</f>
        <v>19.086172985097832</v>
      </c>
      <c r="F112" s="230"/>
      <c r="G112" s="145"/>
      <c r="H112" s="166"/>
      <c r="I112" s="27"/>
      <c r="J112" s="283">
        <f t="shared" ref="J112:K125" si="17">SUM(B112,F112)</f>
        <v>14262</v>
      </c>
      <c r="K112" s="44">
        <f t="shared" si="17"/>
        <v>39261</v>
      </c>
      <c r="L112" s="250">
        <f t="shared" ref="L112:L125" si="18">IF(J112=0, "    ---- ", IF(ABS(ROUND(100/J112*K112-100,1))&lt;999,ROUND(100/J112*K112-100,1),IF(ROUND(100/J112*K112-100,1)&gt;999,999,-999)))</f>
        <v>175.3</v>
      </c>
      <c r="M112" s="27">
        <f>IFERROR(100/'Skjema total MA'!I112*K112,0)</f>
        <v>18.999938356400804</v>
      </c>
    </row>
    <row r="113" spans="1:14" x14ac:dyDescent="0.2">
      <c r="A113" s="21" t="s">
        <v>10</v>
      </c>
      <c r="B113" s="230"/>
      <c r="C113" s="145"/>
      <c r="D113" s="166"/>
      <c r="E113" s="27"/>
      <c r="F113" s="230">
        <v>512955</v>
      </c>
      <c r="G113" s="145">
        <v>882741</v>
      </c>
      <c r="H113" s="166">
        <f t="shared" ref="H113:H125" si="19">IF(F113=0, "    ---- ", IF(ABS(ROUND(100/F113*G113-100,1))&lt;999,ROUND(100/F113*G113-100,1),IF(ROUND(100/F113*G113-100,1)&gt;999,999,-999)))</f>
        <v>72.099999999999994</v>
      </c>
      <c r="I113" s="27">
        <f>IFERROR(100/'Skjema total MA'!F113*G113,0)</f>
        <v>20.785535726004703</v>
      </c>
      <c r="J113" s="283">
        <f t="shared" si="17"/>
        <v>512955</v>
      </c>
      <c r="K113" s="44">
        <f t="shared" si="17"/>
        <v>882741</v>
      </c>
      <c r="L113" s="250">
        <f t="shared" si="18"/>
        <v>72.099999999999994</v>
      </c>
      <c r="M113" s="27">
        <f>IFERROR(100/'Skjema total MA'!I113*K113,0)</f>
        <v>20.784225251582555</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t="s">
        <v>414</v>
      </c>
      <c r="C115" s="311" t="s">
        <v>414</v>
      </c>
      <c r="D115" s="166"/>
      <c r="E115" s="358"/>
      <c r="F115" s="311"/>
      <c r="G115" s="311"/>
      <c r="H115" s="166"/>
      <c r="I115" s="358"/>
      <c r="J115" s="311"/>
      <c r="K115" s="311"/>
      <c r="L115" s="166"/>
      <c r="M115" s="23"/>
    </row>
    <row r="116" spans="1:14" ht="15.75" x14ac:dyDescent="0.2">
      <c r="A116" s="21" t="s">
        <v>393</v>
      </c>
      <c r="B116" s="230">
        <v>2084</v>
      </c>
      <c r="C116" s="230">
        <v>6434</v>
      </c>
      <c r="D116" s="166">
        <f t="shared" si="16"/>
        <v>208.7</v>
      </c>
      <c r="E116" s="27">
        <f>IFERROR(100/'Skjema total MA'!C116*C116,0)</f>
        <v>19.157532330289825</v>
      </c>
      <c r="F116" s="230"/>
      <c r="G116" s="230"/>
      <c r="H116" s="166"/>
      <c r="I116" s="27"/>
      <c r="J116" s="283">
        <f t="shared" si="17"/>
        <v>2084</v>
      </c>
      <c r="K116" s="44">
        <f t="shared" si="17"/>
        <v>6434</v>
      </c>
      <c r="L116" s="250">
        <f t="shared" si="18"/>
        <v>208.7</v>
      </c>
      <c r="M116" s="27">
        <f>IFERROR(100/'Skjema total MA'!I116*K116,0)</f>
        <v>18.63937474776532</v>
      </c>
    </row>
    <row r="117" spans="1:14" ht="15.75" x14ac:dyDescent="0.2">
      <c r="A117" s="21" t="s">
        <v>394</v>
      </c>
      <c r="B117" s="230"/>
      <c r="C117" s="230"/>
      <c r="D117" s="166"/>
      <c r="E117" s="27"/>
      <c r="F117" s="230">
        <v>49306</v>
      </c>
      <c r="G117" s="230">
        <v>57749</v>
      </c>
      <c r="H117" s="166">
        <f t="shared" si="19"/>
        <v>17.100000000000001</v>
      </c>
      <c r="I117" s="27">
        <f>IFERROR(100/'Skjema total MA'!F117*G117,0)</f>
        <v>10.607148718462826</v>
      </c>
      <c r="J117" s="283">
        <f t="shared" si="17"/>
        <v>49306</v>
      </c>
      <c r="K117" s="44">
        <f t="shared" si="17"/>
        <v>57749</v>
      </c>
      <c r="L117" s="250">
        <f t="shared" si="18"/>
        <v>17.100000000000001</v>
      </c>
      <c r="M117" s="27">
        <f>IFERROR(100/'Skjema total MA'!I117*K117,0)</f>
        <v>10.607148718462826</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5504</v>
      </c>
      <c r="C119" s="159">
        <v>18707</v>
      </c>
      <c r="D119" s="171">
        <f t="shared" si="16"/>
        <v>239.9</v>
      </c>
      <c r="E119" s="11">
        <f>IFERROR(100/'Skjema total MA'!C119*C119,0)</f>
        <v>10.053518715150931</v>
      </c>
      <c r="F119" s="300">
        <v>378191</v>
      </c>
      <c r="G119" s="159">
        <v>437828</v>
      </c>
      <c r="H119" s="171">
        <f t="shared" si="19"/>
        <v>15.8</v>
      </c>
      <c r="I119" s="11">
        <f>IFERROR(100/'Skjema total MA'!F119*G119,0)</f>
        <v>10.021043342604029</v>
      </c>
      <c r="J119" s="301">
        <f t="shared" si="17"/>
        <v>383695</v>
      </c>
      <c r="K119" s="232">
        <f t="shared" si="17"/>
        <v>456535</v>
      </c>
      <c r="L119" s="366">
        <f t="shared" si="18"/>
        <v>19</v>
      </c>
      <c r="M119" s="11">
        <f>IFERROR(100/'Skjema total MA'!I119*K119,0)</f>
        <v>10.022369932081295</v>
      </c>
    </row>
    <row r="120" spans="1:14" x14ac:dyDescent="0.2">
      <c r="A120" s="21" t="s">
        <v>9</v>
      </c>
      <c r="B120" s="230">
        <v>5504</v>
      </c>
      <c r="C120" s="145">
        <v>18707</v>
      </c>
      <c r="D120" s="166">
        <f t="shared" si="16"/>
        <v>239.9</v>
      </c>
      <c r="E120" s="27">
        <f>IFERROR(100/'Skjema total MA'!C120*C120,0)</f>
        <v>16.870695563820217</v>
      </c>
      <c r="F120" s="230"/>
      <c r="G120" s="145"/>
      <c r="H120" s="166"/>
      <c r="I120" s="27"/>
      <c r="J120" s="283">
        <f t="shared" si="17"/>
        <v>5504</v>
      </c>
      <c r="K120" s="44">
        <f t="shared" si="17"/>
        <v>18707</v>
      </c>
      <c r="L120" s="250">
        <f t="shared" si="18"/>
        <v>239.9</v>
      </c>
      <c r="M120" s="27">
        <f>IFERROR(100/'Skjema total MA'!I120*K120,0)</f>
        <v>16.870695563820217</v>
      </c>
    </row>
    <row r="121" spans="1:14" x14ac:dyDescent="0.2">
      <c r="A121" s="21" t="s">
        <v>10</v>
      </c>
      <c r="B121" s="230"/>
      <c r="C121" s="145"/>
      <c r="D121" s="166"/>
      <c r="E121" s="27"/>
      <c r="F121" s="230">
        <v>378191</v>
      </c>
      <c r="G121" s="145">
        <v>437828</v>
      </c>
      <c r="H121" s="166">
        <f t="shared" si="19"/>
        <v>15.8</v>
      </c>
      <c r="I121" s="27">
        <f>IFERROR(100/'Skjema total MA'!F121*G121,0)</f>
        <v>10.021043342604029</v>
      </c>
      <c r="J121" s="283">
        <f t="shared" si="17"/>
        <v>378191</v>
      </c>
      <c r="K121" s="44">
        <f t="shared" si="17"/>
        <v>437828</v>
      </c>
      <c r="L121" s="250">
        <f t="shared" si="18"/>
        <v>15.8</v>
      </c>
      <c r="M121" s="27">
        <f>IFERROR(100/'Skjema total MA'!I121*K121,0)</f>
        <v>9.9994385593698798</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t="s">
        <v>414</v>
      </c>
      <c r="C123" s="311" t="s">
        <v>414</v>
      </c>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v>49630</v>
      </c>
      <c r="G125" s="230">
        <v>93262</v>
      </c>
      <c r="H125" s="166">
        <f t="shared" si="19"/>
        <v>87.9</v>
      </c>
      <c r="I125" s="27">
        <f>IFERROR(100/'Skjema total MA'!F125*G125,0)</f>
        <v>18.745878217690638</v>
      </c>
      <c r="J125" s="283">
        <f t="shared" si="17"/>
        <v>49630</v>
      </c>
      <c r="K125" s="44">
        <f t="shared" si="17"/>
        <v>93262</v>
      </c>
      <c r="L125" s="250">
        <f t="shared" si="18"/>
        <v>87.9</v>
      </c>
      <c r="M125" s="27">
        <f>IFERROR(100/'Skjema total MA'!I125*K125,0)</f>
        <v>18.741372904676592</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33" priority="12">
      <formula>kvartal &lt; 4</formula>
    </cfRule>
  </conditionalFormatting>
  <conditionalFormatting sqref="A69:A74">
    <cfRule type="expression" dxfId="132" priority="10">
      <formula>kvartal &lt; 4</formula>
    </cfRule>
  </conditionalFormatting>
  <conditionalFormatting sqref="A80:A85">
    <cfRule type="expression" dxfId="131" priority="9">
      <formula>kvartal &lt; 4</formula>
    </cfRule>
  </conditionalFormatting>
  <conditionalFormatting sqref="A90:A95">
    <cfRule type="expression" dxfId="130" priority="6">
      <formula>kvartal &lt; 4</formula>
    </cfRule>
  </conditionalFormatting>
  <conditionalFormatting sqref="A101:A106">
    <cfRule type="expression" dxfId="129" priority="5">
      <formula>kvartal &lt; 4</formula>
    </cfRule>
  </conditionalFormatting>
  <conditionalFormatting sqref="A115">
    <cfRule type="expression" dxfId="128" priority="4">
      <formula>kvartal &lt; 4</formula>
    </cfRule>
  </conditionalFormatting>
  <conditionalFormatting sqref="A123">
    <cfRule type="expression" dxfId="127" priority="3">
      <formula>kvartal &lt; 4</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93</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10219</v>
      </c>
      <c r="C7" s="299">
        <v>9199.4593499999992</v>
      </c>
      <c r="D7" s="342">
        <f>IF(B7=0, "    ---- ", IF(ABS(ROUND(100/B7*C7-100,1))&lt;999,ROUND(100/B7*C7-100,1),IF(ROUND(100/B7*C7-100,1)&gt;999,999,-999)))</f>
        <v>-10</v>
      </c>
      <c r="E7" s="11">
        <f>IFERROR(100/'Skjema total MA'!C7*C7,0)</f>
        <v>0.57576766286959646</v>
      </c>
      <c r="F7" s="298"/>
      <c r="G7" s="299"/>
      <c r="H7" s="342"/>
      <c r="I7" s="160"/>
      <c r="J7" s="300">
        <f t="shared" ref="J7:K10" si="0">SUM(B7,F7)</f>
        <v>10219</v>
      </c>
      <c r="K7" s="301">
        <f t="shared" si="0"/>
        <v>9199.4593499999992</v>
      </c>
      <c r="L7" s="365">
        <f>IF(J7=0, "    ---- ", IF(ABS(ROUND(100/J7*K7-100,1))&lt;999,ROUND(100/J7*K7-100,1),IF(ROUND(100/J7*K7-100,1)&gt;999,999,-999)))</f>
        <v>-10</v>
      </c>
      <c r="M7" s="11">
        <f>IFERROR(100/'Skjema total MA'!I7*K7,0)</f>
        <v>0.21453050262176898</v>
      </c>
    </row>
    <row r="8" spans="1:14" ht="15.75" x14ac:dyDescent="0.2">
      <c r="A8" s="21" t="s">
        <v>25</v>
      </c>
      <c r="B8" s="277">
        <v>6224</v>
      </c>
      <c r="C8" s="278">
        <v>5635.4140367</v>
      </c>
      <c r="D8" s="166">
        <f t="shared" ref="D8:D10" si="1">IF(B8=0, "    ---- ", IF(ABS(ROUND(100/B8*C8-100,1))&lt;999,ROUND(100/B8*C8-100,1),IF(ROUND(100/B8*C8-100,1)&gt;999,999,-999)))</f>
        <v>-9.5</v>
      </c>
      <c r="E8" s="27">
        <f>IFERROR(100/'Skjema total MA'!C8*C8,0)</f>
        <v>0.57281807699253195</v>
      </c>
      <c r="F8" s="281"/>
      <c r="G8" s="282"/>
      <c r="H8" s="166"/>
      <c r="I8" s="175"/>
      <c r="J8" s="230">
        <f t="shared" si="0"/>
        <v>6224</v>
      </c>
      <c r="K8" s="283">
        <f t="shared" si="0"/>
        <v>5635.4140367</v>
      </c>
      <c r="L8" s="166">
        <f t="shared" ref="L8:L9" si="2">IF(J8=0, "    ---- ", IF(ABS(ROUND(100/J8*K8-100,1))&lt;999,ROUND(100/J8*K8-100,1),IF(ROUND(100/J8*K8-100,1)&gt;999,999,-999)))</f>
        <v>-9.5</v>
      </c>
      <c r="M8" s="27">
        <f>IFERROR(100/'Skjema total MA'!I8*K8,0)</f>
        <v>0.57281807699253195</v>
      </c>
    </row>
    <row r="9" spans="1:14" ht="15.75" x14ac:dyDescent="0.2">
      <c r="A9" s="21" t="s">
        <v>24</v>
      </c>
      <c r="B9" s="277">
        <v>3790</v>
      </c>
      <c r="C9" s="278">
        <v>3386.1510039</v>
      </c>
      <c r="D9" s="166">
        <f t="shared" si="1"/>
        <v>-10.7</v>
      </c>
      <c r="E9" s="27">
        <f>IFERROR(100/'Skjema total MA'!C9*C9,0)</f>
        <v>0.91976924766176804</v>
      </c>
      <c r="F9" s="281"/>
      <c r="G9" s="282"/>
      <c r="H9" s="166"/>
      <c r="I9" s="175"/>
      <c r="J9" s="230">
        <f t="shared" si="0"/>
        <v>3790</v>
      </c>
      <c r="K9" s="283">
        <f t="shared" si="0"/>
        <v>3386.1510039</v>
      </c>
      <c r="L9" s="166">
        <f t="shared" si="2"/>
        <v>-10.7</v>
      </c>
      <c r="M9" s="27">
        <f>IFERROR(100/'Skjema total MA'!I9*K9,0)</f>
        <v>0.91976924766176804</v>
      </c>
    </row>
    <row r="10" spans="1:14" ht="15.75" x14ac:dyDescent="0.2">
      <c r="A10" s="13" t="s">
        <v>371</v>
      </c>
      <c r="B10" s="302">
        <v>21205</v>
      </c>
      <c r="C10" s="303">
        <v>22149.061791620199</v>
      </c>
      <c r="D10" s="171">
        <f t="shared" si="1"/>
        <v>4.5</v>
      </c>
      <c r="E10" s="11">
        <f>IFERROR(100/'Skjema total MA'!C10*C10,0)</f>
        <v>0.10940936650250589</v>
      </c>
      <c r="F10" s="302"/>
      <c r="G10" s="303"/>
      <c r="H10" s="171"/>
      <c r="I10" s="160"/>
      <c r="J10" s="300">
        <f t="shared" si="0"/>
        <v>21205</v>
      </c>
      <c r="K10" s="301">
        <f t="shared" si="0"/>
        <v>22149.061791620199</v>
      </c>
      <c r="L10" s="366">
        <f t="shared" ref="L10" si="3">IF(J10=0, "    ---- ", IF(ABS(ROUND(100/J10*K10-100,1))&lt;999,ROUND(100/J10*K10-100,1),IF(ROUND(100/J10*K10-100,1)&gt;999,999,-999)))</f>
        <v>4.5</v>
      </c>
      <c r="M10" s="11">
        <f>IFERROR(100/'Skjema total MA'!I10*K10,0)</f>
        <v>3.4044253764442221E-2</v>
      </c>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29</v>
      </c>
      <c r="C22" s="302">
        <v>28.416</v>
      </c>
      <c r="D22" s="342">
        <f t="shared" ref="D22:D31" si="4">IF(B22=0, "    ---- ", IF(ABS(ROUND(100/B22*C22-100,1))&lt;999,ROUND(100/B22*C22-100,1),IF(ROUND(100/B22*C22-100,1)&gt;999,999,-999)))</f>
        <v>-2</v>
      </c>
      <c r="E22" s="11">
        <f>IFERROR(100/'Skjema total MA'!C22*C22,0)</f>
        <v>4.1221623571850241E-3</v>
      </c>
      <c r="F22" s="310"/>
      <c r="G22" s="310"/>
      <c r="H22" s="342"/>
      <c r="I22" s="11"/>
      <c r="J22" s="308">
        <f t="shared" ref="J22:K29" si="5">SUM(B22,F22)</f>
        <v>29</v>
      </c>
      <c r="K22" s="308">
        <f t="shared" si="5"/>
        <v>28.416</v>
      </c>
      <c r="L22" s="365">
        <f t="shared" ref="L22:L29" si="6">IF(J22=0, "    ---- ", IF(ABS(ROUND(100/J22*K22-100,1))&lt;999,ROUND(100/J22*K22-100,1),IF(ROUND(100/J22*K22-100,1)&gt;999,999,-999)))</f>
        <v>-2</v>
      </c>
      <c r="M22" s="24">
        <f>IFERROR(100/'Skjema total MA'!I22*K22,0)</f>
        <v>2.8457708524119128E-3</v>
      </c>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v>29</v>
      </c>
      <c r="C24" s="277">
        <v>28.416</v>
      </c>
      <c r="D24" s="166">
        <f t="shared" si="4"/>
        <v>-2</v>
      </c>
      <c r="E24" s="11">
        <f>IFERROR(100/'Skjema total MA'!C24*C24,0)</f>
        <v>0.28561411412066667</v>
      </c>
      <c r="F24" s="285"/>
      <c r="G24" s="285"/>
      <c r="H24" s="166"/>
      <c r="I24" s="358"/>
      <c r="J24" s="285">
        <f t="shared" ref="J24" si="7">SUM(B24,F24)</f>
        <v>29</v>
      </c>
      <c r="K24" s="285">
        <f t="shared" ref="K24" si="8">SUM(C24,G24)</f>
        <v>28.416</v>
      </c>
      <c r="L24" s="166">
        <f t="shared" ref="L24" si="9">IF(J24=0, "    ---- ", IF(ABS(ROUND(100/J24*K24-100,1))&lt;999,ROUND(100/J24*K24-100,1),IF(ROUND(100/J24*K24-100,1)&gt;999,999,-999)))</f>
        <v>-2</v>
      </c>
      <c r="M24" s="23">
        <f>IFERROR(100/'Skjema total MA'!I24*K24,0)</f>
        <v>0.28461287155970622</v>
      </c>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v>1988</v>
      </c>
      <c r="C29" s="232">
        <v>2007</v>
      </c>
      <c r="D29" s="171">
        <f t="shared" si="4"/>
        <v>1</v>
      </c>
      <c r="E29" s="11">
        <f>IFERROR(100/'Skjema total MA'!C29*C29,0)</f>
        <v>4.1877867025559984E-3</v>
      </c>
      <c r="F29" s="300"/>
      <c r="G29" s="300"/>
      <c r="H29" s="171"/>
      <c r="I29" s="11"/>
      <c r="J29" s="232">
        <f t="shared" si="5"/>
        <v>1988</v>
      </c>
      <c r="K29" s="232">
        <f t="shared" si="5"/>
        <v>2007</v>
      </c>
      <c r="L29" s="366">
        <f t="shared" si="6"/>
        <v>1</v>
      </c>
      <c r="M29" s="24">
        <f>IFERROR(100/'Skjema total MA'!I29*K29,0)</f>
        <v>2.941430441555426E-3</v>
      </c>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v>1988</v>
      </c>
      <c r="C31" s="277">
        <v>2007</v>
      </c>
      <c r="D31" s="166">
        <f t="shared" si="4"/>
        <v>1</v>
      </c>
      <c r="E31" s="11">
        <f>IFERROR(100/'Skjema total MA'!C31*C31,0)</f>
        <v>6.0322749665713002E-3</v>
      </c>
      <c r="F31" s="285"/>
      <c r="G31" s="285"/>
      <c r="H31" s="166"/>
      <c r="I31" s="358"/>
      <c r="J31" s="285">
        <f t="shared" ref="J31" si="10">SUM(B31,F31)</f>
        <v>1988</v>
      </c>
      <c r="K31" s="285">
        <f t="shared" ref="K31" si="11">SUM(C31,G31)</f>
        <v>2007</v>
      </c>
      <c r="L31" s="166">
        <f t="shared" ref="L31" si="12">IF(J31=0, "    ---- ", IF(ABS(ROUND(100/J31*K31-100,1))&lt;999,ROUND(100/J31*K31-100,1),IF(ROUND(100/J31*K31-100,1)&gt;999,999,-999)))</f>
        <v>1</v>
      </c>
      <c r="M31" s="23">
        <f>IFERROR(100/'Skjema total MA'!I31*K31,0)</f>
        <v>4.8220246998482664E-3</v>
      </c>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26" priority="12">
      <formula>kvartal &lt; 4</formula>
    </cfRule>
  </conditionalFormatting>
  <conditionalFormatting sqref="A69:A74">
    <cfRule type="expression" dxfId="125" priority="10">
      <formula>kvartal &lt; 4</formula>
    </cfRule>
  </conditionalFormatting>
  <conditionalFormatting sqref="A80:A85">
    <cfRule type="expression" dxfId="124" priority="9">
      <formula>kvartal &lt; 4</formula>
    </cfRule>
  </conditionalFormatting>
  <conditionalFormatting sqref="A90:A95">
    <cfRule type="expression" dxfId="123" priority="6">
      <formula>kvartal &lt; 4</formula>
    </cfRule>
  </conditionalFormatting>
  <conditionalFormatting sqref="A101:A106">
    <cfRule type="expression" dxfId="122" priority="5">
      <formula>kvartal &lt; 4</formula>
    </cfRule>
  </conditionalFormatting>
  <conditionalFormatting sqref="A115">
    <cfRule type="expression" dxfId="121" priority="4">
      <formula>kvartal &lt; 4</formula>
    </cfRule>
  </conditionalFormatting>
  <conditionalFormatting sqref="A123">
    <cfRule type="expression" dxfId="120" priority="3">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135</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89311.528000000006</v>
      </c>
      <c r="C7" s="299">
        <v>93865.346000000005</v>
      </c>
      <c r="D7" s="342">
        <f>IF(B7=0, "    ---- ", IF(ABS(ROUND(100/B7*C7-100,1))&lt;999,ROUND(100/B7*C7-100,1),IF(ROUND(100/B7*C7-100,1)&gt;999,999,-999)))</f>
        <v>5.0999999999999996</v>
      </c>
      <c r="E7" s="11">
        <f>IFERROR(100/'Skjema total MA'!C7*C7,0)</f>
        <v>5.8747616392115516</v>
      </c>
      <c r="F7" s="298"/>
      <c r="G7" s="299"/>
      <c r="H7" s="342"/>
      <c r="I7" s="160"/>
      <c r="J7" s="300">
        <f t="shared" ref="J7:K9" si="0">SUM(B7,F7)</f>
        <v>89311.528000000006</v>
      </c>
      <c r="K7" s="301">
        <f t="shared" si="0"/>
        <v>93865.346000000005</v>
      </c>
      <c r="L7" s="365">
        <f>IF(J7=0, "    ---- ", IF(ABS(ROUND(100/J7*K7-100,1))&lt;999,ROUND(100/J7*K7-100,1),IF(ROUND(100/J7*K7-100,1)&gt;999,999,-999)))</f>
        <v>5.0999999999999996</v>
      </c>
      <c r="M7" s="11">
        <f>IFERROR(100/'Skjema total MA'!I7*K7,0)</f>
        <v>2.1889307936499827</v>
      </c>
    </row>
    <row r="8" spans="1:14" ht="15.75" x14ac:dyDescent="0.2">
      <c r="A8" s="21" t="s">
        <v>25</v>
      </c>
      <c r="B8" s="277">
        <v>57412</v>
      </c>
      <c r="C8" s="278">
        <v>61328.510999999999</v>
      </c>
      <c r="D8" s="166">
        <f t="shared" ref="D8:D9" si="1">IF(B8=0, "    ---- ", IF(ABS(ROUND(100/B8*C8-100,1))&lt;999,ROUND(100/B8*C8-100,1),IF(ROUND(100/B8*C8-100,1)&gt;999,999,-999)))</f>
        <v>6.8</v>
      </c>
      <c r="E8" s="27">
        <f>IFERROR(100/'Skjema total MA'!C8*C8,0)</f>
        <v>6.2338063373967998</v>
      </c>
      <c r="F8" s="281"/>
      <c r="G8" s="282"/>
      <c r="H8" s="166"/>
      <c r="I8" s="175"/>
      <c r="J8" s="230">
        <f t="shared" si="0"/>
        <v>57412</v>
      </c>
      <c r="K8" s="283">
        <f t="shared" si="0"/>
        <v>61328.510999999999</v>
      </c>
      <c r="L8" s="166">
        <f t="shared" ref="L8:L9" si="2">IF(J8=0, "    ---- ", IF(ABS(ROUND(100/J8*K8-100,1))&lt;999,ROUND(100/J8*K8-100,1),IF(ROUND(100/J8*K8-100,1)&gt;999,999,-999)))</f>
        <v>6.8</v>
      </c>
      <c r="M8" s="27">
        <f>IFERROR(100/'Skjema total MA'!I8*K8,0)</f>
        <v>6.2338063373967998</v>
      </c>
    </row>
    <row r="9" spans="1:14" ht="15.75" x14ac:dyDescent="0.2">
      <c r="A9" s="21" t="s">
        <v>24</v>
      </c>
      <c r="B9" s="277">
        <v>31899.527999999998</v>
      </c>
      <c r="C9" s="278">
        <v>32536.834999999999</v>
      </c>
      <c r="D9" s="166">
        <f t="shared" si="1"/>
        <v>2</v>
      </c>
      <c r="E9" s="27">
        <f>IFERROR(100/'Skjema total MA'!C9*C9,0)</f>
        <v>8.8378752792705839</v>
      </c>
      <c r="F9" s="281"/>
      <c r="G9" s="282"/>
      <c r="H9" s="166"/>
      <c r="I9" s="175"/>
      <c r="J9" s="230">
        <f t="shared" si="0"/>
        <v>31899.527999999998</v>
      </c>
      <c r="K9" s="283">
        <f t="shared" si="0"/>
        <v>32536.834999999999</v>
      </c>
      <c r="L9" s="166">
        <f t="shared" si="2"/>
        <v>2</v>
      </c>
      <c r="M9" s="27">
        <f>IFERROR(100/'Skjema total MA'!I9*K9,0)</f>
        <v>8.8378752792705839</v>
      </c>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35194.141000000003</v>
      </c>
      <c r="C28" s="283">
        <v>39534.535000000003</v>
      </c>
      <c r="D28" s="166">
        <f t="shared" ref="D28" si="3">IF(B28=0, "    ---- ", IF(ABS(ROUND(100/B28*C28-100,1))&lt;999,ROUND(100/B28*C28-100,1),IF(ROUND(100/B28*C28-100,1)&gt;999,999,-999)))</f>
        <v>12.3</v>
      </c>
      <c r="E28" s="11">
        <f>IFERROR(100/'Skjema total MA'!C28*C28,0)</f>
        <v>6.1274979038438611</v>
      </c>
      <c r="F28" s="230"/>
      <c r="G28" s="283"/>
      <c r="H28" s="166"/>
      <c r="I28" s="27"/>
      <c r="J28" s="44">
        <f t="shared" ref="J28:K28" si="4">SUM(B28,F28)</f>
        <v>35194.141000000003</v>
      </c>
      <c r="K28" s="44">
        <f t="shared" si="4"/>
        <v>39534.535000000003</v>
      </c>
      <c r="L28" s="250">
        <f t="shared" ref="L28" si="5">IF(J28=0, "    ---- ", IF(ABS(ROUND(100/J28*K28-100,1))&lt;999,ROUND(100/J28*K28-100,1),IF(ROUND(100/J28*K28-100,1)&gt;999,999,-999)))</f>
        <v>12.3</v>
      </c>
      <c r="M28" s="23">
        <f>IFERROR(100/'Skjema total MA'!I28*K28,0)</f>
        <v>6.1274979038438611</v>
      </c>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64367.18838</v>
      </c>
      <c r="C47" s="303">
        <v>58537</v>
      </c>
      <c r="D47" s="365">
        <f t="shared" ref="D47:D57" si="6">IF(B47=0, "    ---- ", IF(ABS(ROUND(100/B47*C47-100,1))&lt;999,ROUND(100/B47*C47-100,1),IF(ROUND(100/B47*C47-100,1)&gt;999,999,-999)))</f>
        <v>-9.1</v>
      </c>
      <c r="E47" s="11">
        <f>IFERROR(100/'Skjema total MA'!C47*C47,0)</f>
        <v>2.3392316247964282</v>
      </c>
      <c r="F47" s="145"/>
      <c r="G47" s="33"/>
      <c r="H47" s="159"/>
      <c r="I47" s="159"/>
      <c r="J47" s="37"/>
      <c r="K47" s="37"/>
      <c r="L47" s="159"/>
      <c r="M47" s="159"/>
      <c r="N47" s="148"/>
    </row>
    <row r="48" spans="1:14" s="3" customFormat="1" ht="15.75" x14ac:dyDescent="0.2">
      <c r="A48" s="38" t="s">
        <v>382</v>
      </c>
      <c r="B48" s="277">
        <v>64367.18838</v>
      </c>
      <c r="C48" s="278">
        <v>58537</v>
      </c>
      <c r="D48" s="250">
        <f t="shared" si="6"/>
        <v>-9.1</v>
      </c>
      <c r="E48" s="27">
        <f>IFERROR(100/'Skjema total MA'!C48*C48,0)</f>
        <v>4.3732549090061656</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2300.4949999999999</v>
      </c>
      <c r="C53" s="303">
        <v>1088.915</v>
      </c>
      <c r="D53" s="366">
        <f t="shared" si="6"/>
        <v>-52.7</v>
      </c>
      <c r="E53" s="11">
        <f>IFERROR(100/'Skjema total MA'!C53*C53,0)</f>
        <v>0.73081034999776529</v>
      </c>
      <c r="F53" s="145"/>
      <c r="G53" s="33"/>
      <c r="H53" s="145"/>
      <c r="I53" s="145"/>
      <c r="J53" s="33"/>
      <c r="K53" s="33"/>
      <c r="L53" s="159"/>
      <c r="M53" s="159"/>
      <c r="N53" s="148"/>
    </row>
    <row r="54" spans="1:14" s="3" customFormat="1" ht="15.75" x14ac:dyDescent="0.2">
      <c r="A54" s="38" t="s">
        <v>382</v>
      </c>
      <c r="B54" s="277">
        <v>2300.4949999999999</v>
      </c>
      <c r="C54" s="278">
        <v>1088.915</v>
      </c>
      <c r="D54" s="250">
        <f t="shared" si="6"/>
        <v>-52.7</v>
      </c>
      <c r="E54" s="27">
        <f>IFERROR(100/'Skjema total MA'!C54*C54,0)</f>
        <v>1.7220803912163565</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539.58600000000001</v>
      </c>
      <c r="C56" s="303">
        <v>3395.9479999999999</v>
      </c>
      <c r="D56" s="366">
        <f t="shared" si="6"/>
        <v>529.4</v>
      </c>
      <c r="E56" s="11">
        <f>IFERROR(100/'Skjema total MA'!C56*C56,0)</f>
        <v>2.8046143351368729</v>
      </c>
      <c r="F56" s="145"/>
      <c r="G56" s="33"/>
      <c r="H56" s="145"/>
      <c r="I56" s="145"/>
      <c r="J56" s="33"/>
      <c r="K56" s="33"/>
      <c r="L56" s="159"/>
      <c r="M56" s="159"/>
      <c r="N56" s="148"/>
    </row>
    <row r="57" spans="1:14" s="3" customFormat="1" ht="15.75" x14ac:dyDescent="0.2">
      <c r="A57" s="38" t="s">
        <v>382</v>
      </c>
      <c r="B57" s="277">
        <v>539.58600000000001</v>
      </c>
      <c r="C57" s="278">
        <v>3395.9479999999999</v>
      </c>
      <c r="D57" s="250">
        <f t="shared" si="6"/>
        <v>529.4</v>
      </c>
      <c r="E57" s="27">
        <f>IFERROR(100/'Skjema total MA'!C57*C57,0)</f>
        <v>6.2312801843723857</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19" priority="12">
      <formula>kvartal &lt; 4</formula>
    </cfRule>
  </conditionalFormatting>
  <conditionalFormatting sqref="A69:A74">
    <cfRule type="expression" dxfId="118" priority="10">
      <formula>kvartal &lt; 4</formula>
    </cfRule>
  </conditionalFormatting>
  <conditionalFormatting sqref="A80:A85">
    <cfRule type="expression" dxfId="117" priority="9">
      <formula>kvartal &lt; 4</formula>
    </cfRule>
  </conditionalFormatting>
  <conditionalFormatting sqref="A90:A95">
    <cfRule type="expression" dxfId="116" priority="6">
      <formula>kvartal &lt; 4</formula>
    </cfRule>
  </conditionalFormatting>
  <conditionalFormatting sqref="A101:A106">
    <cfRule type="expression" dxfId="115" priority="5">
      <formula>kvartal &lt; 4</formula>
    </cfRule>
  </conditionalFormatting>
  <conditionalFormatting sqref="A115">
    <cfRule type="expression" dxfId="114" priority="4">
      <formula>kvartal &lt; 4</formula>
    </cfRule>
  </conditionalFormatting>
  <conditionalFormatting sqref="A123">
    <cfRule type="expression" dxfId="113" priority="3">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63</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3106.2960200000002</v>
      </c>
      <c r="C47" s="303">
        <v>2710.9836799999998</v>
      </c>
      <c r="D47" s="365">
        <f t="shared" ref="D47:D48" si="0">IF(B47=0, "    ---- ", IF(ABS(ROUND(100/B47*C47-100,1))&lt;999,ROUND(100/B47*C47-100,1),IF(ROUND(100/B47*C47-100,1)&gt;999,999,-999)))</f>
        <v>-12.7</v>
      </c>
      <c r="E47" s="11">
        <f>IFERROR(100/'Skjema total MA'!C47*C47,0)</f>
        <v>0.108335219750978</v>
      </c>
      <c r="F47" s="145"/>
      <c r="G47" s="33"/>
      <c r="H47" s="159"/>
      <c r="I47" s="159"/>
      <c r="J47" s="37"/>
      <c r="K47" s="37"/>
      <c r="L47" s="159"/>
      <c r="M47" s="159"/>
      <c r="N47" s="148"/>
    </row>
    <row r="48" spans="1:14" s="3" customFormat="1" ht="15.75" x14ac:dyDescent="0.2">
      <c r="A48" s="38" t="s">
        <v>382</v>
      </c>
      <c r="B48" s="277">
        <v>843.24805000000003</v>
      </c>
      <c r="C48" s="278">
        <v>839.60550000000001</v>
      </c>
      <c r="D48" s="250">
        <f t="shared" si="0"/>
        <v>-0.4</v>
      </c>
      <c r="E48" s="27">
        <f>IFERROR(100/'Skjema total MA'!C48*C48,0)</f>
        <v>6.2726290628210807E-2</v>
      </c>
      <c r="F48" s="145"/>
      <c r="G48" s="33"/>
      <c r="H48" s="145"/>
      <c r="I48" s="145"/>
      <c r="J48" s="33"/>
      <c r="K48" s="33"/>
      <c r="L48" s="159"/>
      <c r="M48" s="159"/>
      <c r="N48" s="148"/>
    </row>
    <row r="49" spans="1:14" s="3" customFormat="1" ht="15.75" x14ac:dyDescent="0.2">
      <c r="A49" s="38" t="s">
        <v>383</v>
      </c>
      <c r="B49" s="44">
        <v>2263.0479700000001</v>
      </c>
      <c r="C49" s="283">
        <v>1871.3781799999999</v>
      </c>
      <c r="D49" s="250">
        <f>IF(B49=0, "    ---- ", IF(ABS(ROUND(100/B49*C49-100,1))&lt;999,ROUND(100/B49*C49-100,1),IF(ROUND(100/B49*C49-100,1)&gt;999,999,-999)))</f>
        <v>-17.3</v>
      </c>
      <c r="E49" s="27">
        <f>IFERROR(100/'Skjema total MA'!C49*C49,0)</f>
        <v>0.16078783924915016</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v>6304316.1401000004</v>
      </c>
      <c r="C134" s="301">
        <v>6682577.0905400002</v>
      </c>
      <c r="D134" s="342">
        <f t="shared" ref="D134:D137" si="1">IF(B134=0, "    ---- ", IF(ABS(ROUND(100/B134*C134-100,1))&lt;999,ROUND(100/B134*C134-100,1),IF(ROUND(100/B134*C134-100,1)&gt;999,999,-999)))</f>
        <v>6</v>
      </c>
      <c r="E134" s="11">
        <f>IFERROR(100/'Skjema total MA'!C134*C134,0)</f>
        <v>86.515887917574304</v>
      </c>
      <c r="F134" s="308">
        <v>20875.777999999998</v>
      </c>
      <c r="G134" s="309">
        <v>19489.256000000001</v>
      </c>
      <c r="H134" s="369">
        <f t="shared" ref="H134:H135" si="2">IF(F134=0, "    ---- ", IF(ABS(ROUND(100/F134*G134-100,1))&lt;999,ROUND(100/F134*G134-100,1),IF(ROUND(100/F134*G134-100,1)&gt;999,999,-999)))</f>
        <v>-6.6</v>
      </c>
      <c r="I134" s="24">
        <f>IFERROR(100/'Skjema total MA'!F134*G134,0)</f>
        <v>100</v>
      </c>
      <c r="J134" s="310">
        <f t="shared" ref="J134:K137" si="3">SUM(B134,F134)</f>
        <v>6325191.9181000004</v>
      </c>
      <c r="K134" s="310">
        <f t="shared" si="3"/>
        <v>6702066.3465400003</v>
      </c>
      <c r="L134" s="365">
        <f t="shared" ref="L134:L137" si="4">IF(J134=0, "    ---- ", IF(ABS(ROUND(100/J134*K134-100,1))&lt;999,ROUND(100/J134*K134-100,1),IF(ROUND(100/J134*K134-100,1)&gt;999,999,-999)))</f>
        <v>6</v>
      </c>
      <c r="M134" s="11">
        <f>IFERROR(100/'Skjema total MA'!I134*K134,0)</f>
        <v>86.549825045509039</v>
      </c>
      <c r="N134" s="148"/>
    </row>
    <row r="135" spans="1:14" s="3" customFormat="1" ht="15.75" x14ac:dyDescent="0.2">
      <c r="A135" s="13" t="s">
        <v>400</v>
      </c>
      <c r="B135" s="232">
        <v>450711574.44376999</v>
      </c>
      <c r="C135" s="301">
        <v>477264053.30385</v>
      </c>
      <c r="D135" s="171">
        <f t="shared" si="1"/>
        <v>5.9</v>
      </c>
      <c r="E135" s="11">
        <f>IFERROR(100/'Skjema total MA'!C135*C135,0)</f>
        <v>85.898257455298932</v>
      </c>
      <c r="F135" s="232">
        <v>2344983.7411500001</v>
      </c>
      <c r="G135" s="301">
        <v>2497218.77415</v>
      </c>
      <c r="H135" s="370">
        <f t="shared" si="2"/>
        <v>6.5</v>
      </c>
      <c r="I135" s="24">
        <f>IFERROR(100/'Skjema total MA'!F135*G135,0)</f>
        <v>100</v>
      </c>
      <c r="J135" s="300">
        <f t="shared" si="3"/>
        <v>453056558.18492001</v>
      </c>
      <c r="K135" s="300">
        <f t="shared" si="3"/>
        <v>479761272.07800001</v>
      </c>
      <c r="L135" s="366">
        <f t="shared" si="4"/>
        <v>5.9</v>
      </c>
      <c r="M135" s="11">
        <f>IFERROR(100/'Skjema total MA'!I135*K135,0)</f>
        <v>85.96135426984776</v>
      </c>
      <c r="N135" s="148"/>
    </row>
    <row r="136" spans="1:14" s="3" customFormat="1" ht="15.75" x14ac:dyDescent="0.2">
      <c r="A136" s="13" t="s">
        <v>397</v>
      </c>
      <c r="B136" s="232">
        <v>5301.9790000000003</v>
      </c>
      <c r="C136" s="301">
        <v>0</v>
      </c>
      <c r="D136" s="171">
        <f t="shared" si="1"/>
        <v>-100</v>
      </c>
      <c r="E136" s="11">
        <f>IFERROR(100/'Skjema total MA'!C136*C136,0)</f>
        <v>0</v>
      </c>
      <c r="F136" s="232"/>
      <c r="G136" s="301"/>
      <c r="H136" s="370"/>
      <c r="I136" s="24"/>
      <c r="J136" s="300">
        <f t="shared" si="3"/>
        <v>5301.9790000000003</v>
      </c>
      <c r="K136" s="300">
        <f t="shared" si="3"/>
        <v>0</v>
      </c>
      <c r="L136" s="366">
        <f t="shared" si="4"/>
        <v>-100</v>
      </c>
      <c r="M136" s="11">
        <f>IFERROR(100/'Skjema total MA'!I136*K136,0)</f>
        <v>0</v>
      </c>
      <c r="N136" s="148"/>
    </row>
    <row r="137" spans="1:14" s="3" customFormat="1" ht="15.75" x14ac:dyDescent="0.2">
      <c r="A137" s="41" t="s">
        <v>398</v>
      </c>
      <c r="B137" s="272">
        <v>423500</v>
      </c>
      <c r="C137" s="307">
        <v>248299.76699999999</v>
      </c>
      <c r="D137" s="169">
        <f t="shared" si="1"/>
        <v>-41.4</v>
      </c>
      <c r="E137" s="9">
        <f>IFERROR(100/'Skjema total MA'!C137*C137,0)</f>
        <v>100</v>
      </c>
      <c r="F137" s="272"/>
      <c r="G137" s="307"/>
      <c r="H137" s="371"/>
      <c r="I137" s="36"/>
      <c r="J137" s="306">
        <f t="shared" si="3"/>
        <v>423500</v>
      </c>
      <c r="K137" s="306">
        <f t="shared" si="3"/>
        <v>248299.76699999999</v>
      </c>
      <c r="L137" s="367">
        <f t="shared" si="4"/>
        <v>-41.4</v>
      </c>
      <c r="M137" s="36">
        <f>IFERROR(100/'Skjema total MA'!I137*K137,0)</f>
        <v>100</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12" priority="12">
      <formula>kvartal &lt; 4</formula>
    </cfRule>
  </conditionalFormatting>
  <conditionalFormatting sqref="A69:A74">
    <cfRule type="expression" dxfId="111" priority="10">
      <formula>kvartal &lt; 4</formula>
    </cfRule>
  </conditionalFormatting>
  <conditionalFormatting sqref="A80:A85">
    <cfRule type="expression" dxfId="110" priority="9">
      <formula>kvartal &lt; 4</formula>
    </cfRule>
  </conditionalFormatting>
  <conditionalFormatting sqref="A90:A95">
    <cfRule type="expression" dxfId="109" priority="6">
      <formula>kvartal &lt; 4</formula>
    </cfRule>
  </conditionalFormatting>
  <conditionalFormatting sqref="A101:A106">
    <cfRule type="expression" dxfId="108" priority="5">
      <formula>kvartal &lt; 4</formula>
    </cfRule>
  </conditionalFormatting>
  <conditionalFormatting sqref="A115">
    <cfRule type="expression" dxfId="107" priority="4">
      <formula>kvartal &lt; 4</formula>
    </cfRule>
  </conditionalFormatting>
  <conditionalFormatting sqref="A123">
    <cfRule type="expression" dxfId="106" priority="3">
      <formula>kvartal &lt; 4</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95</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20618</v>
      </c>
      <c r="C66" s="345">
        <v>23364</v>
      </c>
      <c r="D66" s="342">
        <f t="shared" ref="D66:D111" si="0">IF(B66=0, "    ---- ", IF(ABS(ROUND(100/B66*C66-100,1))&lt;999,ROUND(100/B66*C66-100,1),IF(ROUND(100/B66*C66-100,1)&gt;999,999,-999)))</f>
        <v>13.3</v>
      </c>
      <c r="E66" s="11">
        <f>IFERROR(100/'Skjema total MA'!C66*C66,0)</f>
        <v>0.66505446790817624</v>
      </c>
      <c r="F66" s="344">
        <v>108569</v>
      </c>
      <c r="G66" s="344">
        <v>135943</v>
      </c>
      <c r="H66" s="342">
        <f t="shared" ref="H66:H111" si="1">IF(F66=0, "    ---- ", IF(ABS(ROUND(100/F66*G66-100,1))&lt;999,ROUND(100/F66*G66-100,1),IF(ROUND(100/F66*G66-100,1)&gt;999,999,-999)))</f>
        <v>25.2</v>
      </c>
      <c r="I66" s="11">
        <f>IFERROR(100/'Skjema total MA'!F66*G66,0)</f>
        <v>1.7236753381598708</v>
      </c>
      <c r="J66" s="301">
        <f t="shared" ref="J66:K79" si="2">SUM(B66,F66)</f>
        <v>129187</v>
      </c>
      <c r="K66" s="308">
        <f t="shared" si="2"/>
        <v>159307</v>
      </c>
      <c r="L66" s="366">
        <f t="shared" ref="L66:L111" si="3">IF(J66=0, "    ---- ", IF(ABS(ROUND(100/J66*K66-100,1))&lt;999,ROUND(100/J66*K66-100,1),IF(ROUND(100/J66*K66-100,1)&gt;999,999,-999)))</f>
        <v>23.3</v>
      </c>
      <c r="M66" s="11">
        <f>IFERROR(100/'Skjema total MA'!I66*K66,0)</f>
        <v>1.3974413749708927</v>
      </c>
    </row>
    <row r="67" spans="1:14" x14ac:dyDescent="0.2">
      <c r="A67" s="360" t="s">
        <v>9</v>
      </c>
      <c r="B67" s="44">
        <v>20618</v>
      </c>
      <c r="C67" s="145">
        <v>23364</v>
      </c>
      <c r="D67" s="166">
        <f t="shared" si="0"/>
        <v>13.3</v>
      </c>
      <c r="E67" s="27">
        <f>IFERROR(100/'Skjema total MA'!C67*C67,0)</f>
        <v>0.82619530116185769</v>
      </c>
      <c r="F67" s="230"/>
      <c r="G67" s="145"/>
      <c r="H67" s="166"/>
      <c r="I67" s="27"/>
      <c r="J67" s="283">
        <f t="shared" si="2"/>
        <v>20618</v>
      </c>
      <c r="K67" s="44">
        <f t="shared" si="2"/>
        <v>23364</v>
      </c>
      <c r="L67" s="250">
        <f t="shared" si="3"/>
        <v>13.3</v>
      </c>
      <c r="M67" s="27">
        <f>IFERROR(100/'Skjema total MA'!I67*K67,0)</f>
        <v>0.82619530116185769</v>
      </c>
    </row>
    <row r="68" spans="1:14" x14ac:dyDescent="0.2">
      <c r="A68" s="21" t="s">
        <v>10</v>
      </c>
      <c r="B68" s="286"/>
      <c r="C68" s="287"/>
      <c r="D68" s="166"/>
      <c r="E68" s="27"/>
      <c r="F68" s="286">
        <v>108569</v>
      </c>
      <c r="G68" s="287">
        <v>135943</v>
      </c>
      <c r="H68" s="166">
        <f t="shared" si="1"/>
        <v>25.2</v>
      </c>
      <c r="I68" s="27">
        <f>IFERROR(100/'Skjema total MA'!F68*G68,0)</f>
        <v>1.7464561806590457</v>
      </c>
      <c r="J68" s="283">
        <f t="shared" si="2"/>
        <v>108569</v>
      </c>
      <c r="K68" s="44">
        <f t="shared" si="2"/>
        <v>135943</v>
      </c>
      <c r="L68" s="250">
        <f t="shared" si="3"/>
        <v>25.2</v>
      </c>
      <c r="M68" s="27">
        <f>IFERROR(100/'Skjema total MA'!I68*K68,0)</f>
        <v>1.7249547531357783</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v>20618</v>
      </c>
      <c r="C77" s="230">
        <v>23364</v>
      </c>
      <c r="D77" s="166">
        <f t="shared" si="0"/>
        <v>13.3</v>
      </c>
      <c r="E77" s="27">
        <f>IFERROR(100/'Skjema total MA'!C77*C77,0)</f>
        <v>0.81498658562141502</v>
      </c>
      <c r="F77" s="230">
        <v>108569</v>
      </c>
      <c r="G77" s="145">
        <v>135943</v>
      </c>
      <c r="H77" s="166">
        <f t="shared" si="1"/>
        <v>25.2</v>
      </c>
      <c r="I77" s="27">
        <f>IFERROR(100/'Skjema total MA'!F77*G77,0)</f>
        <v>1.7472370551895766</v>
      </c>
      <c r="J77" s="283">
        <f t="shared" si="2"/>
        <v>129187</v>
      </c>
      <c r="K77" s="44">
        <f t="shared" si="2"/>
        <v>159307</v>
      </c>
      <c r="L77" s="250">
        <f t="shared" si="3"/>
        <v>23.3</v>
      </c>
      <c r="M77" s="27">
        <f>IFERROR(100/'Skjema total MA'!I77*K77,0)</f>
        <v>1.4962265758754554</v>
      </c>
    </row>
    <row r="78" spans="1:14" x14ac:dyDescent="0.2">
      <c r="A78" s="21" t="s">
        <v>9</v>
      </c>
      <c r="B78" s="230">
        <v>20618</v>
      </c>
      <c r="C78" s="145">
        <v>23364</v>
      </c>
      <c r="D78" s="166">
        <f t="shared" si="0"/>
        <v>13.3</v>
      </c>
      <c r="E78" s="27">
        <f>IFERROR(100/'Skjema total MA'!C78*C78,0)</f>
        <v>0.84314230461354589</v>
      </c>
      <c r="F78" s="230"/>
      <c r="G78" s="145"/>
      <c r="H78" s="166"/>
      <c r="I78" s="27"/>
      <c r="J78" s="283">
        <f t="shared" si="2"/>
        <v>20618</v>
      </c>
      <c r="K78" s="44">
        <f t="shared" si="2"/>
        <v>23364</v>
      </c>
      <c r="L78" s="250">
        <f t="shared" si="3"/>
        <v>13.3</v>
      </c>
      <c r="M78" s="27">
        <f>IFERROR(100/'Skjema total MA'!I78*K78,0)</f>
        <v>0.84314230461354589</v>
      </c>
    </row>
    <row r="79" spans="1:14" x14ac:dyDescent="0.2">
      <c r="A79" s="21" t="s">
        <v>10</v>
      </c>
      <c r="B79" s="286"/>
      <c r="C79" s="287"/>
      <c r="D79" s="166"/>
      <c r="E79" s="27"/>
      <c r="F79" s="286">
        <v>108569</v>
      </c>
      <c r="G79" s="287">
        <v>135943</v>
      </c>
      <c r="H79" s="166">
        <f t="shared" si="1"/>
        <v>25.2</v>
      </c>
      <c r="I79" s="27">
        <f>IFERROR(100/'Skjema total MA'!F79*G79,0)</f>
        <v>1.7472370551895766</v>
      </c>
      <c r="J79" s="283">
        <f t="shared" si="2"/>
        <v>108569</v>
      </c>
      <c r="K79" s="44">
        <f t="shared" si="2"/>
        <v>135943</v>
      </c>
      <c r="L79" s="250">
        <f t="shared" si="3"/>
        <v>25.2</v>
      </c>
      <c r="M79" s="27">
        <f>IFERROR(100/'Skjema total MA'!I79*K79,0)</f>
        <v>1.7259998088922295</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v>1517090</v>
      </c>
      <c r="C87" s="345">
        <v>1573553</v>
      </c>
      <c r="D87" s="171">
        <f t="shared" si="0"/>
        <v>3.7</v>
      </c>
      <c r="E87" s="11">
        <f>IFERROR(100/'Skjema total MA'!C87*C87,0)</f>
        <v>0.40504921652490627</v>
      </c>
      <c r="F87" s="344">
        <v>2816074</v>
      </c>
      <c r="G87" s="344">
        <v>3934107</v>
      </c>
      <c r="H87" s="171">
        <f t="shared" si="1"/>
        <v>39.700000000000003</v>
      </c>
      <c r="I87" s="11">
        <f>IFERROR(100/'Skjema total MA'!F87*G87,0)</f>
        <v>1.4536770235540546</v>
      </c>
      <c r="J87" s="301">
        <f t="shared" ref="J87:K111" si="4">SUM(B87,F87)</f>
        <v>4333164</v>
      </c>
      <c r="K87" s="232">
        <f t="shared" si="4"/>
        <v>5507660</v>
      </c>
      <c r="L87" s="366">
        <f t="shared" si="3"/>
        <v>27.1</v>
      </c>
      <c r="M87" s="11">
        <f>IFERROR(100/'Skjema total MA'!I87*K87,0)</f>
        <v>0.83561336861973434</v>
      </c>
    </row>
    <row r="88" spans="1:13" x14ac:dyDescent="0.2">
      <c r="A88" s="21" t="s">
        <v>9</v>
      </c>
      <c r="B88" s="230">
        <v>1517090</v>
      </c>
      <c r="C88" s="145">
        <v>1573553</v>
      </c>
      <c r="D88" s="166">
        <f t="shared" si="0"/>
        <v>3.7</v>
      </c>
      <c r="E88" s="27">
        <f>IFERROR(100/'Skjema total MA'!C88*C88,0)</f>
        <v>0.4142498342217496</v>
      </c>
      <c r="F88" s="230"/>
      <c r="G88" s="145"/>
      <c r="H88" s="166"/>
      <c r="I88" s="27"/>
      <c r="J88" s="283">
        <f t="shared" si="4"/>
        <v>1517090</v>
      </c>
      <c r="K88" s="44">
        <f t="shared" si="4"/>
        <v>1573553</v>
      </c>
      <c r="L88" s="250">
        <f t="shared" si="3"/>
        <v>3.7</v>
      </c>
      <c r="M88" s="27">
        <f>IFERROR(100/'Skjema total MA'!I88*K88,0)</f>
        <v>0.4142498342217496</v>
      </c>
    </row>
    <row r="89" spans="1:13" x14ac:dyDescent="0.2">
      <c r="A89" s="21" t="s">
        <v>10</v>
      </c>
      <c r="B89" s="230"/>
      <c r="C89" s="145"/>
      <c r="D89" s="166"/>
      <c r="E89" s="27"/>
      <c r="F89" s="230">
        <v>2816074</v>
      </c>
      <c r="G89" s="145">
        <v>3934107</v>
      </c>
      <c r="H89" s="166">
        <f t="shared" si="1"/>
        <v>39.700000000000003</v>
      </c>
      <c r="I89" s="27">
        <f>IFERROR(100/'Skjema total MA'!F89*G89,0)</f>
        <v>1.4600998279460198</v>
      </c>
      <c r="J89" s="283">
        <f t="shared" si="4"/>
        <v>2816074</v>
      </c>
      <c r="K89" s="44">
        <f t="shared" si="4"/>
        <v>3934107</v>
      </c>
      <c r="L89" s="250">
        <f t="shared" si="3"/>
        <v>39.700000000000003</v>
      </c>
      <c r="M89" s="27">
        <f>IFERROR(100/'Skjema total MA'!I89*K89,0)</f>
        <v>1.4451275291954697</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v>1517090</v>
      </c>
      <c r="C98" s="230">
        <v>1573553</v>
      </c>
      <c r="D98" s="166">
        <f t="shared" si="0"/>
        <v>3.7</v>
      </c>
      <c r="E98" s="27">
        <f>IFERROR(100/'Skjema total MA'!C98*C98,0)</f>
        <v>0.41641379809712242</v>
      </c>
      <c r="F98" s="286">
        <v>2816074</v>
      </c>
      <c r="G98" s="286">
        <v>3934107</v>
      </c>
      <c r="H98" s="166">
        <f t="shared" si="1"/>
        <v>39.700000000000003</v>
      </c>
      <c r="I98" s="27">
        <f>IFERROR(100/'Skjema total MA'!F98*G98,0)</f>
        <v>1.4641545746627469</v>
      </c>
      <c r="J98" s="283">
        <f t="shared" si="4"/>
        <v>4333164</v>
      </c>
      <c r="K98" s="44">
        <f t="shared" si="4"/>
        <v>5507660</v>
      </c>
      <c r="L98" s="250">
        <f t="shared" si="3"/>
        <v>27.1</v>
      </c>
      <c r="M98" s="27">
        <f>IFERROR(100/'Skjema total MA'!I98*K98,0)</f>
        <v>0.85181832804710134</v>
      </c>
    </row>
    <row r="99" spans="1:13" x14ac:dyDescent="0.2">
      <c r="A99" s="21" t="s">
        <v>9</v>
      </c>
      <c r="B99" s="286">
        <v>1517090</v>
      </c>
      <c r="C99" s="287">
        <v>1573553</v>
      </c>
      <c r="D99" s="166">
        <f t="shared" si="0"/>
        <v>3.7</v>
      </c>
      <c r="E99" s="27">
        <f>IFERROR(100/'Skjema total MA'!C99*C99,0)</f>
        <v>0.41951289372816164</v>
      </c>
      <c r="F99" s="230"/>
      <c r="G99" s="145"/>
      <c r="H99" s="166"/>
      <c r="I99" s="27"/>
      <c r="J99" s="283">
        <f t="shared" si="4"/>
        <v>1517090</v>
      </c>
      <c r="K99" s="44">
        <f t="shared" si="4"/>
        <v>1573553</v>
      </c>
      <c r="L99" s="250">
        <f t="shared" si="3"/>
        <v>3.7</v>
      </c>
      <c r="M99" s="27">
        <f>IFERROR(100/'Skjema total MA'!I99*K99,0)</f>
        <v>0.41951289372816164</v>
      </c>
    </row>
    <row r="100" spans="1:13" x14ac:dyDescent="0.2">
      <c r="A100" s="21" t="s">
        <v>10</v>
      </c>
      <c r="B100" s="286"/>
      <c r="C100" s="287"/>
      <c r="D100" s="166"/>
      <c r="E100" s="27"/>
      <c r="F100" s="230">
        <v>2816074</v>
      </c>
      <c r="G100" s="230">
        <v>3934107</v>
      </c>
      <c r="H100" s="166">
        <f t="shared" si="1"/>
        <v>39.700000000000003</v>
      </c>
      <c r="I100" s="27">
        <f>IFERROR(100/'Skjema total MA'!F100*G100,0)</f>
        <v>1.4641545746627469</v>
      </c>
      <c r="J100" s="283">
        <f t="shared" si="4"/>
        <v>2816074</v>
      </c>
      <c r="K100" s="44">
        <f t="shared" si="4"/>
        <v>3934107</v>
      </c>
      <c r="L100" s="250">
        <f t="shared" si="3"/>
        <v>39.700000000000003</v>
      </c>
      <c r="M100" s="27">
        <f>IFERROR(100/'Skjema total MA'!I100*K100,0)</f>
        <v>1.4490994319989308</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v>910396</v>
      </c>
      <c r="C108" s="230">
        <v>937953</v>
      </c>
      <c r="D108" s="166">
        <f t="shared" si="0"/>
        <v>3</v>
      </c>
      <c r="E108" s="27">
        <f>IFERROR(100/'Skjema total MA'!C108*C108,0)</f>
        <v>0.29816412825983801</v>
      </c>
      <c r="F108" s="230"/>
      <c r="G108" s="230"/>
      <c r="H108" s="166"/>
      <c r="I108" s="27"/>
      <c r="J108" s="283">
        <f t="shared" si="4"/>
        <v>910396</v>
      </c>
      <c r="K108" s="44">
        <f t="shared" si="4"/>
        <v>937953</v>
      </c>
      <c r="L108" s="250">
        <f t="shared" si="3"/>
        <v>3</v>
      </c>
      <c r="M108" s="27">
        <f>IFERROR(100/'Skjema total MA'!I108*K108,0)</f>
        <v>0.28368998882740881</v>
      </c>
    </row>
    <row r="109" spans="1:13" ht="15.75" x14ac:dyDescent="0.2">
      <c r="A109" s="21" t="s">
        <v>391</v>
      </c>
      <c r="B109" s="230"/>
      <c r="C109" s="230"/>
      <c r="D109" s="166"/>
      <c r="E109" s="27"/>
      <c r="F109" s="230">
        <v>1171269</v>
      </c>
      <c r="G109" s="230">
        <v>1681296</v>
      </c>
      <c r="H109" s="166">
        <f t="shared" si="1"/>
        <v>43.5</v>
      </c>
      <c r="I109" s="27">
        <f>IFERROR(100/'Skjema total MA'!F109*G109,0)</f>
        <v>1.8862455616263554</v>
      </c>
      <c r="J109" s="283">
        <f t="shared" si="4"/>
        <v>1171269</v>
      </c>
      <c r="K109" s="44">
        <f t="shared" si="4"/>
        <v>1681296</v>
      </c>
      <c r="L109" s="250">
        <f t="shared" si="3"/>
        <v>43.5</v>
      </c>
      <c r="M109" s="27">
        <f>IFERROR(100/'Skjema total MA'!I109*K109,0)</f>
        <v>1.8646153123960816</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422</v>
      </c>
      <c r="C111" s="159">
        <v>904</v>
      </c>
      <c r="D111" s="171">
        <f t="shared" si="0"/>
        <v>114.2</v>
      </c>
      <c r="E111" s="11">
        <f>IFERROR(100/'Skjema total MA'!C111*C111,0)</f>
        <v>0.39683750780068139</v>
      </c>
      <c r="F111" s="300">
        <v>117935</v>
      </c>
      <c r="G111" s="159">
        <v>201142</v>
      </c>
      <c r="H111" s="171">
        <f t="shared" si="1"/>
        <v>70.599999999999994</v>
      </c>
      <c r="I111" s="11">
        <f>IFERROR(100/'Skjema total MA'!F111*G111,0)</f>
        <v>4.7052317827432164</v>
      </c>
      <c r="J111" s="301">
        <f t="shared" si="4"/>
        <v>118357</v>
      </c>
      <c r="K111" s="232">
        <f t="shared" si="4"/>
        <v>202046</v>
      </c>
      <c r="L111" s="366">
        <f t="shared" si="3"/>
        <v>70.7</v>
      </c>
      <c r="M111" s="11">
        <f>IFERROR(100/'Skjema total MA'!I111*K111,0)</f>
        <v>4.4872591106727482</v>
      </c>
    </row>
    <row r="112" spans="1:13" x14ac:dyDescent="0.2">
      <c r="A112" s="21" t="s">
        <v>9</v>
      </c>
      <c r="B112" s="230">
        <v>422</v>
      </c>
      <c r="C112" s="145">
        <v>904</v>
      </c>
      <c r="D112" s="166">
        <f t="shared" ref="D112:D120" si="5">IF(B112=0, "    ---- ", IF(ABS(ROUND(100/B112*C112-100,1))&lt;999,ROUND(100/B112*C112-100,1),IF(ROUND(100/B112*C112-100,1)&gt;999,999,-999)))</f>
        <v>114.2</v>
      </c>
      <c r="E112" s="27">
        <f>IFERROR(100/'Skjema total MA'!C112*C112,0)</f>
        <v>0.43946665593154632</v>
      </c>
      <c r="F112" s="230"/>
      <c r="G112" s="145"/>
      <c r="H112" s="166"/>
      <c r="I112" s="27"/>
      <c r="J112" s="283">
        <f t="shared" ref="J112:K125" si="6">SUM(B112,F112)</f>
        <v>422</v>
      </c>
      <c r="K112" s="44">
        <f t="shared" si="6"/>
        <v>904</v>
      </c>
      <c r="L112" s="250">
        <f t="shared" ref="L112:L125" si="7">IF(J112=0, "    ---- ", IF(ABS(ROUND(100/J112*K112-100,1))&lt;999,ROUND(100/J112*K112-100,1),IF(ROUND(100/J112*K112-100,1)&gt;999,999,-999)))</f>
        <v>114.2</v>
      </c>
      <c r="M112" s="27">
        <f>IFERROR(100/'Skjema total MA'!I112*K112,0)</f>
        <v>0.43748106961581029</v>
      </c>
    </row>
    <row r="113" spans="1:14" x14ac:dyDescent="0.2">
      <c r="A113" s="21" t="s">
        <v>10</v>
      </c>
      <c r="B113" s="230"/>
      <c r="C113" s="145"/>
      <c r="D113" s="166"/>
      <c r="E113" s="27"/>
      <c r="F113" s="230">
        <v>117935</v>
      </c>
      <c r="G113" s="145">
        <v>201142</v>
      </c>
      <c r="H113" s="166">
        <f t="shared" ref="H113:H125" si="8">IF(F113=0, "    ---- ", IF(ABS(ROUND(100/F113*G113-100,1))&lt;999,ROUND(100/F113*G113-100,1),IF(ROUND(100/F113*G113-100,1)&gt;999,999,-999)))</f>
        <v>70.599999999999994</v>
      </c>
      <c r="I113" s="27">
        <f>IFERROR(100/'Skjema total MA'!F113*G113,0)</f>
        <v>4.7362071400331898</v>
      </c>
      <c r="J113" s="283">
        <f t="shared" si="6"/>
        <v>117935</v>
      </c>
      <c r="K113" s="44">
        <f t="shared" si="6"/>
        <v>201142</v>
      </c>
      <c r="L113" s="250">
        <f t="shared" si="7"/>
        <v>70.599999999999994</v>
      </c>
      <c r="M113" s="27">
        <f>IFERROR(100/'Skjema total MA'!I113*K113,0)</f>
        <v>4.7359085343875709</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v>85540</v>
      </c>
      <c r="G117" s="230">
        <v>110053</v>
      </c>
      <c r="H117" s="166">
        <f t="shared" si="8"/>
        <v>28.7</v>
      </c>
      <c r="I117" s="27">
        <f>IFERROR(100/'Skjema total MA'!F117*G117,0)</f>
        <v>20.214177525376879</v>
      </c>
      <c r="J117" s="283">
        <f t="shared" si="6"/>
        <v>85540</v>
      </c>
      <c r="K117" s="44">
        <f t="shared" si="6"/>
        <v>110053</v>
      </c>
      <c r="L117" s="250">
        <f t="shared" si="7"/>
        <v>28.7</v>
      </c>
      <c r="M117" s="27">
        <f>IFERROR(100/'Skjema total MA'!I117*K117,0)</f>
        <v>20.214177525376879</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259</v>
      </c>
      <c r="C119" s="159">
        <v>918</v>
      </c>
      <c r="D119" s="171">
        <f t="shared" si="5"/>
        <v>254.4</v>
      </c>
      <c r="E119" s="11">
        <f>IFERROR(100/'Skjema total MA'!C119*C119,0)</f>
        <v>0.49335169618370422</v>
      </c>
      <c r="F119" s="300">
        <v>19438</v>
      </c>
      <c r="G119" s="159">
        <v>28141</v>
      </c>
      <c r="H119" s="171">
        <f t="shared" si="8"/>
        <v>44.8</v>
      </c>
      <c r="I119" s="11">
        <f>IFERROR(100/'Skjema total MA'!F119*G119,0)</f>
        <v>0.6440935269197493</v>
      </c>
      <c r="J119" s="301">
        <f t="shared" si="6"/>
        <v>19697</v>
      </c>
      <c r="K119" s="232">
        <f t="shared" si="6"/>
        <v>29059</v>
      </c>
      <c r="L119" s="366">
        <f t="shared" si="7"/>
        <v>47.5</v>
      </c>
      <c r="M119" s="11">
        <f>IFERROR(100/'Skjema total MA'!I119*K119,0)</f>
        <v>0.63793586002464298</v>
      </c>
    </row>
    <row r="120" spans="1:14" x14ac:dyDescent="0.2">
      <c r="A120" s="21" t="s">
        <v>9</v>
      </c>
      <c r="B120" s="230">
        <v>259</v>
      </c>
      <c r="C120" s="145">
        <v>918</v>
      </c>
      <c r="D120" s="166">
        <f t="shared" si="5"/>
        <v>254.4</v>
      </c>
      <c r="E120" s="27">
        <f>IFERROR(100/'Skjema total MA'!C120*C120,0)</f>
        <v>0.82788787767076266</v>
      </c>
      <c r="F120" s="230"/>
      <c r="G120" s="145"/>
      <c r="H120" s="166"/>
      <c r="I120" s="27"/>
      <c r="J120" s="283">
        <f t="shared" si="6"/>
        <v>259</v>
      </c>
      <c r="K120" s="44">
        <f t="shared" si="6"/>
        <v>918</v>
      </c>
      <c r="L120" s="250">
        <f t="shared" si="7"/>
        <v>254.4</v>
      </c>
      <c r="M120" s="27">
        <f>IFERROR(100/'Skjema total MA'!I120*K120,0)</f>
        <v>0.82788787767076266</v>
      </c>
    </row>
    <row r="121" spans="1:14" x14ac:dyDescent="0.2">
      <c r="A121" s="21" t="s">
        <v>10</v>
      </c>
      <c r="B121" s="230"/>
      <c r="C121" s="145"/>
      <c r="D121" s="166"/>
      <c r="E121" s="27"/>
      <c r="F121" s="230">
        <v>19438</v>
      </c>
      <c r="G121" s="145">
        <v>28141</v>
      </c>
      <c r="H121" s="166">
        <f t="shared" si="8"/>
        <v>44.8</v>
      </c>
      <c r="I121" s="27">
        <f>IFERROR(100/'Skjema total MA'!F121*G121,0)</f>
        <v>0.6440935269197493</v>
      </c>
      <c r="J121" s="283">
        <f t="shared" si="6"/>
        <v>19438</v>
      </c>
      <c r="K121" s="44">
        <f t="shared" si="6"/>
        <v>28141</v>
      </c>
      <c r="L121" s="250">
        <f t="shared" si="7"/>
        <v>44.8</v>
      </c>
      <c r="M121" s="27">
        <f>IFERROR(100/'Skjema total MA'!I121*K121,0)</f>
        <v>0.64270489895399052</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t="s">
        <v>414</v>
      </c>
      <c r="C123" s="311" t="s">
        <v>414</v>
      </c>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v>5782</v>
      </c>
      <c r="G125" s="230">
        <v>8687</v>
      </c>
      <c r="H125" s="166">
        <f t="shared" si="8"/>
        <v>50.2</v>
      </c>
      <c r="I125" s="27">
        <f>IFERROR(100/'Skjema total MA'!F125*G125,0)</f>
        <v>1.746107139854159</v>
      </c>
      <c r="J125" s="283">
        <f t="shared" si="6"/>
        <v>5782</v>
      </c>
      <c r="K125" s="44">
        <f t="shared" si="6"/>
        <v>8687</v>
      </c>
      <c r="L125" s="250">
        <f t="shared" si="7"/>
        <v>50.2</v>
      </c>
      <c r="M125" s="27">
        <f>IFERROR(100/'Skjema total MA'!I125*K125,0)</f>
        <v>1.7456874871107799</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05" priority="12">
      <formula>kvartal &lt; 4</formula>
    </cfRule>
  </conditionalFormatting>
  <conditionalFormatting sqref="A69:A74">
    <cfRule type="expression" dxfId="104" priority="10">
      <formula>kvartal &lt; 4</formula>
    </cfRule>
  </conditionalFormatting>
  <conditionalFormatting sqref="A80:A85">
    <cfRule type="expression" dxfId="103" priority="9">
      <formula>kvartal &lt; 4</formula>
    </cfRule>
  </conditionalFormatting>
  <conditionalFormatting sqref="A90:A95">
    <cfRule type="expression" dxfId="102" priority="6">
      <formula>kvartal &lt; 4</formula>
    </cfRule>
  </conditionalFormatting>
  <conditionalFormatting sqref="A101:A106">
    <cfRule type="expression" dxfId="101" priority="5">
      <formula>kvartal &lt; 4</formula>
    </cfRule>
  </conditionalFormatting>
  <conditionalFormatting sqref="A115">
    <cfRule type="expression" dxfId="100" priority="4">
      <formula>kvartal &lt; 4</formula>
    </cfRule>
  </conditionalFormatting>
  <conditionalFormatting sqref="A123">
    <cfRule type="expression" dxfId="99"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141</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1256.691</v>
      </c>
      <c r="C7" s="299">
        <v>2359</v>
      </c>
      <c r="D7" s="342">
        <f>IF(B7=0, "    ---- ", IF(ABS(ROUND(100/B7*C7-100,1))&lt;999,ROUND(100/B7*C7-100,1),IF(ROUND(100/B7*C7-100,1)&gt;999,999,-999)))</f>
        <v>87.7</v>
      </c>
      <c r="E7" s="11">
        <f>IFERROR(100/'Skjema total MA'!C7*C7,0)</f>
        <v>0.147643015207125</v>
      </c>
      <c r="F7" s="298"/>
      <c r="G7" s="299"/>
      <c r="H7" s="342"/>
      <c r="I7" s="160"/>
      <c r="J7" s="300">
        <f t="shared" ref="J7:K10" si="0">SUM(B7,F7)</f>
        <v>1256.691</v>
      </c>
      <c r="K7" s="301">
        <f t="shared" si="0"/>
        <v>2359</v>
      </c>
      <c r="L7" s="365">
        <f>IF(J7=0, "    ---- ", IF(ABS(ROUND(100/J7*K7-100,1))&lt;999,ROUND(100/J7*K7-100,1),IF(ROUND(100/J7*K7-100,1)&gt;999,999,-999)))</f>
        <v>87.7</v>
      </c>
      <c r="M7" s="11">
        <f>IFERROR(100/'Skjema total MA'!I7*K7,0)</f>
        <v>5.5011651927648668E-2</v>
      </c>
    </row>
    <row r="8" spans="1:14" ht="15.75" x14ac:dyDescent="0.2">
      <c r="A8" s="21" t="s">
        <v>25</v>
      </c>
      <c r="B8" s="277">
        <v>1172.5229999999999</v>
      </c>
      <c r="C8" s="278">
        <v>2260</v>
      </c>
      <c r="D8" s="166">
        <f t="shared" ref="D8:D10" si="1">IF(B8=0, "    ---- ", IF(ABS(ROUND(100/B8*C8-100,1))&lt;999,ROUND(100/B8*C8-100,1),IF(ROUND(100/B8*C8-100,1)&gt;999,999,-999)))</f>
        <v>92.7</v>
      </c>
      <c r="E8" s="27">
        <f>IFERROR(100/'Skjema total MA'!C8*C8,0)</f>
        <v>0.22972027353667154</v>
      </c>
      <c r="F8" s="281"/>
      <c r="G8" s="282"/>
      <c r="H8" s="166"/>
      <c r="I8" s="175"/>
      <c r="J8" s="230">
        <f t="shared" si="0"/>
        <v>1172.5229999999999</v>
      </c>
      <c r="K8" s="283">
        <f t="shared" si="0"/>
        <v>2260</v>
      </c>
      <c r="L8" s="250">
        <f t="shared" ref="L8:L10" si="2">IF(J8=0, "    ---- ", IF(ABS(ROUND(100/J8*K8-100,1))&lt;999,ROUND(100/J8*K8-100,1),IF(ROUND(100/J8*K8-100,1)&gt;999,999,-999)))</f>
        <v>92.7</v>
      </c>
      <c r="M8" s="27">
        <f>IFERROR(100/'Skjema total MA'!I8*K8,0)</f>
        <v>0.22972027353667154</v>
      </c>
    </row>
    <row r="9" spans="1:14" ht="15.75" x14ac:dyDescent="0.2">
      <c r="A9" s="21" t="s">
        <v>24</v>
      </c>
      <c r="B9" s="277">
        <v>84.167999999999907</v>
      </c>
      <c r="C9" s="278">
        <v>99</v>
      </c>
      <c r="D9" s="166">
        <f t="shared" si="1"/>
        <v>17.600000000000001</v>
      </c>
      <c r="E9" s="27">
        <f>IFERROR(100/'Skjema total MA'!C9*C9,0)</f>
        <v>2.6891049871562121E-2</v>
      </c>
      <c r="F9" s="281"/>
      <c r="G9" s="282"/>
      <c r="H9" s="166"/>
      <c r="I9" s="175"/>
      <c r="J9" s="230">
        <f t="shared" si="0"/>
        <v>84.167999999999907</v>
      </c>
      <c r="K9" s="283">
        <f t="shared" si="0"/>
        <v>99</v>
      </c>
      <c r="L9" s="250">
        <f t="shared" si="2"/>
        <v>17.600000000000001</v>
      </c>
      <c r="M9" s="27">
        <f>IFERROR(100/'Skjema total MA'!I9*K9,0)</f>
        <v>2.6891049871562121E-2</v>
      </c>
    </row>
    <row r="10" spans="1:14" ht="15.75" x14ac:dyDescent="0.2">
      <c r="A10" s="13" t="s">
        <v>371</v>
      </c>
      <c r="B10" s="302">
        <v>12214.147999999999</v>
      </c>
      <c r="C10" s="303">
        <v>23088</v>
      </c>
      <c r="D10" s="171">
        <f t="shared" si="1"/>
        <v>89</v>
      </c>
      <c r="E10" s="11">
        <f>IFERROR(100/'Skjema total MA'!C10*C10,0)</f>
        <v>0.1140474245624955</v>
      </c>
      <c r="F10" s="302"/>
      <c r="G10" s="303"/>
      <c r="H10" s="171"/>
      <c r="I10" s="160"/>
      <c r="J10" s="300">
        <f t="shared" si="0"/>
        <v>12214.147999999999</v>
      </c>
      <c r="K10" s="301">
        <f t="shared" si="0"/>
        <v>23088</v>
      </c>
      <c r="L10" s="366">
        <f t="shared" si="2"/>
        <v>89</v>
      </c>
      <c r="M10" s="11">
        <f>IFERROR(100/'Skjema total MA'!I10*K10,0)</f>
        <v>3.5487450362832969E-2</v>
      </c>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v>1735</v>
      </c>
      <c r="D22" s="342" t="str">
        <f t="shared" ref="D22:D28" si="3">IF(B22=0, "    ---- ", IF(ABS(ROUND(100/B22*C22-100,1))&lt;999,ROUND(100/B22*C22-100,1),IF(ROUND(100/B22*C22-100,1)&gt;999,999,-999)))</f>
        <v xml:space="preserve">    ---- </v>
      </c>
      <c r="E22" s="11">
        <f>IFERROR(100/'Skjema total MA'!C22*C22,0)</f>
        <v>0.25168748908065941</v>
      </c>
      <c r="F22" s="310"/>
      <c r="G22" s="310"/>
      <c r="H22" s="342"/>
      <c r="I22" s="11"/>
      <c r="J22" s="308"/>
      <c r="K22" s="308">
        <f t="shared" ref="J22:K28" si="4">SUM(C22,G22)</f>
        <v>1735</v>
      </c>
      <c r="L22" s="365" t="str">
        <f t="shared" ref="L22:L28" si="5">IF(J22=0, "    ---- ", IF(ABS(ROUND(100/J22*K22-100,1))&lt;999,ROUND(100/J22*K22-100,1),IF(ROUND(100/J22*K22-100,1)&gt;999,999,-999)))</f>
        <v xml:space="preserve">    ---- </v>
      </c>
      <c r="M22" s="24">
        <f>IFERROR(100/'Skjema total MA'!I22*K22,0)</f>
        <v>0.17375466036509954</v>
      </c>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1678.26</v>
      </c>
      <c r="C28" s="283">
        <v>1735</v>
      </c>
      <c r="D28" s="166">
        <f t="shared" si="3"/>
        <v>3.4</v>
      </c>
      <c r="E28" s="11">
        <f>IFERROR(100/'Skjema total MA'!C28*C28,0)</f>
        <v>0.26890941965471699</v>
      </c>
      <c r="F28" s="230"/>
      <c r="G28" s="283"/>
      <c r="H28" s="166"/>
      <c r="I28" s="27"/>
      <c r="J28" s="44">
        <f t="shared" si="4"/>
        <v>1678.26</v>
      </c>
      <c r="K28" s="44">
        <f t="shared" si="4"/>
        <v>1735</v>
      </c>
      <c r="L28" s="250">
        <f t="shared" si="5"/>
        <v>3.4</v>
      </c>
      <c r="M28" s="23">
        <f>IFERROR(100/'Skjema total MA'!I28*K28,0)</f>
        <v>0.26890941965471699</v>
      </c>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106386.386</v>
      </c>
      <c r="C47" s="303">
        <v>132741</v>
      </c>
      <c r="D47" s="365">
        <f t="shared" ref="D47:D48" si="6">IF(B47=0, "    ---- ", IF(ABS(ROUND(100/B47*C47-100,1))&lt;999,ROUND(100/B47*C47-100,1),IF(ROUND(100/B47*C47-100,1)&gt;999,999,-999)))</f>
        <v>24.8</v>
      </c>
      <c r="E47" s="11">
        <f>IFERROR(100/'Skjema total MA'!C47*C47,0)</f>
        <v>5.304541488410794</v>
      </c>
      <c r="F47" s="145"/>
      <c r="G47" s="33"/>
      <c r="H47" s="159"/>
      <c r="I47" s="159"/>
      <c r="J47" s="37"/>
      <c r="K47" s="37"/>
      <c r="L47" s="159"/>
      <c r="M47" s="159"/>
      <c r="N47" s="148"/>
    </row>
    <row r="48" spans="1:14" s="3" customFormat="1" ht="15.75" x14ac:dyDescent="0.2">
      <c r="A48" s="38" t="s">
        <v>382</v>
      </c>
      <c r="B48" s="277">
        <v>106386.386</v>
      </c>
      <c r="C48" s="278">
        <v>132741</v>
      </c>
      <c r="D48" s="250">
        <f t="shared" si="6"/>
        <v>24.8</v>
      </c>
      <c r="E48" s="27">
        <f>IFERROR(100/'Skjema total MA'!C48*C48,0)</f>
        <v>9.9169795151167186</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98" priority="12">
      <formula>kvartal &lt; 4</formula>
    </cfRule>
  </conditionalFormatting>
  <conditionalFormatting sqref="A69:A74">
    <cfRule type="expression" dxfId="97" priority="10">
      <formula>kvartal &lt; 4</formula>
    </cfRule>
  </conditionalFormatting>
  <conditionalFormatting sqref="A80:A85">
    <cfRule type="expression" dxfId="96" priority="9">
      <formula>kvartal &lt; 4</formula>
    </cfRule>
  </conditionalFormatting>
  <conditionalFormatting sqref="A90:A95">
    <cfRule type="expression" dxfId="95" priority="6">
      <formula>kvartal &lt; 4</formula>
    </cfRule>
  </conditionalFormatting>
  <conditionalFormatting sqref="A101:A106">
    <cfRule type="expression" dxfId="94" priority="5">
      <formula>kvartal &lt; 4</formula>
    </cfRule>
  </conditionalFormatting>
  <conditionalFormatting sqref="A115">
    <cfRule type="expression" dxfId="93" priority="4">
      <formula>kvartal &lt; 4</formula>
    </cfRule>
  </conditionalFormatting>
  <conditionalFormatting sqref="A123">
    <cfRule type="expression" dxfId="92" priority="3">
      <formula>kvartal &lt; 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4" sqref="A4"/>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71"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0"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347</v>
      </c>
      <c r="C18" s="70" t="s">
        <v>348</v>
      </c>
      <c r="D18" s="69"/>
      <c r="E18" s="69"/>
      <c r="F18" s="69"/>
      <c r="G18" s="69"/>
      <c r="H18" s="69"/>
      <c r="I18" s="69"/>
      <c r="J18" s="69"/>
      <c r="K18" s="69"/>
      <c r="L18" s="69"/>
      <c r="M18" s="69"/>
      <c r="N18" s="69"/>
    </row>
    <row r="19" spans="1:14" ht="20.100000000000001" customHeight="1" x14ac:dyDescent="0.35">
      <c r="A19" s="70"/>
      <c r="B19" s="70" t="s">
        <v>349</v>
      </c>
      <c r="C19" s="70" t="s">
        <v>277</v>
      </c>
      <c r="D19" s="69"/>
      <c r="E19" s="69"/>
      <c r="F19" s="69"/>
      <c r="G19" s="69"/>
      <c r="H19" s="69"/>
      <c r="I19" s="69"/>
      <c r="J19" s="69"/>
      <c r="K19" s="69"/>
      <c r="L19" s="69"/>
      <c r="M19" s="69"/>
      <c r="N19" s="69"/>
    </row>
    <row r="20" spans="1:14" s="340" customFormat="1" ht="20.100000000000001" customHeight="1" x14ac:dyDescent="0.35">
      <c r="A20" s="338"/>
      <c r="B20" s="338" t="s">
        <v>351</v>
      </c>
      <c r="C20" s="338" t="s">
        <v>350</v>
      </c>
      <c r="D20" s="339"/>
      <c r="E20" s="339"/>
      <c r="F20" s="339"/>
      <c r="G20" s="339"/>
      <c r="H20" s="339"/>
      <c r="I20" s="339"/>
      <c r="J20" s="339"/>
      <c r="K20" s="339"/>
      <c r="L20" s="339"/>
      <c r="M20" s="339"/>
      <c r="N20" s="339"/>
    </row>
    <row r="21" spans="1:14" ht="20.100000000000001" customHeight="1" x14ac:dyDescent="0.35">
      <c r="A21" s="70"/>
      <c r="B21" s="70"/>
      <c r="C21" s="70"/>
    </row>
    <row r="22" spans="1:14" ht="18.75" customHeight="1" x14ac:dyDescent="0.35">
      <c r="A22" s="70"/>
      <c r="B22" s="338" t="s">
        <v>261</v>
      </c>
      <c r="C22" s="338"/>
    </row>
    <row r="23" spans="1:14" ht="20.100000000000001" customHeight="1" x14ac:dyDescent="0.35">
      <c r="A23" s="70"/>
      <c r="B23" s="341" t="s">
        <v>262</v>
      </c>
      <c r="C23" s="338" t="s">
        <v>263</v>
      </c>
    </row>
    <row r="24" spans="1:14" ht="20.100000000000001" hidden="1" customHeight="1" x14ac:dyDescent="0.35">
      <c r="A24" s="70"/>
      <c r="B24" s="341" t="s">
        <v>264</v>
      </c>
      <c r="C24" s="338" t="s">
        <v>265</v>
      </c>
    </row>
    <row r="25" spans="1:14" ht="20.100000000000001" hidden="1" customHeight="1" x14ac:dyDescent="0.35">
      <c r="A25" s="70"/>
      <c r="B25" s="341" t="s">
        <v>266</v>
      </c>
      <c r="C25" s="338" t="s">
        <v>267</v>
      </c>
    </row>
    <row r="26" spans="1:14" ht="20.100000000000001" hidden="1" customHeight="1" x14ac:dyDescent="0.35">
      <c r="A26" s="70"/>
      <c r="B26" s="341" t="s">
        <v>268</v>
      </c>
      <c r="C26" s="338" t="s">
        <v>269</v>
      </c>
    </row>
    <row r="27" spans="1:14" ht="20.100000000000001" customHeight="1" x14ac:dyDescent="0.35">
      <c r="A27" s="70"/>
      <c r="B27" s="341" t="s">
        <v>178</v>
      </c>
      <c r="C27" s="338" t="s">
        <v>270</v>
      </c>
    </row>
    <row r="28" spans="1:14" ht="20.100000000000001" hidden="1" customHeight="1" x14ac:dyDescent="0.35">
      <c r="A28" s="70"/>
      <c r="B28" s="335" t="s">
        <v>271</v>
      </c>
      <c r="C28" s="269" t="s">
        <v>272</v>
      </c>
    </row>
    <row r="29" spans="1:14" ht="20.100000000000001" hidden="1" customHeight="1" x14ac:dyDescent="0.35">
      <c r="A29" s="70"/>
      <c r="B29" s="335" t="s">
        <v>273</v>
      </c>
      <c r="C29" s="269" t="s">
        <v>274</v>
      </c>
    </row>
    <row r="30" spans="1:14" ht="18.75" customHeight="1" x14ac:dyDescent="0.35">
      <c r="A30" s="70"/>
      <c r="B30" s="341" t="s">
        <v>275</v>
      </c>
      <c r="C30" s="338" t="s">
        <v>276</v>
      </c>
    </row>
    <row r="31" spans="1:14" ht="18.75" customHeight="1" x14ac:dyDescent="0.35">
      <c r="A31" s="70"/>
      <c r="B31" s="341"/>
      <c r="C31" s="338"/>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36"/>
      <c r="D36" s="337"/>
    </row>
    <row r="37" spans="1:14" ht="26.25" x14ac:dyDescent="0.4">
      <c r="C37" s="72"/>
    </row>
    <row r="38" spans="1:14" ht="26.25" x14ac:dyDescent="0.4">
      <c r="C38" s="72"/>
    </row>
    <row r="39" spans="1:14" ht="26.25" x14ac:dyDescent="0.4">
      <c r="C39" s="336"/>
      <c r="D39" s="340"/>
      <c r="E39" s="340"/>
      <c r="F39" s="340"/>
      <c r="G39" s="340"/>
      <c r="H39" s="340"/>
      <c r="I39" s="340"/>
      <c r="J39" s="340"/>
      <c r="K39" s="340"/>
      <c r="L39" s="340"/>
      <c r="M39" s="340"/>
      <c r="N39" s="340"/>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415</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21888.014999999999</v>
      </c>
      <c r="C47" s="303">
        <v>22249</v>
      </c>
      <c r="D47" s="365">
        <f t="shared" ref="D47:D57" si="0">IF(B47=0, "    ---- ", IF(ABS(ROUND(100/B47*C47-100,1))&lt;999,ROUND(100/B47*C47-100,1),IF(ROUND(100/B47*C47-100,1)&gt;999,999,-999)))</f>
        <v>1.6</v>
      </c>
      <c r="E47" s="11">
        <f>IFERROR(100/'Skjema total MA'!C47*C47,0)</f>
        <v>0.8891054276798559</v>
      </c>
      <c r="F47" s="145"/>
      <c r="G47" s="33"/>
      <c r="H47" s="159"/>
      <c r="I47" s="159"/>
      <c r="J47" s="37"/>
      <c r="K47" s="37"/>
      <c r="L47" s="159"/>
      <c r="M47" s="159"/>
      <c r="N47" s="148"/>
    </row>
    <row r="48" spans="1:14" s="3" customFormat="1" ht="15.75" x14ac:dyDescent="0.2">
      <c r="A48" s="38" t="s">
        <v>382</v>
      </c>
      <c r="B48" s="277">
        <v>21888.014999999999</v>
      </c>
      <c r="C48" s="278">
        <v>22249</v>
      </c>
      <c r="D48" s="250">
        <f t="shared" si="0"/>
        <v>1.6</v>
      </c>
      <c r="E48" s="27">
        <f>IFERROR(100/'Skjema total MA'!C48*C48,0)</f>
        <v>1.662205929078671</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0</v>
      </c>
      <c r="C53" s="303">
        <v>428</v>
      </c>
      <c r="D53" s="366" t="str">
        <f t="shared" si="0"/>
        <v xml:space="preserve">    ---- </v>
      </c>
      <c r="E53" s="11">
        <f>IFERROR(100/'Skjema total MA'!C53*C53,0)</f>
        <v>0.28724632299035607</v>
      </c>
      <c r="F53" s="145"/>
      <c r="G53" s="33"/>
      <c r="H53" s="145"/>
      <c r="I53" s="145"/>
      <c r="J53" s="33"/>
      <c r="K53" s="33"/>
      <c r="L53" s="159"/>
      <c r="M53" s="159"/>
      <c r="N53" s="148"/>
    </row>
    <row r="54" spans="1:14" s="3" customFormat="1" ht="15.75" x14ac:dyDescent="0.2">
      <c r="A54" s="38" t="s">
        <v>382</v>
      </c>
      <c r="B54" s="277">
        <v>0</v>
      </c>
      <c r="C54" s="278">
        <v>428</v>
      </c>
      <c r="D54" s="250" t="str">
        <f t="shared" si="0"/>
        <v xml:space="preserve">    ---- </v>
      </c>
      <c r="E54" s="27">
        <f>IFERROR(100/'Skjema total MA'!C54*C54,0)</f>
        <v>0.67686679625186597</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160</v>
      </c>
      <c r="C56" s="303">
        <v>284</v>
      </c>
      <c r="D56" s="366">
        <f t="shared" si="0"/>
        <v>77.5</v>
      </c>
      <c r="E56" s="11">
        <f>IFERROR(100/'Skjema total MA'!C56*C56,0)</f>
        <v>0.23454731084777269</v>
      </c>
      <c r="F56" s="145"/>
      <c r="G56" s="33"/>
      <c r="H56" s="145"/>
      <c r="I56" s="145"/>
      <c r="J56" s="33"/>
      <c r="K56" s="33"/>
      <c r="L56" s="159"/>
      <c r="M56" s="159"/>
      <c r="N56" s="148"/>
    </row>
    <row r="57" spans="1:14" s="3" customFormat="1" ht="15.75" x14ac:dyDescent="0.2">
      <c r="A57" s="38" t="s">
        <v>382</v>
      </c>
      <c r="B57" s="277">
        <v>160</v>
      </c>
      <c r="C57" s="278">
        <v>284</v>
      </c>
      <c r="D57" s="250">
        <f t="shared" si="0"/>
        <v>77.5</v>
      </c>
      <c r="E57" s="27">
        <f>IFERROR(100/'Skjema total MA'!C57*C57,0)</f>
        <v>0.52111621625589011</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91" priority="12">
      <formula>kvartal &lt; 4</formula>
    </cfRule>
  </conditionalFormatting>
  <conditionalFormatting sqref="A69:A74">
    <cfRule type="expression" dxfId="90" priority="10">
      <formula>kvartal &lt; 4</formula>
    </cfRule>
  </conditionalFormatting>
  <conditionalFormatting sqref="A80:A85">
    <cfRule type="expression" dxfId="89" priority="9">
      <formula>kvartal &lt; 4</formula>
    </cfRule>
  </conditionalFormatting>
  <conditionalFormatting sqref="A90:A95">
    <cfRule type="expression" dxfId="88" priority="6">
      <formula>kvartal &lt; 4</formula>
    </cfRule>
  </conditionalFormatting>
  <conditionalFormatting sqref="A101:A106">
    <cfRule type="expression" dxfId="87" priority="5">
      <formula>kvartal &lt; 4</formula>
    </cfRule>
  </conditionalFormatting>
  <conditionalFormatting sqref="A115">
    <cfRule type="expression" dxfId="86" priority="4">
      <formula>kvartal &lt; 4</formula>
    </cfRule>
  </conditionalFormatting>
  <conditionalFormatting sqref="A123">
    <cfRule type="expression" dxfId="85" priority="3">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4"/>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136</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v>2800.21</v>
      </c>
      <c r="D7" s="342" t="str">
        <f>IF(B7=0, "    ---- ", IF(ABS(ROUND(100/B7*C7-100,1))&lt;999,ROUND(100/B7*C7-100,1),IF(ROUND(100/B7*C7-100,1)&gt;999,999,-999)))</f>
        <v xml:space="preserve">    ---- </v>
      </c>
      <c r="E7" s="11">
        <f>IFERROR(100/'Skjema total MA'!C7*C7,0)</f>
        <v>0.17525707825906886</v>
      </c>
      <c r="F7" s="298"/>
      <c r="G7" s="299"/>
      <c r="H7" s="342"/>
      <c r="I7" s="160"/>
      <c r="J7" s="300"/>
      <c r="K7" s="301">
        <f t="shared" ref="K7:K10" si="0">SUM(C7,G7)</f>
        <v>2800.21</v>
      </c>
      <c r="L7" s="365" t="str">
        <f>IF(J7=0, "    ---- ", IF(ABS(ROUND(100/J7*K7-100,1))&lt;999,ROUND(100/J7*K7-100,1),IF(ROUND(100/J7*K7-100,1)&gt;999,999,-999)))</f>
        <v xml:space="preserve">    ---- </v>
      </c>
      <c r="M7" s="11">
        <f>IFERROR(100/'Skjema total MA'!I7*K7,0)</f>
        <v>6.5300626470674472E-2</v>
      </c>
    </row>
    <row r="8" spans="1:14" ht="15.75" x14ac:dyDescent="0.2">
      <c r="A8" s="21" t="s">
        <v>25</v>
      </c>
      <c r="B8" s="277"/>
      <c r="C8" s="278">
        <v>1681.5730000000001</v>
      </c>
      <c r="D8" s="166" t="str">
        <f t="shared" ref="D8:D10" si="1">IF(B8=0, "    ---- ", IF(ABS(ROUND(100/B8*C8-100,1))&lt;999,ROUND(100/B8*C8-100,1),IF(ROUND(100/B8*C8-100,1)&gt;999,999,-999)))</f>
        <v xml:space="preserve">    ---- </v>
      </c>
      <c r="E8" s="27">
        <f>IFERROR(100/'Skjema total MA'!C8*C8,0)</f>
        <v>0.17092540244773513</v>
      </c>
      <c r="F8" s="281"/>
      <c r="G8" s="282"/>
      <c r="H8" s="166"/>
      <c r="I8" s="175"/>
      <c r="J8" s="230"/>
      <c r="K8" s="283">
        <f t="shared" si="0"/>
        <v>1681.5730000000001</v>
      </c>
      <c r="L8" s="366" t="str">
        <f t="shared" ref="L8:L10" si="2">IF(J8=0, "    ---- ", IF(ABS(ROUND(100/J8*K8-100,1))&lt;999,ROUND(100/J8*K8-100,1),IF(ROUND(100/J8*K8-100,1)&gt;999,999,-999)))</f>
        <v xml:space="preserve">    ---- </v>
      </c>
      <c r="M8" s="27">
        <f>IFERROR(100/'Skjema total MA'!I8*K8,0)</f>
        <v>0.17092540244773513</v>
      </c>
    </row>
    <row r="9" spans="1:14" ht="15.75" x14ac:dyDescent="0.2">
      <c r="A9" s="21" t="s">
        <v>24</v>
      </c>
      <c r="B9" s="277"/>
      <c r="C9" s="278">
        <v>1118.6369999999999</v>
      </c>
      <c r="D9" s="166" t="str">
        <f t="shared" si="1"/>
        <v xml:space="preserve">    ---- </v>
      </c>
      <c r="E9" s="27">
        <f>IFERROR(100/'Skjema total MA'!C9*C9,0)</f>
        <v>0.30385175106237006</v>
      </c>
      <c r="F9" s="281"/>
      <c r="G9" s="282"/>
      <c r="H9" s="166"/>
      <c r="I9" s="175"/>
      <c r="J9" s="230"/>
      <c r="K9" s="283">
        <f t="shared" si="0"/>
        <v>1118.6369999999999</v>
      </c>
      <c r="L9" s="366" t="str">
        <f t="shared" si="2"/>
        <v xml:space="preserve">    ---- </v>
      </c>
      <c r="M9" s="27">
        <f>IFERROR(100/'Skjema total MA'!I9*K9,0)</f>
        <v>0.30385175106237006</v>
      </c>
    </row>
    <row r="10" spans="1:14" ht="15.75" x14ac:dyDescent="0.2">
      <c r="A10" s="13" t="s">
        <v>371</v>
      </c>
      <c r="B10" s="302"/>
      <c r="C10" s="303">
        <v>2618.067</v>
      </c>
      <c r="D10" s="171" t="str">
        <f t="shared" si="1"/>
        <v xml:space="preserve">    ---- </v>
      </c>
      <c r="E10" s="11">
        <f>IFERROR(100/'Skjema total MA'!C10*C10,0)</f>
        <v>1.2932423712840389E-2</v>
      </c>
      <c r="F10" s="302"/>
      <c r="G10" s="303"/>
      <c r="H10" s="171"/>
      <c r="I10" s="160"/>
      <c r="J10" s="300"/>
      <c r="K10" s="301">
        <f t="shared" si="0"/>
        <v>2618.067</v>
      </c>
      <c r="L10" s="366" t="str">
        <f t="shared" si="2"/>
        <v xml:space="preserve">    ---- </v>
      </c>
      <c r="M10" s="11">
        <f>IFERROR(100/'Skjema total MA'!I10*K10,0)</f>
        <v>4.0241044139410521E-3</v>
      </c>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620.45399999999995</v>
      </c>
      <c r="C47" s="303">
        <v>1625.7639999999999</v>
      </c>
      <c r="D47" s="365">
        <f t="shared" ref="D47:D57" si="3">IF(B47=0, "    ---- ", IF(ABS(ROUND(100/B47*C47-100,1))&lt;999,ROUND(100/B47*C47-100,1),IF(ROUND(100/B47*C47-100,1)&gt;999,999,-999)))</f>
        <v>162</v>
      </c>
      <c r="E47" s="11">
        <f>IFERROR(100/'Skjema total MA'!C47*C47,0)</f>
        <v>6.4968115264799009E-2</v>
      </c>
      <c r="F47" s="145"/>
      <c r="G47" s="33"/>
      <c r="H47" s="159"/>
      <c r="I47" s="159"/>
      <c r="J47" s="37"/>
      <c r="K47" s="37"/>
      <c r="L47" s="159"/>
      <c r="M47" s="159"/>
      <c r="N47" s="148"/>
    </row>
    <row r="48" spans="1:14" s="3" customFormat="1" ht="15.75" x14ac:dyDescent="0.2">
      <c r="A48" s="38" t="s">
        <v>382</v>
      </c>
      <c r="B48" s="277">
        <v>620.45399999999995</v>
      </c>
      <c r="C48" s="278">
        <v>1625.7639999999999</v>
      </c>
      <c r="D48" s="250">
        <f t="shared" si="3"/>
        <v>162</v>
      </c>
      <c r="E48" s="27">
        <f>IFERROR(100/'Skjema total MA'!C48*C48,0)</f>
        <v>0.12145959639006951</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68.308000000000007</v>
      </c>
      <c r="C53" s="303">
        <v>0</v>
      </c>
      <c r="D53" s="366">
        <f t="shared" si="3"/>
        <v>-100</v>
      </c>
      <c r="E53" s="11">
        <f>IFERROR(100/'Skjema total MA'!C53*C53,0)</f>
        <v>0</v>
      </c>
      <c r="F53" s="145"/>
      <c r="G53" s="33"/>
      <c r="H53" s="145"/>
      <c r="I53" s="145"/>
      <c r="J53" s="33"/>
      <c r="K53" s="33"/>
      <c r="L53" s="159"/>
      <c r="M53" s="159"/>
      <c r="N53" s="148"/>
    </row>
    <row r="54" spans="1:14" s="3" customFormat="1" ht="15.75" x14ac:dyDescent="0.2">
      <c r="A54" s="38" t="s">
        <v>382</v>
      </c>
      <c r="B54" s="277">
        <v>68.308000000000007</v>
      </c>
      <c r="C54" s="278">
        <v>0</v>
      </c>
      <c r="D54" s="250">
        <f t="shared" si="3"/>
        <v>-100</v>
      </c>
      <c r="E54" s="27">
        <f>IFERROR(100/'Skjema total MA'!C54*C54,0)</f>
        <v>0</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1.04</v>
      </c>
      <c r="C56" s="303">
        <v>485.92200000000003</v>
      </c>
      <c r="D56" s="366">
        <f t="shared" si="3"/>
        <v>999</v>
      </c>
      <c r="E56" s="11">
        <f>IFERROR(100/'Skjema total MA'!C56*C56,0)</f>
        <v>0.40130879711891337</v>
      </c>
      <c r="F56" s="145"/>
      <c r="G56" s="33"/>
      <c r="H56" s="145"/>
      <c r="I56" s="145"/>
      <c r="J56" s="33"/>
      <c r="K56" s="33"/>
      <c r="L56" s="159"/>
      <c r="M56" s="159"/>
      <c r="N56" s="148"/>
    </row>
    <row r="57" spans="1:14" s="3" customFormat="1" ht="15.75" x14ac:dyDescent="0.2">
      <c r="A57" s="38" t="s">
        <v>382</v>
      </c>
      <c r="B57" s="277">
        <v>1.04</v>
      </c>
      <c r="C57" s="278">
        <v>485.92200000000003</v>
      </c>
      <c r="D57" s="250">
        <f t="shared" si="3"/>
        <v>999</v>
      </c>
      <c r="E57" s="27">
        <f>IFERROR(100/'Skjema total MA'!C57*C57,0)</f>
        <v>0.89162617618131923</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84" priority="12">
      <formula>kvartal &lt; 4</formula>
    </cfRule>
  </conditionalFormatting>
  <conditionalFormatting sqref="A69:A74">
    <cfRule type="expression" dxfId="83" priority="10">
      <formula>kvartal &lt; 4</formula>
    </cfRule>
  </conditionalFormatting>
  <conditionalFormatting sqref="A80:A85">
    <cfRule type="expression" dxfId="82" priority="9">
      <formula>kvartal &lt; 4</formula>
    </cfRule>
  </conditionalFormatting>
  <conditionalFormatting sqref="A90:A95">
    <cfRule type="expression" dxfId="81" priority="6">
      <formula>kvartal &lt; 4</formula>
    </cfRule>
  </conditionalFormatting>
  <conditionalFormatting sqref="A101:A106">
    <cfRule type="expression" dxfId="80" priority="5">
      <formula>kvartal &lt; 4</formula>
    </cfRule>
  </conditionalFormatting>
  <conditionalFormatting sqref="A115">
    <cfRule type="expression" dxfId="79" priority="4">
      <formula>kvartal &lt; 4</formula>
    </cfRule>
  </conditionalFormatting>
  <conditionalFormatting sqref="A123">
    <cfRule type="expression" dxfId="78" priority="3">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137</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116212.271566322</v>
      </c>
      <c r="C7" s="299">
        <v>118046.593090318</v>
      </c>
      <c r="D7" s="342">
        <f>IF(B7=0, "    ---- ", IF(ABS(ROUND(100/B7*C7-100,1))&lt;999,ROUND(100/B7*C7-100,1),IF(ROUND(100/B7*C7-100,1)&gt;999,999,-999)))</f>
        <v>1.6</v>
      </c>
      <c r="E7" s="11">
        <f>IFERROR(100/'Skjema total MA'!C7*C7,0)</f>
        <v>7.3881962436554112</v>
      </c>
      <c r="F7" s="298">
        <v>1289591.20695</v>
      </c>
      <c r="G7" s="299">
        <v>1996410.39601</v>
      </c>
      <c r="H7" s="342">
        <f>IF(F7=0, "    ---- ", IF(ABS(ROUND(100/F7*G7-100,1))&lt;999,ROUND(100/F7*G7-100,1),IF(ROUND(100/F7*G7-100,1)&gt;999,999,-999)))</f>
        <v>54.8</v>
      </c>
      <c r="I7" s="160">
        <f>IFERROR(100/'Skjema total MA'!F7*G7,0)</f>
        <v>74.204700824633292</v>
      </c>
      <c r="J7" s="300">
        <f t="shared" ref="J7:K12" si="0">SUM(B7,F7)</f>
        <v>1405803.4785163221</v>
      </c>
      <c r="K7" s="301">
        <f t="shared" si="0"/>
        <v>2114456.9891003179</v>
      </c>
      <c r="L7" s="365">
        <f>IF(J7=0, "    ---- ", IF(ABS(ROUND(100/J7*K7-100,1))&lt;999,ROUND(100/J7*K7-100,1),IF(ROUND(100/J7*K7-100,1)&gt;999,999,-999)))</f>
        <v>50.4</v>
      </c>
      <c r="M7" s="11">
        <f>IFERROR(100/'Skjema total MA'!I7*K7,0)</f>
        <v>49.308932556325011</v>
      </c>
    </row>
    <row r="8" spans="1:14" ht="15.75" x14ac:dyDescent="0.2">
      <c r="A8" s="21" t="s">
        <v>25</v>
      </c>
      <c r="B8" s="277">
        <v>91831.201051682394</v>
      </c>
      <c r="C8" s="278">
        <v>96444.439115749294</v>
      </c>
      <c r="D8" s="166">
        <f t="shared" ref="D8:D10" si="1">IF(B8=0, "    ---- ", IF(ABS(ROUND(100/B8*C8-100,1))&lt;999,ROUND(100/B8*C8-100,1),IF(ROUND(100/B8*C8-100,1)&gt;999,999,-999)))</f>
        <v>5</v>
      </c>
      <c r="E8" s="27">
        <f>IFERROR(100/'Skjema total MA'!C8*C8,0)</f>
        <v>9.8032048383897301</v>
      </c>
      <c r="F8" s="281"/>
      <c r="G8" s="282"/>
      <c r="H8" s="166"/>
      <c r="I8" s="175"/>
      <c r="J8" s="230">
        <f t="shared" si="0"/>
        <v>91831.201051682394</v>
      </c>
      <c r="K8" s="283">
        <f t="shared" si="0"/>
        <v>96444.439115749294</v>
      </c>
      <c r="L8" s="166">
        <f t="shared" ref="L8:L9" si="2">IF(J8=0, "    ---- ", IF(ABS(ROUND(100/J8*K8-100,1))&lt;999,ROUND(100/J8*K8-100,1),IF(ROUND(100/J8*K8-100,1)&gt;999,999,-999)))</f>
        <v>5</v>
      </c>
      <c r="M8" s="27">
        <f>IFERROR(100/'Skjema total MA'!I8*K8,0)</f>
        <v>9.8032048383897301</v>
      </c>
    </row>
    <row r="9" spans="1:14" ht="15.75" x14ac:dyDescent="0.2">
      <c r="A9" s="21" t="s">
        <v>24</v>
      </c>
      <c r="B9" s="277">
        <v>20424.5035083609</v>
      </c>
      <c r="C9" s="278">
        <v>19686.6316894884</v>
      </c>
      <c r="D9" s="166">
        <f t="shared" si="1"/>
        <v>-3.6</v>
      </c>
      <c r="E9" s="27">
        <f>IFERROR(100/'Skjema total MA'!C9*C9,0)</f>
        <v>5.3474161067182608</v>
      </c>
      <c r="F9" s="281"/>
      <c r="G9" s="282"/>
      <c r="H9" s="166"/>
      <c r="I9" s="175"/>
      <c r="J9" s="230">
        <f t="shared" si="0"/>
        <v>20424.5035083609</v>
      </c>
      <c r="K9" s="283">
        <f t="shared" si="0"/>
        <v>19686.6316894884</v>
      </c>
      <c r="L9" s="166">
        <f t="shared" si="2"/>
        <v>-3.6</v>
      </c>
      <c r="M9" s="27">
        <f>IFERROR(100/'Skjema total MA'!I9*K9,0)</f>
        <v>5.3474161067182608</v>
      </c>
    </row>
    <row r="10" spans="1:14" ht="15.75" x14ac:dyDescent="0.2">
      <c r="A10" s="13" t="s">
        <v>371</v>
      </c>
      <c r="B10" s="302">
        <v>869200.92454814701</v>
      </c>
      <c r="C10" s="303">
        <v>837908.85331405001</v>
      </c>
      <c r="D10" s="171">
        <f t="shared" si="1"/>
        <v>-3.6</v>
      </c>
      <c r="E10" s="11">
        <f>IFERROR(100/'Skjema total MA'!C10*C10,0)</f>
        <v>4.1390049696197693</v>
      </c>
      <c r="F10" s="302">
        <v>23543677.474309102</v>
      </c>
      <c r="G10" s="303">
        <v>25998949.326869398</v>
      </c>
      <c r="H10" s="171">
        <f t="shared" ref="H10:H12" si="3">IF(F10=0, "    ---- ", IF(ABS(ROUND(100/F10*G10-100,1))&lt;999,ROUND(100/F10*G10-100,1),IF(ROUND(100/F10*G10-100,1)&gt;999,999,-999)))</f>
        <v>10.4</v>
      </c>
      <c r="I10" s="160">
        <f>IFERROR(100/'Skjema total MA'!F10*G10,0)</f>
        <v>58.013415117788753</v>
      </c>
      <c r="J10" s="300">
        <f t="shared" si="0"/>
        <v>24412878.398857247</v>
      </c>
      <c r="K10" s="301">
        <f t="shared" si="0"/>
        <v>26836858.180183448</v>
      </c>
      <c r="L10" s="366">
        <f t="shared" ref="L10:L12" si="4">IF(J10=0, "    ---- ", IF(ABS(ROUND(100/J10*K10-100,1))&lt;999,ROUND(100/J10*K10-100,1),IF(ROUND(100/J10*K10-100,1)&gt;999,999,-999)))</f>
        <v>9.9</v>
      </c>
      <c r="M10" s="11">
        <f>IFERROR(100/'Skjema total MA'!I10*K10,0)</f>
        <v>41.249639317552322</v>
      </c>
    </row>
    <row r="11" spans="1:14" s="43" customFormat="1" ht="15.75" x14ac:dyDescent="0.2">
      <c r="A11" s="13" t="s">
        <v>372</v>
      </c>
      <c r="B11" s="302"/>
      <c r="C11" s="303"/>
      <c r="D11" s="171"/>
      <c r="E11" s="11"/>
      <c r="F11" s="302">
        <v>24353.772440000001</v>
      </c>
      <c r="G11" s="303">
        <v>60042.005420000001</v>
      </c>
      <c r="H11" s="171">
        <f t="shared" si="3"/>
        <v>146.5</v>
      </c>
      <c r="I11" s="160">
        <f>IFERROR(100/'Skjema total MA'!F11*G11,0)</f>
        <v>64.673282946924061</v>
      </c>
      <c r="J11" s="300">
        <f t="shared" si="0"/>
        <v>24353.772440000001</v>
      </c>
      <c r="K11" s="301">
        <f t="shared" si="0"/>
        <v>60042.005420000001</v>
      </c>
      <c r="L11" s="366">
        <f t="shared" si="4"/>
        <v>146.5</v>
      </c>
      <c r="M11" s="11">
        <f>IFERROR(100/'Skjema total MA'!I11*K11,0)</f>
        <v>61.160656269123109</v>
      </c>
      <c r="N11" s="143"/>
    </row>
    <row r="12" spans="1:14" s="43" customFormat="1" ht="15.75" x14ac:dyDescent="0.2">
      <c r="A12" s="41" t="s">
        <v>373</v>
      </c>
      <c r="B12" s="304"/>
      <c r="C12" s="305"/>
      <c r="D12" s="169"/>
      <c r="E12" s="36"/>
      <c r="F12" s="304">
        <v>29269.519560000001</v>
      </c>
      <c r="G12" s="305">
        <v>7085.8519999999999</v>
      </c>
      <c r="H12" s="169">
        <f t="shared" si="3"/>
        <v>-75.8</v>
      </c>
      <c r="I12" s="169">
        <f>IFERROR(100/'Skjema total MA'!F12*G12,0)</f>
        <v>16.949023206649557</v>
      </c>
      <c r="J12" s="306">
        <f t="shared" si="0"/>
        <v>29269.519560000001</v>
      </c>
      <c r="K12" s="307">
        <f t="shared" si="0"/>
        <v>7085.8519999999999</v>
      </c>
      <c r="L12" s="367">
        <f t="shared" si="4"/>
        <v>-75.8</v>
      </c>
      <c r="M12" s="36">
        <f>IFERROR(100/'Skjema total MA'!I12*K12,0)</f>
        <v>16.155670106730895</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35014.887563073898</v>
      </c>
      <c r="C22" s="302">
        <v>37769.613305496503</v>
      </c>
      <c r="D22" s="342">
        <f t="shared" ref="D22:D34" si="5">IF(B22=0, "    ---- ", IF(ABS(ROUND(100/B22*C22-100,1))&lt;999,ROUND(100/B22*C22-100,1),IF(ROUND(100/B22*C22-100,1)&gt;999,999,-999)))</f>
        <v>7.9</v>
      </c>
      <c r="E22" s="11">
        <f>IFERROR(100/'Skjema total MA'!C22*C22,0)</f>
        <v>5.4790427299180857</v>
      </c>
      <c r="F22" s="310">
        <v>82422.248149999999</v>
      </c>
      <c r="G22" s="310">
        <v>82541.210869999995</v>
      </c>
      <c r="H22" s="342">
        <f t="shared" ref="H22:H35" si="6">IF(F22=0, "    ---- ", IF(ABS(ROUND(100/F22*G22-100,1))&lt;999,ROUND(100/F22*G22-100,1),IF(ROUND(100/F22*G22-100,1)&gt;999,999,-999)))</f>
        <v>0.1</v>
      </c>
      <c r="I22" s="11">
        <f>IFERROR(100/'Skjema total MA'!F22*G22,0)</f>
        <v>26.696172902211785</v>
      </c>
      <c r="J22" s="308">
        <f t="shared" ref="J22:K35" si="7">SUM(B22,F22)</f>
        <v>117437.13571307389</v>
      </c>
      <c r="K22" s="308">
        <f t="shared" si="7"/>
        <v>120310.8241754965</v>
      </c>
      <c r="L22" s="365">
        <f t="shared" ref="L22:L35" si="8">IF(J22=0, "    ---- ", IF(ABS(ROUND(100/J22*K22-100,1))&lt;999,ROUND(100/J22*K22-100,1),IF(ROUND(100/J22*K22-100,1)&gt;999,999,-999)))</f>
        <v>2.4</v>
      </c>
      <c r="M22" s="24">
        <f>IFERROR(100/'Skjema total MA'!I22*K22,0)</f>
        <v>12.048741436806109</v>
      </c>
    </row>
    <row r="23" spans="1:14" ht="15.75" x14ac:dyDescent="0.2">
      <c r="A23" s="546" t="s">
        <v>374</v>
      </c>
      <c r="B23" s="277">
        <v>34502.785563074001</v>
      </c>
      <c r="C23" s="277">
        <v>37483.432305496499</v>
      </c>
      <c r="D23" s="166">
        <f t="shared" si="5"/>
        <v>8.6</v>
      </c>
      <c r="E23" s="27">
        <f>IFERROR(100/'Skjema total MA'!C23*C23,0)</f>
        <v>7.1284385791481197</v>
      </c>
      <c r="F23" s="285">
        <v>1211.6679999999999</v>
      </c>
      <c r="G23" s="285">
        <v>1087.0219999999999</v>
      </c>
      <c r="H23" s="166">
        <f t="shared" si="6"/>
        <v>-10.3</v>
      </c>
      <c r="I23" s="358">
        <f>IFERROR(100/'Skjema total MA'!F23*G23,0)</f>
        <v>3.5688130992147173</v>
      </c>
      <c r="J23" s="285">
        <f t="shared" ref="J23:J26" si="9">SUM(B23,F23)</f>
        <v>35714.453563073999</v>
      </c>
      <c r="K23" s="285">
        <f t="shared" ref="K23:K26" si="10">SUM(C23,G23)</f>
        <v>38570.454305496496</v>
      </c>
      <c r="L23" s="166">
        <f t="shared" si="8"/>
        <v>8</v>
      </c>
      <c r="M23" s="23">
        <f>IFERROR(100/'Skjema total MA'!I23*K23,0)</f>
        <v>6.9335354453532743</v>
      </c>
    </row>
    <row r="24" spans="1:14" ht="15.75" x14ac:dyDescent="0.2">
      <c r="A24" s="546" t="s">
        <v>375</v>
      </c>
      <c r="B24" s="277">
        <v>510.85199999999998</v>
      </c>
      <c r="C24" s="277">
        <v>286.18099999999998</v>
      </c>
      <c r="D24" s="166">
        <f t="shared" si="5"/>
        <v>-44</v>
      </c>
      <c r="E24" s="27">
        <f>IFERROR(100/'Skjema total MA'!C24*C24,0)</f>
        <v>2.87645456057033</v>
      </c>
      <c r="F24" s="285"/>
      <c r="G24" s="285"/>
      <c r="H24" s="166"/>
      <c r="I24" s="358"/>
      <c r="J24" s="285">
        <f t="shared" si="9"/>
        <v>510.85199999999998</v>
      </c>
      <c r="K24" s="285">
        <f t="shared" si="10"/>
        <v>286.18099999999998</v>
      </c>
      <c r="L24" s="166">
        <f t="shared" si="8"/>
        <v>-44</v>
      </c>
      <c r="M24" s="23">
        <f>IFERROR(100/'Skjema total MA'!I24*K24,0)</f>
        <v>2.8663709246842721</v>
      </c>
    </row>
    <row r="25" spans="1:14" ht="15.75" x14ac:dyDescent="0.2">
      <c r="A25" s="546" t="s">
        <v>376</v>
      </c>
      <c r="B25" s="277">
        <v>1.25</v>
      </c>
      <c r="C25" s="277">
        <v>0</v>
      </c>
      <c r="D25" s="166">
        <f t="shared" si="5"/>
        <v>-100</v>
      </c>
      <c r="E25" s="27">
        <f>IFERROR(100/'Skjema total MA'!C25*C25,0)</f>
        <v>0</v>
      </c>
      <c r="F25" s="285">
        <v>20254.556</v>
      </c>
      <c r="G25" s="285">
        <v>273.39100000000002</v>
      </c>
      <c r="H25" s="166">
        <f t="shared" ref="H25:H26" si="11">IF(F25=0, "    ---- ", IF(ABS(ROUND(100/F25*G25-100,1))&lt;999,ROUND(100/F25*G25-100,1),IF(ROUND(100/F25*G25-100,1)&gt;999,999,-999)))</f>
        <v>-98.7</v>
      </c>
      <c r="I25" s="358">
        <f>IFERROR(100/'Skjema total MA'!F25*G25,0)</f>
        <v>4.1870792029700672</v>
      </c>
      <c r="J25" s="285">
        <f t="shared" si="9"/>
        <v>20255.806</v>
      </c>
      <c r="K25" s="285">
        <f t="shared" si="10"/>
        <v>273.39100000000002</v>
      </c>
      <c r="L25" s="166">
        <f t="shared" si="8"/>
        <v>-98.7</v>
      </c>
      <c r="M25" s="23">
        <f>IFERROR(100/'Skjema total MA'!I25*K25,0)</f>
        <v>1.5151019379371948</v>
      </c>
    </row>
    <row r="26" spans="1:14" ht="15.75" x14ac:dyDescent="0.2">
      <c r="A26" s="546" t="s">
        <v>377</v>
      </c>
      <c r="B26" s="277"/>
      <c r="C26" s="277"/>
      <c r="D26" s="166"/>
      <c r="E26" s="11"/>
      <c r="F26" s="285">
        <v>60956.024149999997</v>
      </c>
      <c r="G26" s="285">
        <v>81180.797869999995</v>
      </c>
      <c r="H26" s="166">
        <f t="shared" si="11"/>
        <v>33.200000000000003</v>
      </c>
      <c r="I26" s="358">
        <f>IFERROR(100/'Skjema total MA'!F26*G26,0)</f>
        <v>29.827800944966011</v>
      </c>
      <c r="J26" s="285">
        <f t="shared" si="9"/>
        <v>60956.024149999997</v>
      </c>
      <c r="K26" s="285">
        <f t="shared" si="10"/>
        <v>81180.797869999995</v>
      </c>
      <c r="L26" s="166">
        <f t="shared" si="8"/>
        <v>33.200000000000003</v>
      </c>
      <c r="M26" s="23">
        <f>IFERROR(100/'Skjema total MA'!I26*K26,0)</f>
        <v>29.827800944966011</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36136.847552855201</v>
      </c>
      <c r="C28" s="283">
        <v>38701.103447212903</v>
      </c>
      <c r="D28" s="166">
        <f t="shared" si="5"/>
        <v>7.1</v>
      </c>
      <c r="E28" s="11">
        <f>IFERROR(100/'Skjema total MA'!C28*C28,0)</f>
        <v>5.9983234973989568</v>
      </c>
      <c r="F28" s="230"/>
      <c r="G28" s="283"/>
      <c r="H28" s="166"/>
      <c r="I28" s="27"/>
      <c r="J28" s="44">
        <f t="shared" si="7"/>
        <v>36136.847552855201</v>
      </c>
      <c r="K28" s="44">
        <f t="shared" si="7"/>
        <v>38701.103447212903</v>
      </c>
      <c r="L28" s="250">
        <f t="shared" si="8"/>
        <v>7.1</v>
      </c>
      <c r="M28" s="23">
        <f>IFERROR(100/'Skjema total MA'!I28*K28,0)</f>
        <v>5.9983234973989568</v>
      </c>
    </row>
    <row r="29" spans="1:14" s="3" customFormat="1" ht="15.75" x14ac:dyDescent="0.2">
      <c r="A29" s="13" t="s">
        <v>371</v>
      </c>
      <c r="B29" s="232">
        <v>3961286.014</v>
      </c>
      <c r="C29" s="232">
        <v>3891493</v>
      </c>
      <c r="D29" s="171">
        <f t="shared" si="5"/>
        <v>-1.8</v>
      </c>
      <c r="E29" s="11">
        <f>IFERROR(100/'Skjema total MA'!C29*C29,0)</f>
        <v>8.1199514890332587</v>
      </c>
      <c r="F29" s="300">
        <v>3394700.37</v>
      </c>
      <c r="G29" s="300">
        <v>3426662.46</v>
      </c>
      <c r="H29" s="171">
        <f t="shared" si="6"/>
        <v>0.9</v>
      </c>
      <c r="I29" s="11">
        <f>IFERROR(100/'Skjema total MA'!F29*G29,0)</f>
        <v>16.874266000171779</v>
      </c>
      <c r="J29" s="232">
        <f t="shared" si="7"/>
        <v>7355986.3839999996</v>
      </c>
      <c r="K29" s="232">
        <f t="shared" si="7"/>
        <v>7318155.46</v>
      </c>
      <c r="L29" s="366">
        <f t="shared" si="8"/>
        <v>-0.5</v>
      </c>
      <c r="M29" s="24">
        <f>IFERROR(100/'Skjema total MA'!I29*K29,0)</f>
        <v>10.725383779810191</v>
      </c>
      <c r="N29" s="148"/>
    </row>
    <row r="30" spans="1:14" s="3" customFormat="1" ht="15.75" x14ac:dyDescent="0.2">
      <c r="A30" s="546" t="s">
        <v>374</v>
      </c>
      <c r="B30" s="277">
        <v>970850.78827256698</v>
      </c>
      <c r="C30" s="277">
        <v>778141</v>
      </c>
      <c r="D30" s="166">
        <f t="shared" si="5"/>
        <v>-19.8</v>
      </c>
      <c r="E30" s="11">
        <f>IFERROR(100/'Skjema total MA'!C30*C30,0)</f>
        <v>6.7576083284199129</v>
      </c>
      <c r="F30" s="285">
        <v>510321.48800000001</v>
      </c>
      <c r="G30" s="285">
        <v>465866.07</v>
      </c>
      <c r="H30" s="166">
        <f t="shared" si="6"/>
        <v>-8.6999999999999993</v>
      </c>
      <c r="I30" s="358">
        <f>IFERROR(100/'Skjema total MA'!F30*G30,0)</f>
        <v>11.082680100156557</v>
      </c>
      <c r="J30" s="285">
        <f t="shared" ref="J30:J33" si="12">SUM(B30,F30)</f>
        <v>1481172.276272567</v>
      </c>
      <c r="K30" s="285">
        <f t="shared" ref="K30:K33" si="13">SUM(C30,G30)</f>
        <v>1244007.07</v>
      </c>
      <c r="L30" s="166">
        <f t="shared" si="8"/>
        <v>-16</v>
      </c>
      <c r="M30" s="23">
        <f>IFERROR(100/'Skjema total MA'!I30*K30,0)</f>
        <v>7.9142427743837649</v>
      </c>
      <c r="N30" s="148"/>
    </row>
    <row r="31" spans="1:14" s="3" customFormat="1" ht="15.75" x14ac:dyDescent="0.2">
      <c r="A31" s="546" t="s">
        <v>375</v>
      </c>
      <c r="B31" s="277">
        <v>2714985.2597274301</v>
      </c>
      <c r="C31" s="277">
        <v>2810506</v>
      </c>
      <c r="D31" s="166">
        <f t="shared" si="5"/>
        <v>3.5</v>
      </c>
      <c r="E31" s="11">
        <f>IFERROR(100/'Skjema total MA'!C31*C31,0)</f>
        <v>8.4473069193813846</v>
      </c>
      <c r="F31" s="285">
        <v>837031.34199999995</v>
      </c>
      <c r="G31" s="285">
        <v>488914.38</v>
      </c>
      <c r="H31" s="166">
        <f t="shared" si="6"/>
        <v>-41.6</v>
      </c>
      <c r="I31" s="358">
        <f>IFERROR(100/'Skjema total MA'!F31*G31,0)</f>
        <v>5.8549179277046361</v>
      </c>
      <c r="J31" s="285">
        <f t="shared" si="12"/>
        <v>3552016.6017274298</v>
      </c>
      <c r="K31" s="285">
        <f t="shared" si="13"/>
        <v>3299420.38</v>
      </c>
      <c r="L31" s="166">
        <f t="shared" si="8"/>
        <v>-7.1</v>
      </c>
      <c r="M31" s="23">
        <f>IFERROR(100/'Skjema total MA'!I31*K31,0)</f>
        <v>7.9271980904547839</v>
      </c>
      <c r="N31" s="148"/>
    </row>
    <row r="32" spans="1:14" ht="15.75" x14ac:dyDescent="0.2">
      <c r="A32" s="546" t="s">
        <v>376</v>
      </c>
      <c r="B32" s="277">
        <v>275449.96600000001</v>
      </c>
      <c r="C32" s="277">
        <v>302846</v>
      </c>
      <c r="D32" s="166">
        <f t="shared" si="5"/>
        <v>9.9</v>
      </c>
      <c r="E32" s="11">
        <f>IFERROR(100/'Skjema total MA'!C32*C32,0)</f>
        <v>23.533836602223953</v>
      </c>
      <c r="F32" s="285">
        <v>1812822.04</v>
      </c>
      <c r="G32" s="285">
        <v>1898753.18</v>
      </c>
      <c r="H32" s="166">
        <f t="shared" si="6"/>
        <v>4.7</v>
      </c>
      <c r="I32" s="358">
        <f>IFERROR(100/'Skjema total MA'!F32*G32,0)</f>
        <v>45.830964817427201</v>
      </c>
      <c r="J32" s="285">
        <f t="shared" si="12"/>
        <v>2088272.0060000001</v>
      </c>
      <c r="K32" s="285">
        <f t="shared" si="13"/>
        <v>2201599.1799999997</v>
      </c>
      <c r="L32" s="166">
        <f t="shared" si="8"/>
        <v>5.4</v>
      </c>
      <c r="M32" s="23">
        <f>IFERROR(100/'Skjema total MA'!I32*K32,0)</f>
        <v>40.546584555507906</v>
      </c>
    </row>
    <row r="33" spans="1:14" ht="15.75" x14ac:dyDescent="0.2">
      <c r="A33" s="546" t="s">
        <v>377</v>
      </c>
      <c r="B33" s="277"/>
      <c r="C33" s="277"/>
      <c r="D33" s="166"/>
      <c r="E33" s="11"/>
      <c r="F33" s="285">
        <v>234525.5</v>
      </c>
      <c r="G33" s="285">
        <v>573128.82999999996</v>
      </c>
      <c r="H33" s="166">
        <f t="shared" si="6"/>
        <v>144.4</v>
      </c>
      <c r="I33" s="358">
        <f>IFERROR(100/'Skjema total MA'!F34*G33,0)</f>
        <v>4274.0024929268711</v>
      </c>
      <c r="J33" s="285">
        <f t="shared" si="12"/>
        <v>234525.5</v>
      </c>
      <c r="K33" s="285">
        <f t="shared" si="13"/>
        <v>573128.82999999996</v>
      </c>
      <c r="L33" s="166">
        <f t="shared" si="8"/>
        <v>144.4</v>
      </c>
      <c r="M33" s="23">
        <f>IFERROR(100/'Skjema total MA'!I34*K33,0)</f>
        <v>2954.2873529509015</v>
      </c>
    </row>
    <row r="34" spans="1:14" ht="15.75" x14ac:dyDescent="0.2">
      <c r="A34" s="13" t="s">
        <v>372</v>
      </c>
      <c r="B34" s="232">
        <v>1017.84928</v>
      </c>
      <c r="C34" s="301">
        <v>0</v>
      </c>
      <c r="D34" s="171">
        <f t="shared" si="5"/>
        <v>-100</v>
      </c>
      <c r="E34" s="11">
        <f>IFERROR(100/'Skjema total MA'!C34*C34,0)</f>
        <v>0</v>
      </c>
      <c r="F34" s="300">
        <v>2377.52999</v>
      </c>
      <c r="G34" s="301">
        <v>1123.69415</v>
      </c>
      <c r="H34" s="171">
        <f t="shared" si="6"/>
        <v>-52.7</v>
      </c>
      <c r="I34" s="11">
        <f>IFERROR(100/'Skjema total MA'!F34*G34,0)</f>
        <v>8.3797417735683286</v>
      </c>
      <c r="J34" s="232">
        <f t="shared" si="7"/>
        <v>3395.3792699999999</v>
      </c>
      <c r="K34" s="232">
        <f t="shared" si="7"/>
        <v>1123.69415</v>
      </c>
      <c r="L34" s="366">
        <f t="shared" si="8"/>
        <v>-66.900000000000006</v>
      </c>
      <c r="M34" s="24">
        <f>IFERROR(100/'Skjema total MA'!I34*K34,0)</f>
        <v>5.7922673614759761</v>
      </c>
    </row>
    <row r="35" spans="1:14" ht="15.75" x14ac:dyDescent="0.2">
      <c r="A35" s="13" t="s">
        <v>373</v>
      </c>
      <c r="B35" s="232"/>
      <c r="C35" s="301"/>
      <c r="D35" s="171"/>
      <c r="E35" s="11"/>
      <c r="F35" s="300">
        <v>5975.4178000000002</v>
      </c>
      <c r="G35" s="301">
        <v>6241.9989400000004</v>
      </c>
      <c r="H35" s="171">
        <f t="shared" si="6"/>
        <v>4.5</v>
      </c>
      <c r="I35" s="11">
        <f>IFERROR(100/'Skjema total MA'!F35*G35,0)</f>
        <v>27.707184965127556</v>
      </c>
      <c r="J35" s="232">
        <f t="shared" si="7"/>
        <v>5975.4178000000002</v>
      </c>
      <c r="K35" s="232">
        <f t="shared" si="7"/>
        <v>6241.9989400000004</v>
      </c>
      <c r="L35" s="366">
        <f t="shared" si="8"/>
        <v>4.5</v>
      </c>
      <c r="M35" s="24">
        <f>IFERROR(100/'Skjema total MA'!I35*K35,0)</f>
        <v>41.602829484494663</v>
      </c>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514517</v>
      </c>
      <c r="C66" s="345">
        <v>487893</v>
      </c>
      <c r="D66" s="342">
        <f t="shared" ref="D66:D111" si="14">IF(B66=0, "    ---- ", IF(ABS(ROUND(100/B66*C66-100,1))&lt;999,ROUND(100/B66*C66-100,1),IF(ROUND(100/B66*C66-100,1)&gt;999,999,-999)))</f>
        <v>-5.2</v>
      </c>
      <c r="E66" s="11">
        <f>IFERROR(100/'Skjema total MA'!C66*C66,0)</f>
        <v>13.887836822081999</v>
      </c>
      <c r="F66" s="344">
        <v>922959.58100000001</v>
      </c>
      <c r="G66" s="344">
        <v>1004495.6629999999</v>
      </c>
      <c r="H66" s="342">
        <f t="shared" ref="H66:H111" si="15">IF(F66=0, "    ---- ", IF(ABS(ROUND(100/F66*G66-100,1))&lt;999,ROUND(100/F66*G66-100,1),IF(ROUND(100/F66*G66-100,1)&gt;999,999,-999)))</f>
        <v>8.8000000000000007</v>
      </c>
      <c r="I66" s="11">
        <f>IFERROR(100/'Skjema total MA'!F66*G66,0)</f>
        <v>12.736399826409956</v>
      </c>
      <c r="J66" s="301">
        <f t="shared" ref="J66:K86" si="16">SUM(B66,F66)</f>
        <v>1437476.581</v>
      </c>
      <c r="K66" s="308">
        <f t="shared" si="16"/>
        <v>1492388.6629999999</v>
      </c>
      <c r="L66" s="366">
        <f t="shared" ref="L66:L111" si="17">IF(J66=0, "    ---- ", IF(ABS(ROUND(100/J66*K66-100,1))&lt;999,ROUND(100/J66*K66-100,1),IF(ROUND(100/J66*K66-100,1)&gt;999,999,-999)))</f>
        <v>3.8</v>
      </c>
      <c r="M66" s="11">
        <f>IFERROR(100/'Skjema total MA'!I66*K66,0)</f>
        <v>13.091236827092922</v>
      </c>
    </row>
    <row r="67" spans="1:14" x14ac:dyDescent="0.2">
      <c r="A67" s="360" t="s">
        <v>9</v>
      </c>
      <c r="B67" s="44">
        <v>448435.70799999998</v>
      </c>
      <c r="C67" s="145">
        <v>430117.71</v>
      </c>
      <c r="D67" s="166">
        <f t="shared" si="14"/>
        <v>-4.0999999999999996</v>
      </c>
      <c r="E67" s="27">
        <f>IFERROR(100/'Skjema total MA'!C67*C67,0)</f>
        <v>15.209777047958337</v>
      </c>
      <c r="F67" s="230"/>
      <c r="G67" s="145"/>
      <c r="H67" s="166"/>
      <c r="I67" s="27"/>
      <c r="J67" s="283">
        <f t="shared" si="16"/>
        <v>448435.70799999998</v>
      </c>
      <c r="K67" s="44">
        <f t="shared" si="16"/>
        <v>430117.71</v>
      </c>
      <c r="L67" s="250">
        <f t="shared" si="17"/>
        <v>-4.0999999999999996</v>
      </c>
      <c r="M67" s="27">
        <f>IFERROR(100/'Skjema total MA'!I67*K67,0)</f>
        <v>15.209777047958337</v>
      </c>
    </row>
    <row r="68" spans="1:14" x14ac:dyDescent="0.2">
      <c r="A68" s="21" t="s">
        <v>10</v>
      </c>
      <c r="B68" s="286">
        <v>7942</v>
      </c>
      <c r="C68" s="287">
        <v>5913</v>
      </c>
      <c r="D68" s="166">
        <f t="shared" si="14"/>
        <v>-25.5</v>
      </c>
      <c r="E68" s="27">
        <f>IFERROR(100/'Skjema total MA'!C68*C68,0)</f>
        <v>6.0942341413542369</v>
      </c>
      <c r="F68" s="286">
        <v>922959.58100000001</v>
      </c>
      <c r="G68" s="287">
        <v>1004495.6629999999</v>
      </c>
      <c r="H68" s="166">
        <f t="shared" si="15"/>
        <v>8.8000000000000007</v>
      </c>
      <c r="I68" s="27">
        <f>IFERROR(100/'Skjema total MA'!F68*G68,0)</f>
        <v>12.904729622647402</v>
      </c>
      <c r="J68" s="283">
        <f t="shared" si="16"/>
        <v>930901.58100000001</v>
      </c>
      <c r="K68" s="44">
        <f t="shared" si="16"/>
        <v>1010408.6629999999</v>
      </c>
      <c r="L68" s="250">
        <f t="shared" si="17"/>
        <v>8.5</v>
      </c>
      <c r="M68" s="27">
        <f>IFERROR(100/'Skjema total MA'!I68*K68,0)</f>
        <v>12.820882471708119</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v>58139.292000000001</v>
      </c>
      <c r="C76" s="145">
        <v>51862.29</v>
      </c>
      <c r="D76" s="166">
        <f t="shared" ref="D76" si="18">IF(B76=0, "    ---- ", IF(ABS(ROUND(100/B76*C76-100,1))&lt;999,ROUND(100/B76*C76-100,1),IF(ROUND(100/B76*C76-100,1)&gt;999,999,-999)))</f>
        <v>-10.8</v>
      </c>
      <c r="E76" s="27">
        <f>IFERROR(100/'Skjema total MA'!C77*C76,0)</f>
        <v>1.8090682524228581</v>
      </c>
      <c r="F76" s="230"/>
      <c r="G76" s="145"/>
      <c r="H76" s="166"/>
      <c r="I76" s="27"/>
      <c r="J76" s="283">
        <f t="shared" ref="J76" si="19">SUM(B76,F76)</f>
        <v>58139.292000000001</v>
      </c>
      <c r="K76" s="44">
        <f t="shared" ref="K76" si="20">SUM(C76,G76)</f>
        <v>51862.29</v>
      </c>
      <c r="L76" s="250">
        <f t="shared" ref="L76" si="21">IF(J76=0, "    ---- ", IF(ABS(ROUND(100/J76*K76-100,1))&lt;999,ROUND(100/J76*K76-100,1),IF(ROUND(100/J76*K76-100,1)&gt;999,999,-999)))</f>
        <v>-10.8</v>
      </c>
      <c r="M76" s="27">
        <f>IFERROR(100/'Skjema total MA'!I77*K76,0)</f>
        <v>0.48709558640712508</v>
      </c>
      <c r="N76" s="148"/>
    </row>
    <row r="77" spans="1:14" ht="15.75" x14ac:dyDescent="0.2">
      <c r="A77" s="21" t="s">
        <v>388</v>
      </c>
      <c r="B77" s="230">
        <v>447895.66099999996</v>
      </c>
      <c r="C77" s="230">
        <v>429748.07900000003</v>
      </c>
      <c r="D77" s="166">
        <f t="shared" si="14"/>
        <v>-4.0999999999999996</v>
      </c>
      <c r="E77" s="27">
        <f>IFERROR(100/'Skjema total MA'!C77*C77,0)</f>
        <v>14.990537561272562</v>
      </c>
      <c r="F77" s="230">
        <v>921552.94799999997</v>
      </c>
      <c r="G77" s="145">
        <v>1003202.789</v>
      </c>
      <c r="H77" s="166">
        <f t="shared" si="15"/>
        <v>8.9</v>
      </c>
      <c r="I77" s="27">
        <f>IFERROR(100/'Skjema total MA'!F77*G77,0)</f>
        <v>12.893882633238418</v>
      </c>
      <c r="J77" s="283">
        <f t="shared" si="16"/>
        <v>1369448.6089999999</v>
      </c>
      <c r="K77" s="44">
        <f t="shared" si="16"/>
        <v>1432950.868</v>
      </c>
      <c r="L77" s="250">
        <f t="shared" si="17"/>
        <v>4.5999999999999996</v>
      </c>
      <c r="M77" s="27">
        <f>IFERROR(100/'Skjema total MA'!I77*K77,0)</f>
        <v>13.458411561484441</v>
      </c>
    </row>
    <row r="78" spans="1:14" x14ac:dyDescent="0.2">
      <c r="A78" s="21" t="s">
        <v>9</v>
      </c>
      <c r="B78" s="230">
        <v>441360.67099999997</v>
      </c>
      <c r="C78" s="145">
        <v>425128.038</v>
      </c>
      <c r="D78" s="166">
        <f t="shared" si="14"/>
        <v>-3.7</v>
      </c>
      <c r="E78" s="27">
        <f>IFERROR(100/'Skjema total MA'!C78*C78,0)</f>
        <v>15.341698070328501</v>
      </c>
      <c r="F78" s="230"/>
      <c r="G78" s="145"/>
      <c r="H78" s="166"/>
      <c r="I78" s="27"/>
      <c r="J78" s="283">
        <f t="shared" si="16"/>
        <v>441360.67099999997</v>
      </c>
      <c r="K78" s="44">
        <f t="shared" si="16"/>
        <v>425128.038</v>
      </c>
      <c r="L78" s="250">
        <f t="shared" si="17"/>
        <v>-3.7</v>
      </c>
      <c r="M78" s="27">
        <f>IFERROR(100/'Skjema total MA'!I78*K78,0)</f>
        <v>15.341698070328501</v>
      </c>
    </row>
    <row r="79" spans="1:14" x14ac:dyDescent="0.2">
      <c r="A79" s="21" t="s">
        <v>10</v>
      </c>
      <c r="B79" s="286">
        <v>6534.99</v>
      </c>
      <c r="C79" s="287">
        <v>4620.0410000000002</v>
      </c>
      <c r="D79" s="166">
        <f t="shared" si="14"/>
        <v>-29.3</v>
      </c>
      <c r="E79" s="27">
        <f>IFERROR(100/'Skjema total MA'!C79*C79,0)</f>
        <v>4.825955922971489</v>
      </c>
      <c r="F79" s="286">
        <v>921552.94799999997</v>
      </c>
      <c r="G79" s="287">
        <v>1003202.789</v>
      </c>
      <c r="H79" s="166">
        <f t="shared" si="15"/>
        <v>8.9</v>
      </c>
      <c r="I79" s="27">
        <f>IFERROR(100/'Skjema total MA'!F79*G79,0)</f>
        <v>12.893882633238418</v>
      </c>
      <c r="J79" s="283">
        <f t="shared" si="16"/>
        <v>928087.93799999997</v>
      </c>
      <c r="K79" s="44">
        <f t="shared" si="16"/>
        <v>1007822.83</v>
      </c>
      <c r="L79" s="250">
        <f t="shared" si="17"/>
        <v>8.6</v>
      </c>
      <c r="M79" s="27">
        <f>IFERROR(100/'Skjema total MA'!I79*K79,0)</f>
        <v>12.795818923940372</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v>8482.0470000000005</v>
      </c>
      <c r="C86" s="145">
        <v>6282.6310000000003</v>
      </c>
      <c r="D86" s="166">
        <f t="shared" si="14"/>
        <v>-25.9</v>
      </c>
      <c r="E86" s="27">
        <f>IFERROR(100/'Skjema total MA'!C86*C86,0)</f>
        <v>10.807267747627787</v>
      </c>
      <c r="F86" s="230">
        <v>1406.633</v>
      </c>
      <c r="G86" s="145">
        <v>1292.874</v>
      </c>
      <c r="H86" s="166">
        <f t="shared" si="15"/>
        <v>-8.1</v>
      </c>
      <c r="I86" s="27">
        <f>IFERROR(100/'Skjema total MA'!F86*G86,0)</f>
        <v>37.164442232285076</v>
      </c>
      <c r="J86" s="283">
        <f t="shared" si="16"/>
        <v>9888.68</v>
      </c>
      <c r="K86" s="44">
        <f t="shared" si="16"/>
        <v>7575.5050000000001</v>
      </c>
      <c r="L86" s="250">
        <f t="shared" si="17"/>
        <v>-23.4</v>
      </c>
      <c r="M86" s="27">
        <f>IFERROR(100/'Skjema total MA'!I86*K86,0)</f>
        <v>12.29546618705727</v>
      </c>
    </row>
    <row r="87" spans="1:13" ht="15.75" x14ac:dyDescent="0.2">
      <c r="A87" s="13" t="s">
        <v>371</v>
      </c>
      <c r="B87" s="345">
        <v>45001241.651541643</v>
      </c>
      <c r="C87" s="345">
        <v>46145000.5</v>
      </c>
      <c r="D87" s="171">
        <f t="shared" si="14"/>
        <v>2.5</v>
      </c>
      <c r="E87" s="11">
        <f>IFERROR(100/'Skjema total MA'!C87*C87,0)</f>
        <v>11.878212109198996</v>
      </c>
      <c r="F87" s="344">
        <v>31504892.150901601</v>
      </c>
      <c r="G87" s="344">
        <v>35544458.213130496</v>
      </c>
      <c r="H87" s="171">
        <f t="shared" si="15"/>
        <v>12.8</v>
      </c>
      <c r="I87" s="11">
        <f>IFERROR(100/'Skjema total MA'!F87*G87,0)</f>
        <v>13.13389854904938</v>
      </c>
      <c r="J87" s="301">
        <f t="shared" ref="J87:K111" si="22">SUM(B87,F87)</f>
        <v>76506133.802443236</v>
      </c>
      <c r="K87" s="232">
        <f t="shared" si="22"/>
        <v>81689458.713130504</v>
      </c>
      <c r="L87" s="366">
        <f t="shared" si="17"/>
        <v>6.8</v>
      </c>
      <c r="M87" s="11">
        <f>IFERROR(100/'Skjema total MA'!I87*K87,0)</f>
        <v>12.39379405700455</v>
      </c>
    </row>
    <row r="88" spans="1:13" x14ac:dyDescent="0.2">
      <c r="A88" s="21" t="s">
        <v>9</v>
      </c>
      <c r="B88" s="230">
        <v>43842517.954695702</v>
      </c>
      <c r="C88" s="145">
        <v>44929466.880000003</v>
      </c>
      <c r="D88" s="166">
        <f t="shared" si="14"/>
        <v>2.5</v>
      </c>
      <c r="E88" s="27">
        <f>IFERROR(100/'Skjema total MA'!C88*C88,0)</f>
        <v>11.828024989759856</v>
      </c>
      <c r="F88" s="230"/>
      <c r="G88" s="145"/>
      <c r="H88" s="166"/>
      <c r="I88" s="27"/>
      <c r="J88" s="283">
        <f t="shared" si="22"/>
        <v>43842517.954695702</v>
      </c>
      <c r="K88" s="44">
        <f t="shared" si="22"/>
        <v>44929466.880000003</v>
      </c>
      <c r="L88" s="250">
        <f t="shared" si="17"/>
        <v>2.5</v>
      </c>
      <c r="M88" s="27">
        <f>IFERROR(100/'Skjema total MA'!I88*K88,0)</f>
        <v>11.828024989759856</v>
      </c>
    </row>
    <row r="89" spans="1:13" x14ac:dyDescent="0.2">
      <c r="A89" s="21" t="s">
        <v>10</v>
      </c>
      <c r="B89" s="230">
        <v>1110947.11084594</v>
      </c>
      <c r="C89" s="145">
        <v>1073438.82</v>
      </c>
      <c r="D89" s="166">
        <f t="shared" si="14"/>
        <v>-3.4</v>
      </c>
      <c r="E89" s="27">
        <f>IFERROR(100/'Skjema total MA'!C89*C89,0)</f>
        <v>38.453101051371561</v>
      </c>
      <c r="F89" s="230">
        <v>31504892.150901601</v>
      </c>
      <c r="G89" s="145">
        <v>35544458.213130496</v>
      </c>
      <c r="H89" s="166">
        <f t="shared" si="15"/>
        <v>12.8</v>
      </c>
      <c r="I89" s="27">
        <f>IFERROR(100/'Skjema total MA'!F89*G89,0)</f>
        <v>13.191928262608599</v>
      </c>
      <c r="J89" s="283">
        <f t="shared" si="22"/>
        <v>32615839.261747539</v>
      </c>
      <c r="K89" s="44">
        <f t="shared" si="22"/>
        <v>36617897.033130497</v>
      </c>
      <c r="L89" s="250">
        <f t="shared" si="17"/>
        <v>12.3</v>
      </c>
      <c r="M89" s="27">
        <f>IFERROR(100/'Skjema total MA'!I89*K89,0)</f>
        <v>13.450963856301316</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v>47776.586000000003</v>
      </c>
      <c r="C97" s="145">
        <v>142094.79999999999</v>
      </c>
      <c r="D97" s="166">
        <f t="shared" ref="D97" si="23">IF(B97=0, "    ---- ", IF(ABS(ROUND(100/B97*C97-100,1))&lt;999,ROUND(100/B97*C97-100,1),IF(ROUND(100/B97*C97-100,1)&gt;999,999,-999)))</f>
        <v>197.4</v>
      </c>
      <c r="E97" s="27">
        <f>IFERROR(100/'Skjema total MA'!C97*C97,0)</f>
        <v>2.925146282199143</v>
      </c>
      <c r="F97" s="230"/>
      <c r="G97" s="145"/>
      <c r="H97" s="166"/>
      <c r="I97" s="27"/>
      <c r="J97" s="283">
        <f t="shared" ref="J97" si="24">SUM(B97,F97)</f>
        <v>47776.586000000003</v>
      </c>
      <c r="K97" s="44">
        <f t="shared" ref="K97" si="25">SUM(C97,G97)</f>
        <v>142094.79999999999</v>
      </c>
      <c r="L97" s="250">
        <f t="shared" ref="L97" si="26">IF(J97=0, "    ---- ", IF(ABS(ROUND(100/J97*K97-100,1))&lt;999,ROUND(100/J97*K97-100,1),IF(ROUND(100/J97*K97-100,1)&gt;999,999,-999)))</f>
        <v>197.4</v>
      </c>
      <c r="M97" s="27">
        <f>IFERROR(100/'Skjema total MA'!I97*K97,0)</f>
        <v>2.925146282199143</v>
      </c>
    </row>
    <row r="98" spans="1:13" ht="15.75" x14ac:dyDescent="0.2">
      <c r="A98" s="21" t="s">
        <v>388</v>
      </c>
      <c r="B98" s="230">
        <v>44934868.449541636</v>
      </c>
      <c r="C98" s="230">
        <v>45984043.560132056</v>
      </c>
      <c r="D98" s="166">
        <f t="shared" si="14"/>
        <v>2.2999999999999998</v>
      </c>
      <c r="E98" s="27">
        <f>IFERROR(100/'Skjema total MA'!C98*C98,0)</f>
        <v>12.168888007418952</v>
      </c>
      <c r="F98" s="286">
        <v>31481383.4869016</v>
      </c>
      <c r="G98" s="286">
        <v>35522539.012130603</v>
      </c>
      <c r="H98" s="166">
        <f t="shared" si="15"/>
        <v>12.8</v>
      </c>
      <c r="I98" s="27">
        <f>IFERROR(100/'Skjema total MA'!F98*G98,0)</f>
        <v>13.220405036834768</v>
      </c>
      <c r="J98" s="283">
        <f t="shared" si="22"/>
        <v>76416251.936443239</v>
      </c>
      <c r="K98" s="44">
        <f t="shared" si="22"/>
        <v>81506582.57226266</v>
      </c>
      <c r="L98" s="250">
        <f t="shared" si="17"/>
        <v>6.7</v>
      </c>
      <c r="M98" s="27">
        <f>IFERROR(100/'Skjema total MA'!I98*K98,0)</f>
        <v>12.605861816368074</v>
      </c>
    </row>
    <row r="99" spans="1:13" x14ac:dyDescent="0.2">
      <c r="A99" s="21" t="s">
        <v>9</v>
      </c>
      <c r="B99" s="286">
        <v>43823921.338695697</v>
      </c>
      <c r="C99" s="287">
        <v>44910604.739367299</v>
      </c>
      <c r="D99" s="166">
        <f t="shared" si="14"/>
        <v>2.5</v>
      </c>
      <c r="E99" s="27">
        <f>IFERROR(100/'Skjema total MA'!C99*C99,0)</f>
        <v>11.97327179528981</v>
      </c>
      <c r="F99" s="230"/>
      <c r="G99" s="145"/>
      <c r="H99" s="166"/>
      <c r="I99" s="27"/>
      <c r="J99" s="283">
        <f t="shared" si="22"/>
        <v>43823921.338695697</v>
      </c>
      <c r="K99" s="44">
        <f t="shared" si="22"/>
        <v>44910604.739367299</v>
      </c>
      <c r="L99" s="250">
        <f t="shared" si="17"/>
        <v>2.5</v>
      </c>
      <c r="M99" s="27">
        <f>IFERROR(100/'Skjema total MA'!I99*K99,0)</f>
        <v>11.97327179528981</v>
      </c>
    </row>
    <row r="100" spans="1:13" x14ac:dyDescent="0.2">
      <c r="A100" s="21" t="s">
        <v>10</v>
      </c>
      <c r="B100" s="286">
        <v>1110947.11084594</v>
      </c>
      <c r="C100" s="287">
        <v>1073438.82076476</v>
      </c>
      <c r="D100" s="166">
        <f t="shared" si="14"/>
        <v>-3.4</v>
      </c>
      <c r="E100" s="27">
        <f>IFERROR(100/'Skjema total MA'!C100*C100,0)</f>
        <v>38.453101068232648</v>
      </c>
      <c r="F100" s="230">
        <v>31481383.4869016</v>
      </c>
      <c r="G100" s="230">
        <v>35522539.012130603</v>
      </c>
      <c r="H100" s="166">
        <f t="shared" si="15"/>
        <v>12.8</v>
      </c>
      <c r="I100" s="27">
        <f>IFERROR(100/'Skjema total MA'!F100*G100,0)</f>
        <v>13.220405036834768</v>
      </c>
      <c r="J100" s="283">
        <f t="shared" si="22"/>
        <v>32592330.597747538</v>
      </c>
      <c r="K100" s="44">
        <f t="shared" si="22"/>
        <v>36595977.832895361</v>
      </c>
      <c r="L100" s="250">
        <f t="shared" si="17"/>
        <v>12.3</v>
      </c>
      <c r="M100" s="27">
        <f>IFERROR(100/'Skjema total MA'!I100*K100,0)</f>
        <v>13.479859772775406</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v>18596.616000000002</v>
      </c>
      <c r="C107" s="145">
        <v>18862.145</v>
      </c>
      <c r="D107" s="166">
        <f t="shared" si="14"/>
        <v>1.4</v>
      </c>
      <c r="E107" s="27">
        <f>IFERROR(100/'Skjema total MA'!C107*C107,0)</f>
        <v>0.3958030285242144</v>
      </c>
      <c r="F107" s="230">
        <v>23508.664000000001</v>
      </c>
      <c r="G107" s="145">
        <v>21919.201000000001</v>
      </c>
      <c r="H107" s="166">
        <f t="shared" si="15"/>
        <v>-6.8</v>
      </c>
      <c r="I107" s="27">
        <f>IFERROR(100/'Skjema total MA'!F107*G107,0)</f>
        <v>2.9375434507276803</v>
      </c>
      <c r="J107" s="283">
        <f t="shared" si="22"/>
        <v>42105.279999999999</v>
      </c>
      <c r="K107" s="44">
        <f t="shared" si="22"/>
        <v>40781.346000000005</v>
      </c>
      <c r="L107" s="250">
        <f t="shared" si="17"/>
        <v>-3.1</v>
      </c>
      <c r="M107" s="27">
        <f>IFERROR(100/'Skjema total MA'!I107*K107,0)</f>
        <v>0.73990331339419735</v>
      </c>
    </row>
    <row r="108" spans="1:13" ht="15.75" x14ac:dyDescent="0.2">
      <c r="A108" s="21" t="s">
        <v>390</v>
      </c>
      <c r="B108" s="230">
        <v>33406527.512664601</v>
      </c>
      <c r="C108" s="230">
        <v>34641991.989391103</v>
      </c>
      <c r="D108" s="166">
        <f t="shared" si="14"/>
        <v>3.7</v>
      </c>
      <c r="E108" s="27">
        <f>IFERROR(100/'Skjema total MA'!C108*C108,0)</f>
        <v>11.012278166071317</v>
      </c>
      <c r="F108" s="230"/>
      <c r="G108" s="230"/>
      <c r="H108" s="166"/>
      <c r="I108" s="27"/>
      <c r="J108" s="283">
        <f t="shared" si="22"/>
        <v>33406527.512664601</v>
      </c>
      <c r="K108" s="44">
        <f t="shared" si="22"/>
        <v>34641991.989391103</v>
      </c>
      <c r="L108" s="250">
        <f t="shared" si="17"/>
        <v>3.7</v>
      </c>
      <c r="M108" s="27">
        <f>IFERROR(100/'Skjema total MA'!I108*K108,0)</f>
        <v>10.477695919123397</v>
      </c>
    </row>
    <row r="109" spans="1:13" ht="15.75" x14ac:dyDescent="0.2">
      <c r="A109" s="21" t="s">
        <v>391</v>
      </c>
      <c r="B109" s="230">
        <v>650726.03586899803</v>
      </c>
      <c r="C109" s="230">
        <v>614684.815567518</v>
      </c>
      <c r="D109" s="166">
        <f t="shared" si="14"/>
        <v>-5.5</v>
      </c>
      <c r="E109" s="27">
        <f>IFERROR(100/'Skjema total MA'!C109*C109,0)</f>
        <v>59.447590805197414</v>
      </c>
      <c r="F109" s="230">
        <v>12863286.6115948</v>
      </c>
      <c r="G109" s="230">
        <v>15042886.0329473</v>
      </c>
      <c r="H109" s="166">
        <f t="shared" si="15"/>
        <v>16.899999999999999</v>
      </c>
      <c r="I109" s="27">
        <f>IFERROR(100/'Skjema total MA'!F109*G109,0)</f>
        <v>16.876610075619009</v>
      </c>
      <c r="J109" s="283">
        <f t="shared" si="22"/>
        <v>13514012.647463799</v>
      </c>
      <c r="K109" s="44">
        <f t="shared" si="22"/>
        <v>15657570.848514818</v>
      </c>
      <c r="L109" s="250">
        <f t="shared" si="17"/>
        <v>15.9</v>
      </c>
      <c r="M109" s="27">
        <f>IFERROR(100/'Skjema total MA'!I109*K109,0)</f>
        <v>17.364786664018254</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294.08199999999999</v>
      </c>
      <c r="C111" s="159">
        <v>0</v>
      </c>
      <c r="D111" s="171">
        <f t="shared" si="14"/>
        <v>-100</v>
      </c>
      <c r="E111" s="11">
        <f>IFERROR(100/'Skjema total MA'!C111*C111,0)</f>
        <v>0</v>
      </c>
      <c r="F111" s="300">
        <v>1290956.811</v>
      </c>
      <c r="G111" s="159">
        <v>641834.30042999994</v>
      </c>
      <c r="H111" s="171">
        <f t="shared" si="15"/>
        <v>-50.3</v>
      </c>
      <c r="I111" s="11">
        <f>IFERROR(100/'Skjema total MA'!F111*G111,0)</f>
        <v>15.014164866800536</v>
      </c>
      <c r="J111" s="301">
        <f t="shared" si="22"/>
        <v>1291250.8929999999</v>
      </c>
      <c r="K111" s="232">
        <f t="shared" si="22"/>
        <v>641834.30042999994</v>
      </c>
      <c r="L111" s="366">
        <f t="shared" si="17"/>
        <v>-50.3</v>
      </c>
      <c r="M111" s="11">
        <f>IFERROR(100/'Skjema total MA'!I111*K111,0)</f>
        <v>14.254559912825727</v>
      </c>
    </row>
    <row r="112" spans="1:13" x14ac:dyDescent="0.2">
      <c r="A112" s="21" t="s">
        <v>9</v>
      </c>
      <c r="B112" s="230">
        <v>294.08199999999999</v>
      </c>
      <c r="C112" s="145">
        <v>0</v>
      </c>
      <c r="D112" s="166">
        <f t="shared" ref="D112:D120" si="27">IF(B112=0, "    ---- ", IF(ABS(ROUND(100/B112*C112-100,1))&lt;999,ROUND(100/B112*C112-100,1),IF(ROUND(100/B112*C112-100,1)&gt;999,999,-999)))</f>
        <v>-100</v>
      </c>
      <c r="E112" s="27">
        <f>IFERROR(100/'Skjema total MA'!C112*C112,0)</f>
        <v>0</v>
      </c>
      <c r="F112" s="230"/>
      <c r="G112" s="145"/>
      <c r="H112" s="166"/>
      <c r="I112" s="27"/>
      <c r="J112" s="283">
        <f t="shared" ref="J112:K125" si="28">SUM(B112,F112)</f>
        <v>294.08199999999999</v>
      </c>
      <c r="K112" s="44">
        <f t="shared" si="28"/>
        <v>0</v>
      </c>
      <c r="L112" s="250">
        <f t="shared" ref="L112:L125" si="29">IF(J112=0, "    ---- ", IF(ABS(ROUND(100/J112*K112-100,1))&lt;999,ROUND(100/J112*K112-100,1),IF(ROUND(100/J112*K112-100,1)&gt;999,999,-999)))</f>
        <v>-100</v>
      </c>
      <c r="M112" s="27">
        <f>IFERROR(100/'Skjema total MA'!I112*K112,0)</f>
        <v>0</v>
      </c>
    </row>
    <row r="113" spans="1:14" x14ac:dyDescent="0.2">
      <c r="A113" s="21" t="s">
        <v>10</v>
      </c>
      <c r="B113" s="230"/>
      <c r="C113" s="145"/>
      <c r="D113" s="166"/>
      <c r="E113" s="27"/>
      <c r="F113" s="230">
        <v>1290956.811</v>
      </c>
      <c r="G113" s="145">
        <v>641834.30042999994</v>
      </c>
      <c r="H113" s="166">
        <f t="shared" ref="H113:H125" si="30">IF(F113=0, "    ---- ", IF(ABS(ROUND(100/F113*G113-100,1))&lt;999,ROUND(100/F113*G113-100,1),IF(ROUND(100/F113*G113-100,1)&gt;999,999,-999)))</f>
        <v>-50.3</v>
      </c>
      <c r="I113" s="27">
        <f>IFERROR(100/'Skjema total MA'!F113*G113,0)</f>
        <v>15.113005719416</v>
      </c>
      <c r="J113" s="283">
        <f t="shared" si="28"/>
        <v>1290956.811</v>
      </c>
      <c r="K113" s="44">
        <f t="shared" si="28"/>
        <v>641834.30042999994</v>
      </c>
      <c r="L113" s="250">
        <f t="shared" si="29"/>
        <v>-50.3</v>
      </c>
      <c r="M113" s="27">
        <f>IFERROR(100/'Skjema total MA'!I113*K113,0)</f>
        <v>15.112052883381455</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t="s">
        <v>414</v>
      </c>
      <c r="C115" s="311" t="s">
        <v>414</v>
      </c>
      <c r="D115" s="166"/>
      <c r="E115" s="358"/>
      <c r="F115" s="311"/>
      <c r="G115" s="311"/>
      <c r="H115" s="166"/>
      <c r="I115" s="358"/>
      <c r="J115" s="311"/>
      <c r="K115" s="311"/>
      <c r="L115" s="166"/>
      <c r="M115" s="23"/>
    </row>
    <row r="116" spans="1:14" ht="15.75" x14ac:dyDescent="0.2">
      <c r="A116" s="21" t="s">
        <v>393</v>
      </c>
      <c r="B116" s="230">
        <v>294.08199999999999</v>
      </c>
      <c r="C116" s="230">
        <v>0</v>
      </c>
      <c r="D116" s="166">
        <f t="shared" si="27"/>
        <v>-100</v>
      </c>
      <c r="E116" s="27">
        <f>IFERROR(100/'Skjema total MA'!C116*C116,0)</f>
        <v>0</v>
      </c>
      <c r="F116" s="230"/>
      <c r="G116" s="230"/>
      <c r="H116" s="166"/>
      <c r="I116" s="27"/>
      <c r="J116" s="283">
        <f t="shared" si="28"/>
        <v>294.08199999999999</v>
      </c>
      <c r="K116" s="44">
        <f t="shared" si="28"/>
        <v>0</v>
      </c>
      <c r="L116" s="250">
        <f t="shared" si="29"/>
        <v>-100</v>
      </c>
      <c r="M116" s="27">
        <f>IFERROR(100/'Skjema total MA'!I116*K116,0)</f>
        <v>0</v>
      </c>
    </row>
    <row r="117" spans="1:14" ht="15.75" x14ac:dyDescent="0.2">
      <c r="A117" s="21" t="s">
        <v>394</v>
      </c>
      <c r="B117" s="230"/>
      <c r="C117" s="230"/>
      <c r="D117" s="166"/>
      <c r="E117" s="27"/>
      <c r="F117" s="230">
        <v>50491.228999999999</v>
      </c>
      <c r="G117" s="230">
        <v>69009.782000000007</v>
      </c>
      <c r="H117" s="166">
        <f t="shared" si="30"/>
        <v>36.700000000000003</v>
      </c>
      <c r="I117" s="27">
        <f>IFERROR(100/'Skjema total MA'!F117*G117,0)</f>
        <v>12.675492574809937</v>
      </c>
      <c r="J117" s="283">
        <f t="shared" si="28"/>
        <v>50491.228999999999</v>
      </c>
      <c r="K117" s="44">
        <f t="shared" si="28"/>
        <v>69009.782000000007</v>
      </c>
      <c r="L117" s="250">
        <f t="shared" si="29"/>
        <v>36.700000000000003</v>
      </c>
      <c r="M117" s="27">
        <f>IFERROR(100/'Skjema total MA'!I117*K117,0)</f>
        <v>12.675492574809937</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47257.763639999699</v>
      </c>
      <c r="C119" s="159">
        <v>22302.415059999901</v>
      </c>
      <c r="D119" s="171">
        <f t="shared" si="27"/>
        <v>-52.8</v>
      </c>
      <c r="E119" s="11">
        <f>IFERROR(100/'Skjema total MA'!C119*C119,0)</f>
        <v>11.985767210069652</v>
      </c>
      <c r="F119" s="300">
        <v>1343097.2990000001</v>
      </c>
      <c r="G119" s="159">
        <v>682369.73400000005</v>
      </c>
      <c r="H119" s="171">
        <f t="shared" si="30"/>
        <v>-49.2</v>
      </c>
      <c r="I119" s="11">
        <f>IFERROR(100/'Skjema total MA'!F119*G119,0)</f>
        <v>15.618134701515626</v>
      </c>
      <c r="J119" s="301">
        <f t="shared" si="28"/>
        <v>1390355.0626399999</v>
      </c>
      <c r="K119" s="232">
        <f t="shared" si="28"/>
        <v>704672.14905999997</v>
      </c>
      <c r="L119" s="366">
        <f t="shared" si="29"/>
        <v>-49.3</v>
      </c>
      <c r="M119" s="11">
        <f>IFERROR(100/'Skjema total MA'!I119*K119,0)</f>
        <v>15.469755788086461</v>
      </c>
    </row>
    <row r="120" spans="1:14" x14ac:dyDescent="0.2">
      <c r="A120" s="21" t="s">
        <v>9</v>
      </c>
      <c r="B120" s="230">
        <v>47257.763639999699</v>
      </c>
      <c r="C120" s="145">
        <v>22302.415059999901</v>
      </c>
      <c r="D120" s="166">
        <f t="shared" si="27"/>
        <v>-52.8</v>
      </c>
      <c r="E120" s="27">
        <f>IFERROR(100/'Skjema total MA'!C120*C120,0)</f>
        <v>20.113179815855961</v>
      </c>
      <c r="F120" s="230"/>
      <c r="G120" s="145"/>
      <c r="H120" s="166"/>
      <c r="I120" s="27"/>
      <c r="J120" s="283">
        <f t="shared" si="28"/>
        <v>47257.763639999699</v>
      </c>
      <c r="K120" s="44">
        <f t="shared" si="28"/>
        <v>22302.415059999901</v>
      </c>
      <c r="L120" s="250">
        <f t="shared" si="29"/>
        <v>-52.8</v>
      </c>
      <c r="M120" s="27">
        <f>IFERROR(100/'Skjema total MA'!I120*K120,0)</f>
        <v>20.113179815855961</v>
      </c>
    </row>
    <row r="121" spans="1:14" x14ac:dyDescent="0.2">
      <c r="A121" s="21" t="s">
        <v>10</v>
      </c>
      <c r="B121" s="230"/>
      <c r="C121" s="145"/>
      <c r="D121" s="166"/>
      <c r="E121" s="27"/>
      <c r="F121" s="230">
        <v>1343097.2990000001</v>
      </c>
      <c r="G121" s="145">
        <v>682369.73400000005</v>
      </c>
      <c r="H121" s="166">
        <f t="shared" si="30"/>
        <v>-49.2</v>
      </c>
      <c r="I121" s="27">
        <f>IFERROR(100/'Skjema total MA'!F121*G121,0)</f>
        <v>15.618134701515626</v>
      </c>
      <c r="J121" s="283">
        <f t="shared" si="28"/>
        <v>1343097.2990000001</v>
      </c>
      <c r="K121" s="44">
        <f t="shared" si="28"/>
        <v>682369.73400000005</v>
      </c>
      <c r="L121" s="250">
        <f t="shared" si="29"/>
        <v>-49.2</v>
      </c>
      <c r="M121" s="27">
        <f>IFERROR(100/'Skjema total MA'!I121*K121,0)</f>
        <v>15.584462916731155</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v>105090.414</v>
      </c>
      <c r="G125" s="230">
        <v>134818.329</v>
      </c>
      <c r="H125" s="166">
        <f t="shared" si="30"/>
        <v>28.3</v>
      </c>
      <c r="I125" s="27">
        <f>IFERROR(100/'Skjema total MA'!F125*G125,0)</f>
        <v>27.098796690469321</v>
      </c>
      <c r="J125" s="283">
        <f t="shared" si="28"/>
        <v>105090.414</v>
      </c>
      <c r="K125" s="44">
        <f t="shared" si="28"/>
        <v>134818.329</v>
      </c>
      <c r="L125" s="250">
        <f t="shared" si="29"/>
        <v>28.3</v>
      </c>
      <c r="M125" s="27">
        <f>IFERROR(100/'Skjema total MA'!I125*K125,0)</f>
        <v>27.092283868825184</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77" priority="12">
      <formula>kvartal &lt; 4</formula>
    </cfRule>
  </conditionalFormatting>
  <conditionalFormatting sqref="A69:A74">
    <cfRule type="expression" dxfId="76" priority="10">
      <formula>kvartal &lt; 4</formula>
    </cfRule>
  </conditionalFormatting>
  <conditionalFormatting sqref="A80:A85">
    <cfRule type="expression" dxfId="75" priority="9">
      <formula>kvartal &lt; 4</formula>
    </cfRule>
  </conditionalFormatting>
  <conditionalFormatting sqref="A90:A95">
    <cfRule type="expression" dxfId="74" priority="6">
      <formula>kvartal &lt; 4</formula>
    </cfRule>
  </conditionalFormatting>
  <conditionalFormatting sqref="A101:A106">
    <cfRule type="expression" dxfId="73" priority="5">
      <formula>kvartal &lt; 4</formula>
    </cfRule>
  </conditionalFormatting>
  <conditionalFormatting sqref="A115">
    <cfRule type="expression" dxfId="72" priority="4">
      <formula>kvartal &lt; 4</formula>
    </cfRule>
  </conditionalFormatting>
  <conditionalFormatting sqref="A123">
    <cfRule type="expression" dxfId="71" priority="3">
      <formula>kvartal &lt; 4</formula>
    </cfRule>
  </conditionalFormatting>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100</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7988</v>
      </c>
      <c r="C47" s="303">
        <v>7226</v>
      </c>
      <c r="D47" s="365">
        <f t="shared" ref="D47:D48" si="0">IF(B47=0, "    ---- ", IF(ABS(ROUND(100/B47*C47-100,1))&lt;999,ROUND(100/B47*C47-100,1),IF(ROUND(100/B47*C47-100,1)&gt;999,999,-999)))</f>
        <v>-9.5</v>
      </c>
      <c r="E47" s="11">
        <f>IFERROR(100/'Skjema total MA'!C47*C47,0)</f>
        <v>0.2887624531625978</v>
      </c>
      <c r="F47" s="145"/>
      <c r="G47" s="33"/>
      <c r="H47" s="159"/>
      <c r="I47" s="159"/>
      <c r="J47" s="37"/>
      <c r="K47" s="37"/>
      <c r="L47" s="159"/>
      <c r="M47" s="159"/>
      <c r="N47" s="148"/>
    </row>
    <row r="48" spans="1:14" s="3" customFormat="1" ht="15.75" x14ac:dyDescent="0.2">
      <c r="A48" s="38" t="s">
        <v>382</v>
      </c>
      <c r="B48" s="277">
        <v>7988</v>
      </c>
      <c r="C48" s="278">
        <v>7226</v>
      </c>
      <c r="D48" s="250">
        <f t="shared" si="0"/>
        <v>-9.5</v>
      </c>
      <c r="E48" s="27">
        <f>IFERROR(100/'Skjema total MA'!C48*C48,0)</f>
        <v>0.53984898393287239</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319377</v>
      </c>
      <c r="C111" s="159">
        <v>105839.768</v>
      </c>
      <c r="D111" s="171">
        <f t="shared" ref="D111" si="1">IF(B111=0, "    ---- ", IF(ABS(ROUND(100/B111*C111-100,1))&lt;999,ROUND(100/B111*C111-100,1),IF(ROUND(100/B111*C111-100,1)&gt;999,999,-999)))</f>
        <v>-66.900000000000006</v>
      </c>
      <c r="E111" s="11">
        <f>IFERROR(100/'Skjema total MA'!C111*C111,0)</f>
        <v>46.461493096595468</v>
      </c>
      <c r="F111" s="300"/>
      <c r="G111" s="159"/>
      <c r="H111" s="171"/>
      <c r="I111" s="11"/>
      <c r="J111" s="301">
        <f t="shared" ref="J111:K111" si="2">SUM(B111,F111)</f>
        <v>319377</v>
      </c>
      <c r="K111" s="232">
        <f t="shared" si="2"/>
        <v>105839.768</v>
      </c>
      <c r="L111" s="366">
        <f t="shared" ref="L111" si="3">IF(J111=0, "    ---- ", IF(ABS(ROUND(100/J111*K111-100,1))&lt;999,ROUND(100/J111*K111-100,1),IF(ROUND(100/J111*K111-100,1)&gt;999,999,-999)))</f>
        <v>-66.900000000000006</v>
      </c>
      <c r="M111" s="11">
        <f>IFERROR(100/'Skjema total MA'!I111*K111,0)</f>
        <v>2.3506056206482184</v>
      </c>
    </row>
    <row r="112" spans="1:13" x14ac:dyDescent="0.2">
      <c r="A112" s="21" t="s">
        <v>9</v>
      </c>
      <c r="B112" s="230">
        <v>319377</v>
      </c>
      <c r="C112" s="145">
        <v>105839.768</v>
      </c>
      <c r="D112" s="166">
        <f t="shared" ref="D112" si="4">IF(B112=0, "    ---- ", IF(ABS(ROUND(100/B112*C112-100,1))&lt;999,ROUND(100/B112*C112-100,1),IF(ROUND(100/B112*C112-100,1)&gt;999,999,-999)))</f>
        <v>-66.900000000000006</v>
      </c>
      <c r="E112" s="27">
        <f>IFERROR(100/'Skjema total MA'!C112*C112,0)</f>
        <v>51.452487729569341</v>
      </c>
      <c r="F112" s="230"/>
      <c r="G112" s="145"/>
      <c r="H112" s="166"/>
      <c r="I112" s="27"/>
      <c r="J112" s="283">
        <f t="shared" ref="J112:K112" si="5">SUM(B112,F112)</f>
        <v>319377</v>
      </c>
      <c r="K112" s="44">
        <f t="shared" si="5"/>
        <v>105839.768</v>
      </c>
      <c r="L112" s="250">
        <f t="shared" ref="L112" si="6">IF(J112=0, "    ---- ", IF(ABS(ROUND(100/J112*K112-100,1))&lt;999,ROUND(100/J112*K112-100,1),IF(ROUND(100/J112*K112-100,1)&gt;999,999,-999)))</f>
        <v>-66.900000000000006</v>
      </c>
      <c r="M112" s="27">
        <f>IFERROR(100/'Skjema total MA'!I112*K112,0)</f>
        <v>51.220016496160632</v>
      </c>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v>717328</v>
      </c>
      <c r="C134" s="301">
        <v>966743.14500999998</v>
      </c>
      <c r="D134" s="342">
        <f t="shared" ref="D134:D135" si="7">IF(B134=0, "    ---- ", IF(ABS(ROUND(100/B134*C134-100,1))&lt;999,ROUND(100/B134*C134-100,1),IF(ROUND(100/B134*C134-100,1)&gt;999,999,-999)))</f>
        <v>34.799999999999997</v>
      </c>
      <c r="E134" s="11">
        <f>IFERROR(100/'Skjema total MA'!C134*C134,0)</f>
        <v>12.515926183203947</v>
      </c>
      <c r="F134" s="308"/>
      <c r="G134" s="309"/>
      <c r="H134" s="369"/>
      <c r="I134" s="24"/>
      <c r="J134" s="310">
        <f t="shared" ref="J134:K135" si="8">SUM(B134,F134)</f>
        <v>717328</v>
      </c>
      <c r="K134" s="310">
        <f t="shared" si="8"/>
        <v>966743.14500999998</v>
      </c>
      <c r="L134" s="365">
        <f t="shared" ref="L134:L135" si="9">IF(J134=0, "    ---- ", IF(ABS(ROUND(100/J134*K134-100,1))&lt;999,ROUND(100/J134*K134-100,1),IF(ROUND(100/J134*K134-100,1)&gt;999,999,-999)))</f>
        <v>34.799999999999997</v>
      </c>
      <c r="M134" s="11">
        <f>IFERROR(100/'Skjema total MA'!I134*K134,0)</f>
        <v>12.48442580813256</v>
      </c>
      <c r="N134" s="148"/>
    </row>
    <row r="135" spans="1:14" s="3" customFormat="1" ht="15.75" x14ac:dyDescent="0.2">
      <c r="A135" s="13" t="s">
        <v>400</v>
      </c>
      <c r="B135" s="232">
        <v>71272663</v>
      </c>
      <c r="C135" s="301">
        <v>75420758.385900304</v>
      </c>
      <c r="D135" s="171">
        <f t="shared" si="7"/>
        <v>5.8</v>
      </c>
      <c r="E135" s="11">
        <f>IFERROR(100/'Skjema total MA'!C135*C135,0)</f>
        <v>13.574271258140234</v>
      </c>
      <c r="F135" s="232"/>
      <c r="G135" s="301"/>
      <c r="H135" s="370"/>
      <c r="I135" s="24"/>
      <c r="J135" s="300">
        <f t="shared" si="8"/>
        <v>71272663</v>
      </c>
      <c r="K135" s="300">
        <f t="shared" si="8"/>
        <v>75420758.385900304</v>
      </c>
      <c r="L135" s="366">
        <f t="shared" si="9"/>
        <v>5.8</v>
      </c>
      <c r="M135" s="11">
        <f>IFERROR(100/'Skjema total MA'!I135*K135,0)</f>
        <v>13.513534560282121</v>
      </c>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70" priority="12">
      <formula>kvartal &lt; 4</formula>
    </cfRule>
  </conditionalFormatting>
  <conditionalFormatting sqref="A69:A74">
    <cfRule type="expression" dxfId="69" priority="10">
      <formula>kvartal &lt; 4</formula>
    </cfRule>
  </conditionalFormatting>
  <conditionalFormatting sqref="A80:A85">
    <cfRule type="expression" dxfId="68" priority="9">
      <formula>kvartal &lt; 4</formula>
    </cfRule>
  </conditionalFormatting>
  <conditionalFormatting sqref="A90:A95">
    <cfRule type="expression" dxfId="67" priority="6">
      <formula>kvartal &lt; 4</formula>
    </cfRule>
  </conditionalFormatting>
  <conditionalFormatting sqref="A101:A106">
    <cfRule type="expression" dxfId="66" priority="5">
      <formula>kvartal &lt; 4</formula>
    </cfRule>
  </conditionalFormatting>
  <conditionalFormatting sqref="A115">
    <cfRule type="expression" dxfId="65" priority="4">
      <formula>kvartal &lt; 4</formula>
    </cfRule>
  </conditionalFormatting>
  <conditionalFormatting sqref="A123">
    <cfRule type="expression" dxfId="64" priority="3">
      <formula>kvartal &lt; 4</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545" t="s">
        <v>370</v>
      </c>
      <c r="D1" s="26"/>
      <c r="E1" s="26"/>
      <c r="F1" s="26"/>
      <c r="G1" s="26"/>
      <c r="H1" s="26"/>
      <c r="I1" s="26"/>
      <c r="J1" s="26"/>
      <c r="K1" s="26"/>
      <c r="L1" s="26"/>
      <c r="M1" s="26"/>
    </row>
    <row r="2" spans="1:14" ht="15.75" x14ac:dyDescent="0.25">
      <c r="A2" s="165" t="s">
        <v>28</v>
      </c>
      <c r="B2" s="687"/>
      <c r="C2" s="687"/>
      <c r="D2" s="687"/>
      <c r="E2" s="542"/>
      <c r="F2" s="687"/>
      <c r="G2" s="687"/>
      <c r="H2" s="687"/>
      <c r="I2" s="542"/>
      <c r="J2" s="687"/>
      <c r="K2" s="687"/>
      <c r="L2" s="687"/>
      <c r="M2" s="542"/>
    </row>
    <row r="3" spans="1:14" ht="15.75" x14ac:dyDescent="0.25">
      <c r="A3" s="163"/>
      <c r="B3" s="542"/>
      <c r="C3" s="542"/>
      <c r="D3" s="542"/>
      <c r="E3" s="542"/>
      <c r="F3" s="542"/>
      <c r="G3" s="542"/>
      <c r="H3" s="542"/>
      <c r="I3" s="542"/>
      <c r="J3" s="542"/>
      <c r="K3" s="542"/>
      <c r="L3" s="542"/>
      <c r="M3" s="542"/>
    </row>
    <row r="4" spans="1:14" x14ac:dyDescent="0.2">
      <c r="A4" s="144"/>
      <c r="B4" s="683" t="s">
        <v>0</v>
      </c>
      <c r="C4" s="684"/>
      <c r="D4" s="684"/>
      <c r="E4" s="540"/>
      <c r="F4" s="683" t="s">
        <v>1</v>
      </c>
      <c r="G4" s="684"/>
      <c r="H4" s="684"/>
      <c r="I4" s="541"/>
      <c r="J4" s="683" t="s">
        <v>2</v>
      </c>
      <c r="K4" s="684"/>
      <c r="L4" s="684"/>
      <c r="M4" s="541"/>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v>697.66542914888896</v>
      </c>
      <c r="D7" s="342" t="str">
        <f>IF(B7=0, "    ---- ", IF(ABS(ROUND(100/B7*C7-100,1))&lt;999,ROUND(100/B7*C7-100,1),IF(ROUND(100/B7*C7-100,1)&gt;999,999,-999)))</f>
        <v xml:space="preserve">    ---- </v>
      </c>
      <c r="E7" s="11">
        <f>IFERROR(100/'Skjema total MA'!C7*C7,0)</f>
        <v>4.3664869675843487E-2</v>
      </c>
      <c r="F7" s="298"/>
      <c r="G7" s="299"/>
      <c r="H7" s="342"/>
      <c r="I7" s="160"/>
      <c r="J7" s="300">
        <f t="shared" ref="J7:K9" si="0">SUM(B7,F7)</f>
        <v>0</v>
      </c>
      <c r="K7" s="301">
        <f t="shared" si="0"/>
        <v>697.66542914888896</v>
      </c>
      <c r="L7" s="365" t="str">
        <f>IF(J7=0, "    ---- ", IF(ABS(ROUND(100/J7*K7-100,1))&lt;999,ROUND(100/J7*K7-100,1),IF(ROUND(100/J7*K7-100,1)&gt;999,999,-999)))</f>
        <v xml:space="preserve">    ---- </v>
      </c>
      <c r="M7" s="11">
        <f>IFERROR(100/'Skjema total MA'!I7*K7,0)</f>
        <v>1.6269490356206999E-2</v>
      </c>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v>697.66542914888896</v>
      </c>
      <c r="D9" s="166" t="str">
        <f t="shared" ref="D9" si="1">IF(B9=0, "    ---- ", IF(ABS(ROUND(100/B9*C9-100,1))&lt;999,ROUND(100/B9*C9-100,1),IF(ROUND(100/B9*C9-100,1)&gt;999,999,-999)))</f>
        <v xml:space="preserve">    ---- </v>
      </c>
      <c r="E9" s="27">
        <f>IFERROR(100/'Skjema total MA'!C9*C9,0)</f>
        <v>0.18950460453441981</v>
      </c>
      <c r="F9" s="281"/>
      <c r="G9" s="282"/>
      <c r="H9" s="166"/>
      <c r="I9" s="175"/>
      <c r="J9" s="230">
        <f t="shared" si="0"/>
        <v>0</v>
      </c>
      <c r="K9" s="283">
        <f t="shared" si="0"/>
        <v>697.66542914888896</v>
      </c>
      <c r="L9" s="365" t="str">
        <f>IF(J9=0, "    ---- ", IF(ABS(ROUND(100/J9*K9-100,1))&lt;999,ROUND(100/J9*K9-100,1),IF(ROUND(100/J9*K9-100,1)&gt;999,999,-999)))</f>
        <v xml:space="preserve">    ---- </v>
      </c>
      <c r="M9" s="27">
        <f>IFERROR(100/'Skjema total MA'!I9*K9,0)</f>
        <v>0.18950460453441981</v>
      </c>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542"/>
      <c r="F18" s="682"/>
      <c r="G18" s="682"/>
      <c r="H18" s="682"/>
      <c r="I18" s="542"/>
      <c r="J18" s="682"/>
      <c r="K18" s="682"/>
      <c r="L18" s="682"/>
      <c r="M18" s="542"/>
    </row>
    <row r="19" spans="1:14" x14ac:dyDescent="0.2">
      <c r="A19" s="144"/>
      <c r="B19" s="683" t="s">
        <v>0</v>
      </c>
      <c r="C19" s="684"/>
      <c r="D19" s="684"/>
      <c r="E19" s="540"/>
      <c r="F19" s="683" t="s">
        <v>1</v>
      </c>
      <c r="G19" s="684"/>
      <c r="H19" s="684"/>
      <c r="I19" s="541"/>
      <c r="J19" s="683" t="s">
        <v>2</v>
      </c>
      <c r="K19" s="684"/>
      <c r="L19" s="684"/>
      <c r="M19" s="541"/>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544"/>
    </row>
    <row r="41" spans="1:14" x14ac:dyDescent="0.2">
      <c r="A41" s="155"/>
    </row>
    <row r="42" spans="1:14" ht="15.75" x14ac:dyDescent="0.25">
      <c r="A42" s="147" t="s">
        <v>279</v>
      </c>
      <c r="B42" s="687"/>
      <c r="C42" s="687"/>
      <c r="D42" s="687"/>
      <c r="E42" s="542"/>
      <c r="F42" s="688"/>
      <c r="G42" s="688"/>
      <c r="H42" s="688"/>
      <c r="I42" s="544"/>
      <c r="J42" s="688"/>
      <c r="K42" s="688"/>
      <c r="L42" s="688"/>
      <c r="M42" s="544"/>
    </row>
    <row r="43" spans="1:14" ht="15.75" x14ac:dyDescent="0.25">
      <c r="A43" s="163"/>
      <c r="B43" s="543"/>
      <c r="C43" s="543"/>
      <c r="D43" s="543"/>
      <c r="E43" s="543"/>
      <c r="F43" s="544"/>
      <c r="G43" s="544"/>
      <c r="H43" s="544"/>
      <c r="I43" s="544"/>
      <c r="J43" s="544"/>
      <c r="K43" s="544"/>
      <c r="L43" s="544"/>
      <c r="M43" s="544"/>
    </row>
    <row r="44" spans="1:14" ht="15.75" x14ac:dyDescent="0.25">
      <c r="A44" s="243"/>
      <c r="B44" s="683" t="s">
        <v>0</v>
      </c>
      <c r="C44" s="684"/>
      <c r="D44" s="684"/>
      <c r="E44" s="239"/>
      <c r="F44" s="544"/>
      <c r="G44" s="544"/>
      <c r="H44" s="544"/>
      <c r="I44" s="544"/>
      <c r="J44" s="544"/>
      <c r="K44" s="544"/>
      <c r="L44" s="544"/>
      <c r="M44" s="54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v>173730.31569938501</v>
      </c>
      <c r="D47" s="365" t="str">
        <f t="shared" ref="D47:D48" si="2">IF(B47=0, "    ---- ", IF(ABS(ROUND(100/B47*C47-100,1))&lt;999,ROUND(100/B47*C47-100,1),IF(ROUND(100/B47*C47-100,1)&gt;999,999,-999)))</f>
        <v xml:space="preserve">    ---- </v>
      </c>
      <c r="E47" s="11">
        <f>IFERROR(100/'Skjema total MA'!C47*C47,0)</f>
        <v>6.9425397384537781</v>
      </c>
      <c r="F47" s="145"/>
      <c r="G47" s="33"/>
      <c r="H47" s="159"/>
      <c r="I47" s="159"/>
      <c r="J47" s="37"/>
      <c r="K47" s="37"/>
      <c r="L47" s="159"/>
      <c r="M47" s="159"/>
      <c r="N47" s="148"/>
    </row>
    <row r="48" spans="1:14" s="3" customFormat="1" ht="15.75" x14ac:dyDescent="0.2">
      <c r="A48" s="38" t="s">
        <v>382</v>
      </c>
      <c r="B48" s="277"/>
      <c r="C48" s="278">
        <v>173730.31569938501</v>
      </c>
      <c r="D48" s="250" t="str">
        <f t="shared" si="2"/>
        <v xml:space="preserve">    ---- </v>
      </c>
      <c r="E48" s="27">
        <f>IFERROR(100/'Skjema total MA'!C48*C48,0)</f>
        <v>12.979260228155292</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542"/>
      <c r="F62" s="682"/>
      <c r="G62" s="682"/>
      <c r="H62" s="682"/>
      <c r="I62" s="542"/>
      <c r="J62" s="682"/>
      <c r="K62" s="682"/>
      <c r="L62" s="682"/>
      <c r="M62" s="542"/>
    </row>
    <row r="63" spans="1:14" x14ac:dyDescent="0.2">
      <c r="A63" s="144"/>
      <c r="B63" s="683" t="s">
        <v>0</v>
      </c>
      <c r="C63" s="684"/>
      <c r="D63" s="685"/>
      <c r="E63" s="539"/>
      <c r="F63" s="684" t="s">
        <v>1</v>
      </c>
      <c r="G63" s="684"/>
      <c r="H63" s="684"/>
      <c r="I63" s="541"/>
      <c r="J63" s="683" t="s">
        <v>2</v>
      </c>
      <c r="K63" s="684"/>
      <c r="L63" s="684"/>
      <c r="M63" s="541"/>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542"/>
      <c r="F130" s="682"/>
      <c r="G130" s="682"/>
      <c r="H130" s="682"/>
      <c r="I130" s="542"/>
      <c r="J130" s="682"/>
      <c r="K130" s="682"/>
      <c r="L130" s="682"/>
      <c r="M130" s="542"/>
    </row>
    <row r="131" spans="1:14" s="3" customFormat="1" x14ac:dyDescent="0.2">
      <c r="A131" s="144"/>
      <c r="B131" s="683" t="s">
        <v>0</v>
      </c>
      <c r="C131" s="684"/>
      <c r="D131" s="684"/>
      <c r="E131" s="540"/>
      <c r="F131" s="683" t="s">
        <v>1</v>
      </c>
      <c r="G131" s="684"/>
      <c r="H131" s="684"/>
      <c r="I131" s="541"/>
      <c r="J131" s="683" t="s">
        <v>2</v>
      </c>
      <c r="K131" s="684"/>
      <c r="L131" s="684"/>
      <c r="M131" s="541"/>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A50:A52">
    <cfRule type="expression" dxfId="63" priority="8">
      <formula>kvartal &lt; 4</formula>
    </cfRule>
  </conditionalFormatting>
  <conditionalFormatting sqref="A69:A74">
    <cfRule type="expression" dxfId="62" priority="7">
      <formula>kvartal &lt; 4</formula>
    </cfRule>
  </conditionalFormatting>
  <conditionalFormatting sqref="A80:A85">
    <cfRule type="expression" dxfId="61" priority="6">
      <formula>kvartal &lt; 4</formula>
    </cfRule>
  </conditionalFormatting>
  <conditionalFormatting sqref="A90:A95">
    <cfRule type="expression" dxfId="60" priority="5">
      <formula>kvartal &lt; 4</formula>
    </cfRule>
  </conditionalFormatting>
  <conditionalFormatting sqref="A101:A106">
    <cfRule type="expression" dxfId="59" priority="4">
      <formula>kvartal &lt; 4</formula>
    </cfRule>
  </conditionalFormatting>
  <conditionalFormatting sqref="A115">
    <cfRule type="expression" dxfId="58" priority="3">
      <formula>kvartal &lt; 4</formula>
    </cfRule>
  </conditionalFormatting>
  <conditionalFormatting sqref="A123">
    <cfRule type="expression" dxfId="57" priority="2">
      <formula>kvartal &lt; 4</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74</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v>30766</v>
      </c>
      <c r="G7" s="299">
        <v>24702.737349999999</v>
      </c>
      <c r="H7" s="342">
        <f>IF(F7=0, "    ---- ", IF(ABS(ROUND(100/F7*G7-100,1))&lt;999,ROUND(100/F7*G7-100,1),IF(ROUND(100/F7*G7-100,1)&gt;999,999,-999)))</f>
        <v>-19.7</v>
      </c>
      <c r="I7" s="160">
        <f>IFERROR(100/'Skjema total MA'!F7*G7,0)</f>
        <v>0.91817756422716135</v>
      </c>
      <c r="J7" s="300">
        <f t="shared" ref="J7:K12" si="0">SUM(B7,F7)</f>
        <v>30766</v>
      </c>
      <c r="K7" s="301">
        <f t="shared" si="0"/>
        <v>24702.737349999999</v>
      </c>
      <c r="L7" s="365">
        <f>IF(J7=0, "    ---- ", IF(ABS(ROUND(100/J7*K7-100,1))&lt;999,ROUND(100/J7*K7-100,1),IF(ROUND(100/J7*K7-100,1)&gt;999,999,-999)))</f>
        <v>-19.7</v>
      </c>
      <c r="M7" s="11">
        <f>IFERROR(100/'Skjema total MA'!I7*K7,0)</f>
        <v>0.57606544669704374</v>
      </c>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v>784764</v>
      </c>
      <c r="G10" s="303">
        <v>825974.39272</v>
      </c>
      <c r="H10" s="171">
        <f t="shared" ref="H10:H12" si="1">IF(F10=0, "    ---- ", IF(ABS(ROUND(100/F10*G10-100,1))&lt;999,ROUND(100/F10*G10-100,1),IF(ROUND(100/F10*G10-100,1)&gt;999,999,-999)))</f>
        <v>5.3</v>
      </c>
      <c r="I10" s="160">
        <f>IFERROR(100/'Skjema total MA'!F10*G10,0)</f>
        <v>1.8430589143849345</v>
      </c>
      <c r="J10" s="300">
        <f t="shared" si="0"/>
        <v>784764</v>
      </c>
      <c r="K10" s="301">
        <f t="shared" si="0"/>
        <v>825974.39272</v>
      </c>
      <c r="L10" s="366">
        <f t="shared" ref="L10:L12" si="2">IF(J10=0, "    ---- ", IF(ABS(ROUND(100/J10*K10-100,1))&lt;999,ROUND(100/J10*K10-100,1),IF(ROUND(100/J10*K10-100,1)&gt;999,999,-999)))</f>
        <v>5.3</v>
      </c>
      <c r="M10" s="11">
        <f>IFERROR(100/'Skjema total MA'!I10*K10,0)</f>
        <v>1.2695653700026899</v>
      </c>
    </row>
    <row r="11" spans="1:14" s="43" customFormat="1" ht="15.75" x14ac:dyDescent="0.2">
      <c r="A11" s="13" t="s">
        <v>372</v>
      </c>
      <c r="B11" s="302"/>
      <c r="C11" s="303"/>
      <c r="D11" s="171"/>
      <c r="E11" s="11"/>
      <c r="F11" s="302">
        <v>5760</v>
      </c>
      <c r="G11" s="303">
        <v>1485.691</v>
      </c>
      <c r="H11" s="171">
        <f t="shared" si="1"/>
        <v>-74.2</v>
      </c>
      <c r="I11" s="160">
        <f>IFERROR(100/'Skjema total MA'!F11*G11,0)</f>
        <v>1.6002882272598578</v>
      </c>
      <c r="J11" s="300">
        <f t="shared" si="0"/>
        <v>5760</v>
      </c>
      <c r="K11" s="301">
        <f t="shared" si="0"/>
        <v>1485.691</v>
      </c>
      <c r="L11" s="366">
        <f t="shared" si="2"/>
        <v>-74.2</v>
      </c>
      <c r="M11" s="11">
        <f>IFERROR(100/'Skjema total MA'!I11*K11,0)</f>
        <v>1.5133711130651601</v>
      </c>
      <c r="N11" s="143"/>
    </row>
    <row r="12" spans="1:14" s="43" customFormat="1" ht="15.75" x14ac:dyDescent="0.2">
      <c r="A12" s="41" t="s">
        <v>373</v>
      </c>
      <c r="B12" s="304"/>
      <c r="C12" s="305"/>
      <c r="D12" s="169"/>
      <c r="E12" s="36"/>
      <c r="F12" s="304">
        <v>200</v>
      </c>
      <c r="G12" s="305">
        <v>718.43709000000001</v>
      </c>
      <c r="H12" s="169">
        <f t="shared" si="1"/>
        <v>259.2</v>
      </c>
      <c r="I12" s="169">
        <f>IFERROR(100/'Skjema total MA'!F12*G12,0)</f>
        <v>1.7184675760836912</v>
      </c>
      <c r="J12" s="306">
        <f t="shared" si="0"/>
        <v>200</v>
      </c>
      <c r="K12" s="307">
        <f t="shared" si="0"/>
        <v>718.43709000000001</v>
      </c>
      <c r="L12" s="367">
        <f t="shared" si="2"/>
        <v>259.2</v>
      </c>
      <c r="M12" s="36">
        <f>IFERROR(100/'Skjema total MA'!I12*K12,0)</f>
        <v>1.638029219136913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v>12089</v>
      </c>
      <c r="G22" s="310">
        <v>13997.18979</v>
      </c>
      <c r="H22" s="342">
        <f t="shared" ref="H22:H35" si="3">IF(F22=0, "    ---- ", IF(ABS(ROUND(100/F22*G22-100,1))&lt;999,ROUND(100/F22*G22-100,1),IF(ROUND(100/F22*G22-100,1)&gt;999,999,-999)))</f>
        <v>15.8</v>
      </c>
      <c r="I22" s="11">
        <f>IFERROR(100/'Skjema total MA'!F22*G22,0)</f>
        <v>4.5270888909957359</v>
      </c>
      <c r="J22" s="308">
        <f t="shared" ref="J22:K35" si="4">SUM(B22,F22)</f>
        <v>12089</v>
      </c>
      <c r="K22" s="308">
        <f t="shared" si="4"/>
        <v>13997.18979</v>
      </c>
      <c r="L22" s="365">
        <f t="shared" ref="L22:L35" si="5">IF(J22=0, "    ---- ", IF(ABS(ROUND(100/J22*K22-100,1))&lt;999,ROUND(100/J22*K22-100,1),IF(ROUND(100/J22*K22-100,1)&gt;999,999,-999)))</f>
        <v>15.8</v>
      </c>
      <c r="M22" s="24">
        <f>IFERROR(100/'Skjema total MA'!I22*K22,0)</f>
        <v>1.4017734628399361</v>
      </c>
    </row>
    <row r="23" spans="1:14" ht="15.75" x14ac:dyDescent="0.2">
      <c r="A23" s="546" t="s">
        <v>374</v>
      </c>
      <c r="B23" s="277"/>
      <c r="C23" s="277"/>
      <c r="D23" s="166"/>
      <c r="E23" s="11"/>
      <c r="F23" s="285">
        <v>159</v>
      </c>
      <c r="G23" s="285">
        <v>81</v>
      </c>
      <c r="H23" s="166">
        <f t="shared" si="3"/>
        <v>-49.1</v>
      </c>
      <c r="I23" s="358">
        <f>IFERROR(100/'Skjema total MA'!F23*G23,0)</f>
        <v>0.26593193241387214</v>
      </c>
      <c r="J23" s="285">
        <f t="shared" ref="J23:J26" si="6">SUM(B23,F23)</f>
        <v>159</v>
      </c>
      <c r="K23" s="285">
        <f t="shared" ref="K23:K26" si="7">SUM(C23,G23)</f>
        <v>81</v>
      </c>
      <c r="L23" s="166">
        <f t="shared" si="5"/>
        <v>-49.1</v>
      </c>
      <c r="M23" s="23">
        <f>IFERROR(100/'Skjema total MA'!I23*K23,0)</f>
        <v>1.4560792222599822E-2</v>
      </c>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v>11930</v>
      </c>
      <c r="G26" s="285">
        <v>13916.18979</v>
      </c>
      <c r="H26" s="166">
        <f t="shared" si="3"/>
        <v>16.600000000000001</v>
      </c>
      <c r="I26" s="358">
        <f>IFERROR(100/'Skjema total MA'!F26*G26,0)</f>
        <v>5.1131468260905422</v>
      </c>
      <c r="J26" s="285">
        <f t="shared" si="6"/>
        <v>11930</v>
      </c>
      <c r="K26" s="285">
        <f t="shared" si="7"/>
        <v>13916.18979</v>
      </c>
      <c r="L26" s="166">
        <f t="shared" ref="L26" si="8">IF(J26=0, "    ---- ", IF(ABS(ROUND(100/J26*K26-100,1))&lt;999,ROUND(100/J26*K26-100,1),IF(ROUND(100/J26*K26-100,1)&gt;999,999,-999)))</f>
        <v>16.600000000000001</v>
      </c>
      <c r="M26" s="23">
        <f>IFERROR(100/'Skjema total MA'!I26*K26,0)</f>
        <v>5.1131468260905422</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v>868604</v>
      </c>
      <c r="G29" s="300">
        <v>867819.29160999996</v>
      </c>
      <c r="H29" s="171">
        <f t="shared" si="3"/>
        <v>-0.1</v>
      </c>
      <c r="I29" s="11">
        <f>IFERROR(100/'Skjema total MA'!F29*G29,0)</f>
        <v>4.2734916956798195</v>
      </c>
      <c r="J29" s="232">
        <f t="shared" si="4"/>
        <v>868604</v>
      </c>
      <c r="K29" s="232">
        <f t="shared" si="4"/>
        <v>867819.29160999996</v>
      </c>
      <c r="L29" s="366">
        <f t="shared" si="5"/>
        <v>-0.1</v>
      </c>
      <c r="M29" s="24">
        <f>IFERROR(100/'Skjema total MA'!I29*K29,0)</f>
        <v>1.2718635187397704</v>
      </c>
      <c r="N29" s="148"/>
    </row>
    <row r="30" spans="1:14" s="3" customFormat="1" ht="15.75" x14ac:dyDescent="0.2">
      <c r="A30" s="546" t="s">
        <v>374</v>
      </c>
      <c r="B30" s="277"/>
      <c r="C30" s="277"/>
      <c r="D30" s="166"/>
      <c r="E30" s="11"/>
      <c r="F30" s="285">
        <v>125349</v>
      </c>
      <c r="G30" s="285">
        <v>120863.39121</v>
      </c>
      <c r="H30" s="166">
        <f t="shared" si="3"/>
        <v>-3.6</v>
      </c>
      <c r="I30" s="358">
        <f>IFERROR(100/'Skjema total MA'!F30*G30,0)</f>
        <v>2.8752690673534214</v>
      </c>
      <c r="J30" s="285">
        <f t="shared" ref="J30:J33" si="9">SUM(B30,F30)</f>
        <v>125349</v>
      </c>
      <c r="K30" s="285">
        <f t="shared" ref="K30:K33" si="10">SUM(C30,G30)</f>
        <v>120863.39121</v>
      </c>
      <c r="L30" s="166">
        <f t="shared" si="5"/>
        <v>-3.6</v>
      </c>
      <c r="M30" s="23">
        <f>IFERROR(100/'Skjema total MA'!I30*K30,0)</f>
        <v>0.76892024461827269</v>
      </c>
      <c r="N30" s="148"/>
    </row>
    <row r="31" spans="1:14" s="3" customFormat="1" ht="15.75" x14ac:dyDescent="0.2">
      <c r="A31" s="546" t="s">
        <v>375</v>
      </c>
      <c r="B31" s="277"/>
      <c r="C31" s="277"/>
      <c r="D31" s="166"/>
      <c r="E31" s="11"/>
      <c r="F31" s="285">
        <v>687588</v>
      </c>
      <c r="G31" s="285">
        <v>646842.26554000005</v>
      </c>
      <c r="H31" s="166">
        <f t="shared" si="3"/>
        <v>-5.9</v>
      </c>
      <c r="I31" s="358">
        <f>IFERROR(100/'Skjema total MA'!F31*G31,0)</f>
        <v>7.7461586973719792</v>
      </c>
      <c r="J31" s="285">
        <f t="shared" si="9"/>
        <v>687588</v>
      </c>
      <c r="K31" s="285">
        <f t="shared" si="10"/>
        <v>646842.26554000005</v>
      </c>
      <c r="L31" s="166">
        <f t="shared" si="5"/>
        <v>-5.9</v>
      </c>
      <c r="M31" s="23">
        <f>IFERROR(100/'Skjema total MA'!I31*K31,0)</f>
        <v>1.5541053220426961</v>
      </c>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v>55667</v>
      </c>
      <c r="G33" s="285">
        <v>100113.63486000001</v>
      </c>
      <c r="H33" s="166">
        <f t="shared" si="3"/>
        <v>79.8</v>
      </c>
      <c r="I33" s="358">
        <f>IFERROR(100/'Skjema total MA'!F34*G33,0)</f>
        <v>746.57895846490658</v>
      </c>
      <c r="J33" s="285">
        <f t="shared" si="9"/>
        <v>55667</v>
      </c>
      <c r="K33" s="285">
        <f t="shared" si="10"/>
        <v>100113.63486000001</v>
      </c>
      <c r="L33" s="166">
        <f t="shared" ref="L33" si="11">IF(J33=0, "    ---- ", IF(ABS(ROUND(100/J33*K33-100,1))&lt;999,ROUND(100/J33*K33-100,1),IF(ROUND(100/J33*K33-100,1)&gt;999,999,-999)))</f>
        <v>79.8</v>
      </c>
      <c r="M33" s="23">
        <f>IFERROR(100/'Skjema total MA'!I34*K33,0)</f>
        <v>516.05229024134508</v>
      </c>
    </row>
    <row r="34" spans="1:14" ht="15.75" x14ac:dyDescent="0.2">
      <c r="A34" s="13" t="s">
        <v>372</v>
      </c>
      <c r="B34" s="232"/>
      <c r="C34" s="301"/>
      <c r="D34" s="171"/>
      <c r="E34" s="11"/>
      <c r="F34" s="300">
        <v>1994</v>
      </c>
      <c r="G34" s="301">
        <v>836.32799999999997</v>
      </c>
      <c r="H34" s="171">
        <f t="shared" si="3"/>
        <v>-58.1</v>
      </c>
      <c r="I34" s="11">
        <f>IFERROR(100/'Skjema total MA'!F34*G34,0)</f>
        <v>6.2367617362828254</v>
      </c>
      <c r="J34" s="232">
        <f t="shared" si="4"/>
        <v>1994</v>
      </c>
      <c r="K34" s="232">
        <f t="shared" si="4"/>
        <v>836.32799999999997</v>
      </c>
      <c r="L34" s="366">
        <f t="shared" si="5"/>
        <v>-58.1</v>
      </c>
      <c r="M34" s="24">
        <f>IFERROR(100/'Skjema total MA'!I34*K34,0)</f>
        <v>4.3109910093315698</v>
      </c>
    </row>
    <row r="35" spans="1:14" ht="15.75" x14ac:dyDescent="0.2">
      <c r="A35" s="13" t="s">
        <v>373</v>
      </c>
      <c r="B35" s="232"/>
      <c r="C35" s="301"/>
      <c r="D35" s="171"/>
      <c r="E35" s="11"/>
      <c r="F35" s="300">
        <v>1176</v>
      </c>
      <c r="G35" s="301">
        <v>2367.2594300000001</v>
      </c>
      <c r="H35" s="171">
        <f t="shared" si="3"/>
        <v>101.3</v>
      </c>
      <c r="I35" s="11">
        <f>IFERROR(100/'Skjema total MA'!F35*G35,0)</f>
        <v>10.507867033930067</v>
      </c>
      <c r="J35" s="232">
        <f t="shared" si="4"/>
        <v>1176</v>
      </c>
      <c r="K35" s="232">
        <f t="shared" si="4"/>
        <v>2367.2594300000001</v>
      </c>
      <c r="L35" s="366">
        <f t="shared" si="5"/>
        <v>101.3</v>
      </c>
      <c r="M35" s="24">
        <f>IFERROR(100/'Skjema total MA'!I35*K35,0)</f>
        <v>15.777748660087408</v>
      </c>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v>22</v>
      </c>
      <c r="G66" s="344">
        <v>0.78895999999999999</v>
      </c>
      <c r="H66" s="342">
        <f t="shared" ref="H66:H111" si="12">IF(F66=0, "    ---- ", IF(ABS(ROUND(100/F66*G66-100,1))&lt;999,ROUND(100/F66*G66-100,1),IF(ROUND(100/F66*G66-100,1)&gt;999,999,-999)))</f>
        <v>-96.4</v>
      </c>
      <c r="I66" s="11">
        <f>IFERROR(100/'Skjema total MA'!F66*G66,0)</f>
        <v>1.0003537473754528E-5</v>
      </c>
      <c r="J66" s="301">
        <f t="shared" ref="J66:K86" si="13">SUM(B66,F66)</f>
        <v>22</v>
      </c>
      <c r="K66" s="308">
        <f t="shared" si="13"/>
        <v>0.78895999999999999</v>
      </c>
      <c r="L66" s="366">
        <f t="shared" ref="L66:L111" si="14">IF(J66=0, "    ---- ", IF(ABS(ROUND(100/J66*K66-100,1))&lt;999,ROUND(100/J66*K66-100,1),IF(ROUND(100/J66*K66-100,1)&gt;999,999,-999)))</f>
        <v>-96.4</v>
      </c>
      <c r="M66" s="11">
        <f>IFERROR(100/'Skjema total MA'!I66*K66,0)</f>
        <v>6.9207589572149092E-6</v>
      </c>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v>22</v>
      </c>
      <c r="G68" s="287">
        <v>0.78895999999999999</v>
      </c>
      <c r="H68" s="166">
        <f t="shared" si="12"/>
        <v>-96.4</v>
      </c>
      <c r="I68" s="27">
        <f>IFERROR(100/'Skjema total MA'!F68*G68,0)</f>
        <v>1.0135748573245851E-5</v>
      </c>
      <c r="J68" s="283">
        <f t="shared" si="13"/>
        <v>22</v>
      </c>
      <c r="K68" s="44">
        <f t="shared" si="13"/>
        <v>0.78895999999999999</v>
      </c>
      <c r="L68" s="250">
        <f t="shared" si="14"/>
        <v>-96.4</v>
      </c>
      <c r="M68" s="27">
        <f>IFERROR(100/'Skjema total MA'!I68*K68,0)</f>
        <v>1.0010962697851332E-5</v>
      </c>
    </row>
    <row r="69" spans="1:14" ht="15.75" x14ac:dyDescent="0.2">
      <c r="A69" s="288" t="s">
        <v>386</v>
      </c>
      <c r="B69" s="311"/>
      <c r="C69" s="311"/>
      <c r="D69" s="166"/>
      <c r="E69" s="23"/>
      <c r="F69" s="311" t="s">
        <v>414</v>
      </c>
      <c r="G69" s="311" t="s">
        <v>414</v>
      </c>
      <c r="H69" s="166"/>
      <c r="I69" s="23"/>
      <c r="J69" s="311"/>
      <c r="K69" s="311"/>
      <c r="L69" s="166"/>
      <c r="M69" s="23"/>
    </row>
    <row r="70" spans="1:14" x14ac:dyDescent="0.2">
      <c r="A70" s="288" t="s">
        <v>12</v>
      </c>
      <c r="B70" s="311"/>
      <c r="C70" s="311"/>
      <c r="D70" s="166"/>
      <c r="E70" s="23"/>
      <c r="F70" s="311" t="s">
        <v>414</v>
      </c>
      <c r="G70" s="311" t="s">
        <v>414</v>
      </c>
      <c r="H70" s="166"/>
      <c r="I70" s="23"/>
      <c r="J70" s="311"/>
      <c r="K70" s="311"/>
      <c r="L70" s="166"/>
      <c r="M70" s="23"/>
    </row>
    <row r="71" spans="1:14" x14ac:dyDescent="0.2">
      <c r="A71" s="288" t="s">
        <v>13</v>
      </c>
      <c r="B71" s="311"/>
      <c r="C71" s="311"/>
      <c r="D71" s="166"/>
      <c r="E71" s="23"/>
      <c r="F71" s="311" t="s">
        <v>414</v>
      </c>
      <c r="G71" s="311" t="s">
        <v>414</v>
      </c>
      <c r="H71" s="166"/>
      <c r="I71" s="23"/>
      <c r="J71" s="311"/>
      <c r="K71" s="311"/>
      <c r="L71" s="166"/>
      <c r="M71" s="23"/>
    </row>
    <row r="72" spans="1:14" ht="15.75" x14ac:dyDescent="0.2">
      <c r="A72" s="288" t="s">
        <v>387</v>
      </c>
      <c r="B72" s="311"/>
      <c r="C72" s="311"/>
      <c r="D72" s="166"/>
      <c r="E72" s="23"/>
      <c r="F72" s="311" t="s">
        <v>414</v>
      </c>
      <c r="G72" s="311" t="s">
        <v>414</v>
      </c>
      <c r="H72" s="166"/>
      <c r="I72" s="23"/>
      <c r="J72" s="311"/>
      <c r="K72" s="311"/>
      <c r="L72" s="166"/>
      <c r="M72" s="23"/>
    </row>
    <row r="73" spans="1:14" x14ac:dyDescent="0.2">
      <c r="A73" s="288" t="s">
        <v>12</v>
      </c>
      <c r="B73" s="311"/>
      <c r="C73" s="311"/>
      <c r="D73" s="166"/>
      <c r="E73" s="23"/>
      <c r="F73" s="311" t="s">
        <v>414</v>
      </c>
      <c r="G73" s="311" t="s">
        <v>414</v>
      </c>
      <c r="H73" s="166"/>
      <c r="I73" s="23"/>
      <c r="J73" s="311"/>
      <c r="K73" s="311"/>
      <c r="L73" s="166"/>
      <c r="M73" s="23"/>
    </row>
    <row r="74" spans="1:14" s="3" customFormat="1" x14ac:dyDescent="0.2">
      <c r="A74" s="288" t="s">
        <v>13</v>
      </c>
      <c r="B74" s="311"/>
      <c r="C74" s="311"/>
      <c r="D74" s="166"/>
      <c r="E74" s="23"/>
      <c r="F74" s="311" t="s">
        <v>414</v>
      </c>
      <c r="G74" s="311" t="s">
        <v>414</v>
      </c>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t="s">
        <v>414</v>
      </c>
      <c r="G80" s="311" t="s">
        <v>414</v>
      </c>
      <c r="H80" s="166"/>
      <c r="I80" s="23"/>
      <c r="J80" s="311"/>
      <c r="K80" s="311"/>
      <c r="L80" s="166"/>
      <c r="M80" s="23"/>
    </row>
    <row r="81" spans="1:13" x14ac:dyDescent="0.2">
      <c r="A81" s="288" t="s">
        <v>12</v>
      </c>
      <c r="B81" s="311"/>
      <c r="C81" s="311"/>
      <c r="D81" s="166"/>
      <c r="E81" s="23"/>
      <c r="F81" s="311" t="s">
        <v>414</v>
      </c>
      <c r="G81" s="311" t="s">
        <v>414</v>
      </c>
      <c r="H81" s="166"/>
      <c r="I81" s="23"/>
      <c r="J81" s="311"/>
      <c r="K81" s="311"/>
      <c r="L81" s="166"/>
      <c r="M81" s="23"/>
    </row>
    <row r="82" spans="1:13" x14ac:dyDescent="0.2">
      <c r="A82" s="288" t="s">
        <v>13</v>
      </c>
      <c r="B82" s="311"/>
      <c r="C82" s="311"/>
      <c r="D82" s="166"/>
      <c r="E82" s="23"/>
      <c r="F82" s="311" t="s">
        <v>414</v>
      </c>
      <c r="G82" s="311" t="s">
        <v>414</v>
      </c>
      <c r="H82" s="166"/>
      <c r="I82" s="23"/>
      <c r="J82" s="311"/>
      <c r="K82" s="311"/>
      <c r="L82" s="166"/>
      <c r="M82" s="23"/>
    </row>
    <row r="83" spans="1:13" ht="15.75" x14ac:dyDescent="0.2">
      <c r="A83" s="288" t="s">
        <v>387</v>
      </c>
      <c r="B83" s="311"/>
      <c r="C83" s="311"/>
      <c r="D83" s="166"/>
      <c r="E83" s="23"/>
      <c r="F83" s="311" t="s">
        <v>414</v>
      </c>
      <c r="G83" s="311" t="s">
        <v>414</v>
      </c>
      <c r="H83" s="166"/>
      <c r="I83" s="23"/>
      <c r="J83" s="311"/>
      <c r="K83" s="311"/>
      <c r="L83" s="166"/>
      <c r="M83" s="23"/>
    </row>
    <row r="84" spans="1:13" x14ac:dyDescent="0.2">
      <c r="A84" s="288" t="s">
        <v>12</v>
      </c>
      <c r="B84" s="311"/>
      <c r="C84" s="311"/>
      <c r="D84" s="166"/>
      <c r="E84" s="23"/>
      <c r="F84" s="311" t="s">
        <v>414</v>
      </c>
      <c r="G84" s="311" t="s">
        <v>414</v>
      </c>
      <c r="H84" s="166"/>
      <c r="I84" s="23"/>
      <c r="J84" s="311"/>
      <c r="K84" s="311"/>
      <c r="L84" s="166"/>
      <c r="M84" s="23"/>
    </row>
    <row r="85" spans="1:13" x14ac:dyDescent="0.2">
      <c r="A85" s="288" t="s">
        <v>13</v>
      </c>
      <c r="B85" s="311"/>
      <c r="C85" s="311"/>
      <c r="D85" s="166"/>
      <c r="E85" s="23"/>
      <c r="F85" s="311" t="s">
        <v>414</v>
      </c>
      <c r="G85" s="311" t="s">
        <v>414</v>
      </c>
      <c r="H85" s="166"/>
      <c r="I85" s="23"/>
      <c r="J85" s="311"/>
      <c r="K85" s="311"/>
      <c r="L85" s="166"/>
      <c r="M85" s="23"/>
    </row>
    <row r="86" spans="1:13" ht="15.75" x14ac:dyDescent="0.2">
      <c r="A86" s="21" t="s">
        <v>389</v>
      </c>
      <c r="B86" s="230"/>
      <c r="C86" s="145"/>
      <c r="D86" s="166"/>
      <c r="E86" s="27"/>
      <c r="F86" s="230">
        <v>22</v>
      </c>
      <c r="G86" s="145">
        <v>0.78895999999999999</v>
      </c>
      <c r="H86" s="166">
        <f t="shared" si="12"/>
        <v>-96.4</v>
      </c>
      <c r="I86" s="27">
        <f>IFERROR(100/'Skjema total MA'!F86*G86,0)</f>
        <v>2.2679130637311626E-2</v>
      </c>
      <c r="J86" s="283">
        <f t="shared" si="13"/>
        <v>22</v>
      </c>
      <c r="K86" s="44">
        <f t="shared" si="13"/>
        <v>0.78895999999999999</v>
      </c>
      <c r="L86" s="250">
        <f t="shared" si="14"/>
        <v>-96.4</v>
      </c>
      <c r="M86" s="27">
        <f>IFERROR(100/'Skjema total MA'!I86*K86,0)</f>
        <v>1.2805259851245169E-3</v>
      </c>
    </row>
    <row r="87" spans="1:13" ht="15.75" x14ac:dyDescent="0.2">
      <c r="A87" s="13" t="s">
        <v>371</v>
      </c>
      <c r="B87" s="345"/>
      <c r="C87" s="345"/>
      <c r="D87" s="171"/>
      <c r="E87" s="11"/>
      <c r="F87" s="344">
        <v>402077</v>
      </c>
      <c r="G87" s="344">
        <v>543069.67675999994</v>
      </c>
      <c r="H87" s="171">
        <f t="shared" si="12"/>
        <v>35.1</v>
      </c>
      <c r="I87" s="11">
        <f>IFERROR(100/'Skjema total MA'!F87*G87,0)</f>
        <v>0.20066762579028463</v>
      </c>
      <c r="J87" s="301">
        <f t="shared" ref="J87:K111" si="15">SUM(B87,F87)</f>
        <v>402077</v>
      </c>
      <c r="K87" s="232">
        <f t="shared" si="15"/>
        <v>543069.67675999994</v>
      </c>
      <c r="L87" s="366">
        <f t="shared" si="14"/>
        <v>35.1</v>
      </c>
      <c r="M87" s="11">
        <f>IFERROR(100/'Skjema total MA'!I87*K87,0)</f>
        <v>8.2393663006186613E-2</v>
      </c>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v>402077</v>
      </c>
      <c r="G89" s="145">
        <v>543069.67675999994</v>
      </c>
      <c r="H89" s="166">
        <f t="shared" si="12"/>
        <v>35.1</v>
      </c>
      <c r="I89" s="27">
        <f>IFERROR(100/'Skjema total MA'!F89*G89,0)</f>
        <v>0.20155423876370837</v>
      </c>
      <c r="J89" s="283">
        <f t="shared" si="15"/>
        <v>402077</v>
      </c>
      <c r="K89" s="44">
        <f t="shared" si="15"/>
        <v>543069.67675999994</v>
      </c>
      <c r="L89" s="250">
        <f t="shared" si="14"/>
        <v>35.1</v>
      </c>
      <c r="M89" s="27">
        <f>IFERROR(100/'Skjema total MA'!I89*K89,0)</f>
        <v>0.19948744153556605</v>
      </c>
    </row>
    <row r="90" spans="1:13" ht="15.75" x14ac:dyDescent="0.2">
      <c r="A90" s="288" t="s">
        <v>386</v>
      </c>
      <c r="B90" s="311"/>
      <c r="C90" s="311"/>
      <c r="D90" s="166"/>
      <c r="E90" s="23"/>
      <c r="F90" s="311" t="s">
        <v>414</v>
      </c>
      <c r="G90" s="311" t="s">
        <v>414</v>
      </c>
      <c r="H90" s="166"/>
      <c r="I90" s="23"/>
      <c r="J90" s="311"/>
      <c r="K90" s="311"/>
      <c r="L90" s="166"/>
      <c r="M90" s="23"/>
    </row>
    <row r="91" spans="1:13" x14ac:dyDescent="0.2">
      <c r="A91" s="288" t="s">
        <v>12</v>
      </c>
      <c r="B91" s="311"/>
      <c r="C91" s="311"/>
      <c r="D91" s="166"/>
      <c r="E91" s="23"/>
      <c r="F91" s="311" t="s">
        <v>414</v>
      </c>
      <c r="G91" s="311" t="s">
        <v>414</v>
      </c>
      <c r="H91" s="166"/>
      <c r="I91" s="23"/>
      <c r="J91" s="311"/>
      <c r="K91" s="311"/>
      <c r="L91" s="166"/>
      <c r="M91" s="23"/>
    </row>
    <row r="92" spans="1:13" x14ac:dyDescent="0.2">
      <c r="A92" s="288" t="s">
        <v>13</v>
      </c>
      <c r="B92" s="311"/>
      <c r="C92" s="311"/>
      <c r="D92" s="166"/>
      <c r="E92" s="23"/>
      <c r="F92" s="311" t="s">
        <v>414</v>
      </c>
      <c r="G92" s="311" t="s">
        <v>414</v>
      </c>
      <c r="H92" s="166"/>
      <c r="I92" s="23"/>
      <c r="J92" s="311"/>
      <c r="K92" s="311"/>
      <c r="L92" s="166"/>
      <c r="M92" s="23"/>
    </row>
    <row r="93" spans="1:13" ht="15.75" x14ac:dyDescent="0.2">
      <c r="A93" s="288" t="s">
        <v>387</v>
      </c>
      <c r="B93" s="311"/>
      <c r="C93" s="311"/>
      <c r="D93" s="166"/>
      <c r="E93" s="23"/>
      <c r="F93" s="311" t="s">
        <v>414</v>
      </c>
      <c r="G93" s="311" t="s">
        <v>414</v>
      </c>
      <c r="H93" s="166"/>
      <c r="I93" s="23"/>
      <c r="J93" s="311"/>
      <c r="K93" s="311"/>
      <c r="L93" s="166"/>
      <c r="M93" s="23"/>
    </row>
    <row r="94" spans="1:13" x14ac:dyDescent="0.2">
      <c r="A94" s="288" t="s">
        <v>12</v>
      </c>
      <c r="B94" s="311"/>
      <c r="C94" s="311"/>
      <c r="D94" s="166"/>
      <c r="E94" s="23"/>
      <c r="F94" s="311" t="s">
        <v>414</v>
      </c>
      <c r="G94" s="311" t="s">
        <v>414</v>
      </c>
      <c r="H94" s="166"/>
      <c r="I94" s="23"/>
      <c r="J94" s="311"/>
      <c r="K94" s="311"/>
      <c r="L94" s="166"/>
      <c r="M94" s="23"/>
    </row>
    <row r="95" spans="1:13" x14ac:dyDescent="0.2">
      <c r="A95" s="288" t="s">
        <v>13</v>
      </c>
      <c r="B95" s="311"/>
      <c r="C95" s="311"/>
      <c r="D95" s="166"/>
      <c r="E95" s="23"/>
      <c r="F95" s="311" t="s">
        <v>414</v>
      </c>
      <c r="G95" s="311" t="s">
        <v>414</v>
      </c>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t="s">
        <v>414</v>
      </c>
      <c r="G101" s="311" t="s">
        <v>414</v>
      </c>
      <c r="H101" s="166"/>
      <c r="I101" s="23"/>
      <c r="J101" s="311"/>
      <c r="K101" s="311"/>
      <c r="L101" s="166"/>
      <c r="M101" s="23"/>
    </row>
    <row r="102" spans="1:13" x14ac:dyDescent="0.2">
      <c r="A102" s="288" t="s">
        <v>12</v>
      </c>
      <c r="B102" s="311"/>
      <c r="C102" s="311"/>
      <c r="D102" s="166"/>
      <c r="E102" s="23"/>
      <c r="F102" s="311" t="s">
        <v>414</v>
      </c>
      <c r="G102" s="311" t="s">
        <v>414</v>
      </c>
      <c r="H102" s="166"/>
      <c r="I102" s="23"/>
      <c r="J102" s="311"/>
      <c r="K102" s="311"/>
      <c r="L102" s="166"/>
      <c r="M102" s="23"/>
    </row>
    <row r="103" spans="1:13" x14ac:dyDescent="0.2">
      <c r="A103" s="288" t="s">
        <v>13</v>
      </c>
      <c r="B103" s="311"/>
      <c r="C103" s="311"/>
      <c r="D103" s="166"/>
      <c r="E103" s="23"/>
      <c r="F103" s="311" t="s">
        <v>414</v>
      </c>
      <c r="G103" s="311" t="s">
        <v>414</v>
      </c>
      <c r="H103" s="166"/>
      <c r="I103" s="23"/>
      <c r="J103" s="311"/>
      <c r="K103" s="311"/>
      <c r="L103" s="166"/>
      <c r="M103" s="23"/>
    </row>
    <row r="104" spans="1:13" ht="15.75" x14ac:dyDescent="0.2">
      <c r="A104" s="288" t="s">
        <v>387</v>
      </c>
      <c r="B104" s="311"/>
      <c r="C104" s="311"/>
      <c r="D104" s="166"/>
      <c r="E104" s="23"/>
      <c r="F104" s="311" t="s">
        <v>414</v>
      </c>
      <c r="G104" s="311" t="s">
        <v>414</v>
      </c>
      <c r="H104" s="166"/>
      <c r="I104" s="23"/>
      <c r="J104" s="311"/>
      <c r="K104" s="311"/>
      <c r="L104" s="166"/>
      <c r="M104" s="23"/>
    </row>
    <row r="105" spans="1:13" x14ac:dyDescent="0.2">
      <c r="A105" s="288" t="s">
        <v>12</v>
      </c>
      <c r="B105" s="311"/>
      <c r="C105" s="311"/>
      <c r="D105" s="166"/>
      <c r="E105" s="23"/>
      <c r="F105" s="311" t="s">
        <v>414</v>
      </c>
      <c r="G105" s="311" t="s">
        <v>414</v>
      </c>
      <c r="H105" s="166"/>
      <c r="I105" s="23"/>
      <c r="J105" s="311"/>
      <c r="K105" s="311"/>
      <c r="L105" s="166"/>
      <c r="M105" s="23"/>
    </row>
    <row r="106" spans="1:13" x14ac:dyDescent="0.2">
      <c r="A106" s="288" t="s">
        <v>13</v>
      </c>
      <c r="B106" s="311"/>
      <c r="C106" s="311"/>
      <c r="D106" s="166"/>
      <c r="E106" s="23"/>
      <c r="F106" s="311" t="s">
        <v>414</v>
      </c>
      <c r="G106" s="311" t="s">
        <v>414</v>
      </c>
      <c r="H106" s="166"/>
      <c r="I106" s="23"/>
      <c r="J106" s="311"/>
      <c r="K106" s="311"/>
      <c r="L106" s="166"/>
      <c r="M106" s="23"/>
    </row>
    <row r="107" spans="1:13" ht="15.75" x14ac:dyDescent="0.2">
      <c r="A107" s="21" t="s">
        <v>389</v>
      </c>
      <c r="B107" s="230"/>
      <c r="C107" s="145"/>
      <c r="D107" s="166"/>
      <c r="E107" s="27"/>
      <c r="F107" s="230">
        <v>402077</v>
      </c>
      <c r="G107" s="145">
        <v>543069.67675999994</v>
      </c>
      <c r="H107" s="166">
        <f t="shared" si="12"/>
        <v>35.1</v>
      </c>
      <c r="I107" s="27">
        <f>IFERROR(100/'Skjema total MA'!F107*G107,0)</f>
        <v>72.780516600725377</v>
      </c>
      <c r="J107" s="283">
        <f t="shared" si="15"/>
        <v>402077</v>
      </c>
      <c r="K107" s="44">
        <f t="shared" si="15"/>
        <v>543069.67675999994</v>
      </c>
      <c r="L107" s="250">
        <f t="shared" si="14"/>
        <v>35.1</v>
      </c>
      <c r="M107" s="27">
        <f>IFERROR(100/'Skjema total MA'!I107*K107,0)</f>
        <v>9.853011061445585</v>
      </c>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v>232905</v>
      </c>
      <c r="G109" s="230">
        <v>376298.41360999999</v>
      </c>
      <c r="H109" s="166">
        <f t="shared" si="12"/>
        <v>61.6</v>
      </c>
      <c r="I109" s="27">
        <f>IFERROR(100/'Skjema total MA'!F109*G109,0)</f>
        <v>0.42216909605381864</v>
      </c>
      <c r="J109" s="283">
        <f t="shared" si="15"/>
        <v>232905</v>
      </c>
      <c r="K109" s="44">
        <f t="shared" si="15"/>
        <v>376298.41360999999</v>
      </c>
      <c r="L109" s="250">
        <f t="shared" si="14"/>
        <v>61.6</v>
      </c>
      <c r="M109" s="27">
        <f>IFERROR(100/'Skjema total MA'!I109*K109,0)</f>
        <v>0.41732793276589014</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v>35288</v>
      </c>
      <c r="G111" s="159">
        <v>21960.983</v>
      </c>
      <c r="H111" s="171">
        <f t="shared" si="12"/>
        <v>-37.799999999999997</v>
      </c>
      <c r="I111" s="11">
        <f>IFERROR(100/'Skjema total MA'!F111*G111,0)</f>
        <v>0.51372421071622765</v>
      </c>
      <c r="J111" s="301">
        <f t="shared" si="15"/>
        <v>35288</v>
      </c>
      <c r="K111" s="232">
        <f t="shared" si="15"/>
        <v>21960.983</v>
      </c>
      <c r="L111" s="366">
        <f t="shared" si="14"/>
        <v>-37.799999999999997</v>
      </c>
      <c r="M111" s="11">
        <f>IFERROR(100/'Skjema total MA'!I111*K111,0)</f>
        <v>0.4877335905985733</v>
      </c>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v>35288</v>
      </c>
      <c r="G113" s="145">
        <v>21960.983</v>
      </c>
      <c r="H113" s="166">
        <f t="shared" ref="H113:H125" si="16">IF(F113=0, "    ---- ", IF(ABS(ROUND(100/F113*G113-100,1))&lt;999,ROUND(100/F113*G113-100,1),IF(ROUND(100/F113*G113-100,1)&gt;999,999,-999)))</f>
        <v>-37.799999999999997</v>
      </c>
      <c r="I113" s="27">
        <f>IFERROR(100/'Skjema total MA'!F113*G113,0)</f>
        <v>0.51710614633814667</v>
      </c>
      <c r="J113" s="283">
        <f t="shared" ref="J113:K125" si="17">SUM(B113,F113)</f>
        <v>35288</v>
      </c>
      <c r="K113" s="44">
        <f t="shared" si="17"/>
        <v>21960.983</v>
      </c>
      <c r="L113" s="250">
        <f t="shared" ref="L113:L125" si="18">IF(J113=0, "    ---- ", IF(ABS(ROUND(100/J113*K113-100,1))&lt;999,ROUND(100/J113*K113-100,1),IF(ROUND(100/J113*K113-100,1)&gt;999,999,-999)))</f>
        <v>-37.799999999999997</v>
      </c>
      <c r="M113" s="27">
        <f>IFERROR(100/'Skjema total MA'!I113*K113,0)</f>
        <v>0.51707354412922391</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v>35288</v>
      </c>
      <c r="G117" s="230">
        <v>21960.983</v>
      </c>
      <c r="H117" s="166">
        <f t="shared" si="16"/>
        <v>-37.799999999999997</v>
      </c>
      <c r="I117" s="27">
        <f>IFERROR(100/'Skjema total MA'!F117*G117,0)</f>
        <v>4.0337220156995599</v>
      </c>
      <c r="J117" s="283">
        <f t="shared" si="17"/>
        <v>35288</v>
      </c>
      <c r="K117" s="44">
        <f t="shared" si="17"/>
        <v>21960.983</v>
      </c>
      <c r="L117" s="250">
        <f t="shared" si="18"/>
        <v>-37.799999999999997</v>
      </c>
      <c r="M117" s="27">
        <f>IFERROR(100/'Skjema total MA'!I117*K117,0)</f>
        <v>4.0337220156995599</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v>0</v>
      </c>
      <c r="G119" s="159">
        <v>2712.7031099999999</v>
      </c>
      <c r="H119" s="171" t="str">
        <f t="shared" si="16"/>
        <v xml:space="preserve">    ---- </v>
      </c>
      <c r="I119" s="11">
        <f>IFERROR(100/'Skjema total MA'!F119*G119,0)</f>
        <v>6.2088572318186014E-2</v>
      </c>
      <c r="J119" s="301">
        <f t="shared" si="17"/>
        <v>0</v>
      </c>
      <c r="K119" s="232">
        <f t="shared" si="17"/>
        <v>2712.7031099999999</v>
      </c>
      <c r="L119" s="366" t="str">
        <f t="shared" si="18"/>
        <v xml:space="preserve">    ---- </v>
      </c>
      <c r="M119" s="11">
        <f>IFERROR(100/'Skjema total MA'!I119*K119,0)</f>
        <v>5.9552310522363934E-2</v>
      </c>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v>0</v>
      </c>
      <c r="G121" s="145">
        <v>2712.7031099999999</v>
      </c>
      <c r="H121" s="166" t="str">
        <f t="shared" si="16"/>
        <v xml:space="preserve">    ---- </v>
      </c>
      <c r="I121" s="27">
        <f>IFERROR(100/'Skjema total MA'!F121*G121,0)</f>
        <v>6.2088572318186014E-2</v>
      </c>
      <c r="J121" s="283">
        <f t="shared" si="17"/>
        <v>0</v>
      </c>
      <c r="K121" s="44">
        <f t="shared" si="17"/>
        <v>2712.7031099999999</v>
      </c>
      <c r="L121" s="250" t="str">
        <f t="shared" si="18"/>
        <v xml:space="preserve">    ---- </v>
      </c>
      <c r="M121" s="27">
        <f>IFERROR(100/'Skjema total MA'!I121*K121,0)</f>
        <v>6.1954712988334666E-2</v>
      </c>
    </row>
    <row r="122" spans="1:14" x14ac:dyDescent="0.2">
      <c r="A122" s="21" t="s">
        <v>26</v>
      </c>
      <c r="B122" s="230"/>
      <c r="C122" s="145"/>
      <c r="D122" s="166"/>
      <c r="E122" s="27"/>
      <c r="F122" s="230">
        <v>0</v>
      </c>
      <c r="G122" s="145">
        <v>0</v>
      </c>
      <c r="H122" s="166" t="str">
        <f t="shared" si="16"/>
        <v xml:space="preserve">    ---- </v>
      </c>
      <c r="I122" s="27">
        <f>IFERROR(100/'Skjema total MA'!F122*G122,0)</f>
        <v>0</v>
      </c>
      <c r="J122" s="283">
        <f t="shared" si="17"/>
        <v>0</v>
      </c>
      <c r="K122" s="44">
        <f t="shared" si="17"/>
        <v>0</v>
      </c>
      <c r="L122" s="250" t="str">
        <f t="shared" si="18"/>
        <v xml:space="preserve">    ---- </v>
      </c>
      <c r="M122" s="27">
        <f>IFERROR(100/'Skjema total MA'!I122*K122,0)</f>
        <v>0</v>
      </c>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v>0</v>
      </c>
      <c r="G125" s="230">
        <v>2712.7031099999999</v>
      </c>
      <c r="H125" s="166" t="str">
        <f t="shared" si="16"/>
        <v xml:space="preserve">    ---- </v>
      </c>
      <c r="I125" s="27">
        <f>IFERROR(100/'Skjema total MA'!F125*G125,0)</f>
        <v>0.54525961421383462</v>
      </c>
      <c r="J125" s="283">
        <f t="shared" si="17"/>
        <v>0</v>
      </c>
      <c r="K125" s="44">
        <f t="shared" si="17"/>
        <v>2712.7031099999999</v>
      </c>
      <c r="L125" s="250" t="str">
        <f t="shared" si="18"/>
        <v xml:space="preserve">    ---- </v>
      </c>
      <c r="M125" s="27">
        <f>IFERROR(100/'Skjema total MA'!I125*K125,0)</f>
        <v>0.54512856859370296</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56" priority="12">
      <formula>kvartal &lt; 4</formula>
    </cfRule>
  </conditionalFormatting>
  <conditionalFormatting sqref="A69:A74">
    <cfRule type="expression" dxfId="55" priority="10">
      <formula>kvartal &lt; 4</formula>
    </cfRule>
  </conditionalFormatting>
  <conditionalFormatting sqref="A80:A85">
    <cfRule type="expression" dxfId="54" priority="9">
      <formula>kvartal &lt; 4</formula>
    </cfRule>
  </conditionalFormatting>
  <conditionalFormatting sqref="A90:A95">
    <cfRule type="expression" dxfId="53" priority="6">
      <formula>kvartal &lt; 4</formula>
    </cfRule>
  </conditionalFormatting>
  <conditionalFormatting sqref="A101:A106">
    <cfRule type="expression" dxfId="52" priority="5">
      <formula>kvartal &lt; 4</formula>
    </cfRule>
  </conditionalFormatting>
  <conditionalFormatting sqref="A115">
    <cfRule type="expression" dxfId="51" priority="4">
      <formula>kvartal &lt; 4</formula>
    </cfRule>
  </conditionalFormatting>
  <conditionalFormatting sqref="A123">
    <cfRule type="expression" dxfId="50" priority="3">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139</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210256.47693999999</v>
      </c>
      <c r="C7" s="299">
        <v>219573.86207</v>
      </c>
      <c r="D7" s="342">
        <f>IF(B7=0, "    ---- ", IF(ABS(ROUND(100/B7*C7-100,1))&lt;999,ROUND(100/B7*C7-100,1),IF(ROUND(100/B7*C7-100,1)&gt;999,999,-999)))</f>
        <v>4.4000000000000004</v>
      </c>
      <c r="E7" s="11">
        <f>IFERROR(100/'Skjema total MA'!C7*C7,0)</f>
        <v>13.74249557299202</v>
      </c>
      <c r="F7" s="298">
        <v>97638.664099999995</v>
      </c>
      <c r="G7" s="299">
        <v>96737.091490000006</v>
      </c>
      <c r="H7" s="342">
        <f>IF(F7=0, "    ---- ", IF(ABS(ROUND(100/F7*G7-100,1))&lt;999,ROUND(100/F7*G7-100,1),IF(ROUND(100/F7*G7-100,1)&gt;999,999,-999)))</f>
        <v>-0.9</v>
      </c>
      <c r="I7" s="160">
        <f>IFERROR(100/'Skjema total MA'!F7*G7,0)</f>
        <v>3.5956269046720957</v>
      </c>
      <c r="J7" s="300">
        <f t="shared" ref="J7:K12" si="0">SUM(B7,F7)</f>
        <v>307895.14104000002</v>
      </c>
      <c r="K7" s="301">
        <f t="shared" si="0"/>
        <v>316310.95355999999</v>
      </c>
      <c r="L7" s="365">
        <f>IF(J7=0, "    ---- ", IF(ABS(ROUND(100/J7*K7-100,1))&lt;999,ROUND(100/J7*K7-100,1),IF(ROUND(100/J7*K7-100,1)&gt;999,999,-999)))</f>
        <v>2.7</v>
      </c>
      <c r="M7" s="11">
        <f>IFERROR(100/'Skjema total MA'!I7*K7,0)</f>
        <v>7.3763408555088432</v>
      </c>
    </row>
    <row r="8" spans="1:14" ht="15.75" x14ac:dyDescent="0.2">
      <c r="A8" s="21" t="s">
        <v>25</v>
      </c>
      <c r="B8" s="277">
        <v>187079.644905347</v>
      </c>
      <c r="C8" s="278">
        <v>196505.597617661</v>
      </c>
      <c r="D8" s="166">
        <f t="shared" ref="D8:D10" si="1">IF(B8=0, "    ---- ", IF(ABS(ROUND(100/B8*C8-100,1))&lt;999,ROUND(100/B8*C8-100,1),IF(ROUND(100/B8*C8-100,1)&gt;999,999,-999)))</f>
        <v>5</v>
      </c>
      <c r="E8" s="27">
        <f>IFERROR(100/'Skjema total MA'!C8*C8,0)</f>
        <v>19.974035237263802</v>
      </c>
      <c r="F8" s="281"/>
      <c r="G8" s="282"/>
      <c r="H8" s="166"/>
      <c r="I8" s="175"/>
      <c r="J8" s="230">
        <f t="shared" si="0"/>
        <v>187079.644905347</v>
      </c>
      <c r="K8" s="283">
        <f t="shared" si="0"/>
        <v>196505.597617661</v>
      </c>
      <c r="L8" s="166">
        <f t="shared" ref="L8:L9" si="2">IF(J8=0, "    ---- ", IF(ABS(ROUND(100/J8*K8-100,1))&lt;999,ROUND(100/J8*K8-100,1),IF(ROUND(100/J8*K8-100,1)&gt;999,999,-999)))</f>
        <v>5</v>
      </c>
      <c r="M8" s="27">
        <f>IFERROR(100/'Skjema total MA'!I8*K8,0)</f>
        <v>19.974035237263802</v>
      </c>
    </row>
    <row r="9" spans="1:14" ht="15.75" x14ac:dyDescent="0.2">
      <c r="A9" s="21" t="s">
        <v>24</v>
      </c>
      <c r="B9" s="277">
        <v>22718.566974351899</v>
      </c>
      <c r="C9" s="278">
        <v>23033.225723215899</v>
      </c>
      <c r="D9" s="166">
        <f t="shared" si="1"/>
        <v>1.4</v>
      </c>
      <c r="E9" s="27">
        <f>IFERROR(100/'Skjema total MA'!C9*C9,0)</f>
        <v>6.2564406224843054</v>
      </c>
      <c r="F9" s="281"/>
      <c r="G9" s="282"/>
      <c r="H9" s="166"/>
      <c r="I9" s="175"/>
      <c r="J9" s="230">
        <f t="shared" si="0"/>
        <v>22718.566974351899</v>
      </c>
      <c r="K9" s="283">
        <f t="shared" si="0"/>
        <v>23033.225723215899</v>
      </c>
      <c r="L9" s="166">
        <f t="shared" si="2"/>
        <v>1.4</v>
      </c>
      <c r="M9" s="27">
        <f>IFERROR(100/'Skjema total MA'!I9*K9,0)</f>
        <v>6.2564406224843054</v>
      </c>
    </row>
    <row r="10" spans="1:14" ht="15.75" x14ac:dyDescent="0.2">
      <c r="A10" s="13" t="s">
        <v>371</v>
      </c>
      <c r="B10" s="302">
        <v>893720.80053000001</v>
      </c>
      <c r="C10" s="303">
        <v>843833.30564000004</v>
      </c>
      <c r="D10" s="171">
        <f t="shared" si="1"/>
        <v>-5.6</v>
      </c>
      <c r="E10" s="11">
        <f>IFERROR(100/'Skjema total MA'!C10*C10,0)</f>
        <v>4.1682698920780972</v>
      </c>
      <c r="F10" s="302">
        <v>2152220.2123799999</v>
      </c>
      <c r="G10" s="303">
        <v>2365547.4828400002</v>
      </c>
      <c r="H10" s="171">
        <f t="shared" ref="H10:H12" si="3">IF(F10=0, "    ---- ", IF(ABS(ROUND(100/F10*G10-100,1))&lt;999,ROUND(100/F10*G10-100,1),IF(ROUND(100/F10*G10-100,1)&gt;999,999,-999)))</f>
        <v>9.9</v>
      </c>
      <c r="I10" s="160">
        <f>IFERROR(100/'Skjema total MA'!F10*G10,0)</f>
        <v>5.2784243846734649</v>
      </c>
      <c r="J10" s="300">
        <f t="shared" si="0"/>
        <v>3045941.01291</v>
      </c>
      <c r="K10" s="301">
        <f t="shared" si="0"/>
        <v>3209380.7884800001</v>
      </c>
      <c r="L10" s="366">
        <f t="shared" ref="L10:L12" si="4">IF(J10=0, "    ---- ", IF(ABS(ROUND(100/J10*K10-100,1))&lt;999,ROUND(100/J10*K10-100,1),IF(ROUND(100/J10*K10-100,1)&gt;999,999,-999)))</f>
        <v>5.4</v>
      </c>
      <c r="M10" s="11">
        <f>IFERROR(100/'Skjema total MA'!I10*K10,0)</f>
        <v>4.9329842960245038</v>
      </c>
    </row>
    <row r="11" spans="1:14" s="43" customFormat="1" ht="15.75" x14ac:dyDescent="0.2">
      <c r="A11" s="13" t="s">
        <v>372</v>
      </c>
      <c r="B11" s="302"/>
      <c r="C11" s="303"/>
      <c r="D11" s="171"/>
      <c r="E11" s="11"/>
      <c r="F11" s="302">
        <v>9323.3037100000001</v>
      </c>
      <c r="G11" s="303">
        <v>11858.34188</v>
      </c>
      <c r="H11" s="171">
        <f t="shared" si="3"/>
        <v>27.2</v>
      </c>
      <c r="I11" s="160">
        <f>IFERROR(100/'Skjema total MA'!F11*G11,0)</f>
        <v>12.773022725039411</v>
      </c>
      <c r="J11" s="300">
        <f t="shared" si="0"/>
        <v>9323.3037100000001</v>
      </c>
      <c r="K11" s="301">
        <f t="shared" si="0"/>
        <v>11858.34188</v>
      </c>
      <c r="L11" s="366">
        <f t="shared" si="4"/>
        <v>27.2</v>
      </c>
      <c r="M11" s="11">
        <f>IFERROR(100/'Skjema total MA'!I11*K11,0)</f>
        <v>12.07927627618583</v>
      </c>
      <c r="N11" s="143"/>
    </row>
    <row r="12" spans="1:14" s="43" customFormat="1" ht="15.75" x14ac:dyDescent="0.2">
      <c r="A12" s="41" t="s">
        <v>373</v>
      </c>
      <c r="B12" s="304"/>
      <c r="C12" s="305"/>
      <c r="D12" s="169"/>
      <c r="E12" s="36"/>
      <c r="F12" s="304">
        <v>338.26423</v>
      </c>
      <c r="G12" s="305">
        <v>13162.623729999999</v>
      </c>
      <c r="H12" s="169">
        <f t="shared" si="3"/>
        <v>999</v>
      </c>
      <c r="I12" s="169">
        <f>IFERROR(100/'Skjema total MA'!F12*G12,0)</f>
        <v>31.484374082349746</v>
      </c>
      <c r="J12" s="306">
        <f t="shared" si="0"/>
        <v>338.26423</v>
      </c>
      <c r="K12" s="307">
        <f t="shared" si="0"/>
        <v>13162.623729999999</v>
      </c>
      <c r="L12" s="367">
        <f t="shared" si="4"/>
        <v>999</v>
      </c>
      <c r="M12" s="36">
        <f>IFERROR(100/'Skjema total MA'!I12*K12,0)</f>
        <v>30.010647515769129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133195.98506000001</v>
      </c>
      <c r="C22" s="302">
        <v>205972.27897000001</v>
      </c>
      <c r="D22" s="342">
        <f t="shared" ref="D22:D35" si="5">IF(B22=0, "    ---- ", IF(ABS(ROUND(100/B22*C22-100,1))&lt;999,ROUND(100/B22*C22-100,1),IF(ROUND(100/B22*C22-100,1)&gt;999,999,-999)))</f>
        <v>54.6</v>
      </c>
      <c r="E22" s="11">
        <f>IFERROR(100/'Skjema total MA'!C22*C22,0)</f>
        <v>29.879334705579485</v>
      </c>
      <c r="F22" s="310">
        <v>36231.541239999999</v>
      </c>
      <c r="G22" s="310">
        <v>66307.549209999997</v>
      </c>
      <c r="H22" s="342">
        <f t="shared" ref="H22:H35" si="6">IF(F22=0, "    ---- ", IF(ABS(ROUND(100/F22*G22-100,1))&lt;999,ROUND(100/F22*G22-100,1),IF(ROUND(100/F22*G22-100,1)&gt;999,999,-999)))</f>
        <v>83</v>
      </c>
      <c r="I22" s="11">
        <f>IFERROR(100/'Skjema total MA'!F22*G22,0)</f>
        <v>21.445745461864174</v>
      </c>
      <c r="J22" s="308">
        <f t="shared" ref="J22:K35" si="7">SUM(B22,F22)</f>
        <v>169427.5263</v>
      </c>
      <c r="K22" s="308">
        <f t="shared" si="7"/>
        <v>272279.82818000001</v>
      </c>
      <c r="L22" s="365">
        <f t="shared" ref="L22:L35" si="8">IF(J22=0, "    ---- ", IF(ABS(ROUND(100/J22*K22-100,1))&lt;999,ROUND(100/J22*K22-100,1),IF(ROUND(100/J22*K22-100,1)&gt;999,999,-999)))</f>
        <v>60.7</v>
      </c>
      <c r="M22" s="24">
        <f>IFERROR(100/'Skjema total MA'!I22*K22,0)</f>
        <v>27.26794759059571</v>
      </c>
    </row>
    <row r="23" spans="1:14" ht="15.75" x14ac:dyDescent="0.2">
      <c r="A23" s="546" t="s">
        <v>374</v>
      </c>
      <c r="B23" s="277">
        <v>0</v>
      </c>
      <c r="C23" s="277">
        <v>204345.36081394501</v>
      </c>
      <c r="D23" s="166" t="str">
        <f t="shared" si="5"/>
        <v xml:space="preserve">    ---- </v>
      </c>
      <c r="E23" s="11">
        <f>IFERROR(100/'Skjema total MA'!C23*C23,0)</f>
        <v>38.861525316678794</v>
      </c>
      <c r="F23" s="285">
        <v>2357.3162200000002</v>
      </c>
      <c r="G23" s="285">
        <v>2098.6700500000002</v>
      </c>
      <c r="H23" s="166">
        <f t="shared" si="6"/>
        <v>-11</v>
      </c>
      <c r="I23" s="358">
        <f>IFERROR(100/'Skjema total MA'!F23*G23,0)</f>
        <v>6.8901652085878728</v>
      </c>
      <c r="J23" s="285">
        <f t="shared" ref="J23:J26" si="9">SUM(B23,F23)</f>
        <v>2357.3162200000002</v>
      </c>
      <c r="K23" s="285">
        <f t="shared" ref="K23:K26" si="10">SUM(C23,G23)</f>
        <v>206444.03086394499</v>
      </c>
      <c r="L23" s="166">
        <f t="shared" si="8"/>
        <v>999</v>
      </c>
      <c r="M23" s="23">
        <f>IFERROR(100/'Skjema total MA'!I23*K23,0)</f>
        <v>37.110970851924542</v>
      </c>
    </row>
    <row r="24" spans="1:14" ht="15.75" x14ac:dyDescent="0.2">
      <c r="A24" s="546" t="s">
        <v>375</v>
      </c>
      <c r="B24" s="277">
        <v>0</v>
      </c>
      <c r="C24" s="277">
        <v>1626.91815605477</v>
      </c>
      <c r="D24" s="166" t="str">
        <f t="shared" si="5"/>
        <v xml:space="preserve">    ---- </v>
      </c>
      <c r="E24" s="11">
        <f>IFERROR(100/'Skjema total MA'!C24*C24,0)</f>
        <v>16.352434821523495</v>
      </c>
      <c r="F24" s="285">
        <v>-49.148180000000004</v>
      </c>
      <c r="G24" s="285">
        <v>-1.09139364212751E-14</v>
      </c>
      <c r="H24" s="166">
        <f t="shared" si="6"/>
        <v>-100</v>
      </c>
      <c r="I24" s="358">
        <f>IFERROR(100/'Skjema total MA'!F24*G24,0)</f>
        <v>-3.118267548935744E-14</v>
      </c>
      <c r="J24" s="285">
        <f t="shared" si="9"/>
        <v>-49.148180000000004</v>
      </c>
      <c r="K24" s="285">
        <f t="shared" si="10"/>
        <v>1626.91815605477</v>
      </c>
      <c r="L24" s="166">
        <f t="shared" si="8"/>
        <v>-999</v>
      </c>
      <c r="M24" s="23">
        <f>IFERROR(100/'Skjema total MA'!I24*K24,0)</f>
        <v>16.29511008542266</v>
      </c>
    </row>
    <row r="25" spans="1:14" ht="15.75" x14ac:dyDescent="0.2">
      <c r="A25" s="546" t="s">
        <v>376</v>
      </c>
      <c r="B25" s="277"/>
      <c r="C25" s="277"/>
      <c r="D25" s="166"/>
      <c r="E25" s="11"/>
      <c r="F25" s="285">
        <v>2879.42409</v>
      </c>
      <c r="G25" s="285">
        <v>2337.5184300000001</v>
      </c>
      <c r="H25" s="166">
        <f t="shared" si="6"/>
        <v>-18.8</v>
      </c>
      <c r="I25" s="358">
        <f>IFERROR(100/'Skjema total MA'!F25*G25,0)</f>
        <v>35.799915889009668</v>
      </c>
      <c r="J25" s="285">
        <f t="shared" si="9"/>
        <v>2879.42409</v>
      </c>
      <c r="K25" s="285">
        <f t="shared" si="10"/>
        <v>2337.5184300000001</v>
      </c>
      <c r="L25" s="166">
        <f t="shared" si="8"/>
        <v>-18.8</v>
      </c>
      <c r="M25" s="23">
        <f>IFERROR(100/'Skjema total MA'!I25*K25,0)</f>
        <v>12.954262222446639</v>
      </c>
    </row>
    <row r="26" spans="1:14" ht="15.75" x14ac:dyDescent="0.2">
      <c r="A26" s="546" t="s">
        <v>377</v>
      </c>
      <c r="B26" s="277"/>
      <c r="C26" s="277"/>
      <c r="D26" s="166"/>
      <c r="E26" s="11"/>
      <c r="F26" s="285">
        <v>31043.949110000001</v>
      </c>
      <c r="G26" s="285">
        <v>61871.36073</v>
      </c>
      <c r="H26" s="166">
        <f t="shared" si="6"/>
        <v>99.3</v>
      </c>
      <c r="I26" s="358">
        <f>IFERROR(100/'Skjema total MA'!F26*G26,0)</f>
        <v>22.733043779686948</v>
      </c>
      <c r="J26" s="285">
        <f t="shared" si="9"/>
        <v>31043.949110000001</v>
      </c>
      <c r="K26" s="285">
        <f t="shared" si="10"/>
        <v>61871.36073</v>
      </c>
      <c r="L26" s="166">
        <f t="shared" si="8"/>
        <v>99.3</v>
      </c>
      <c r="M26" s="23">
        <f>IFERROR(100/'Skjema total MA'!I26*K26,0)</f>
        <v>22.733043779686948</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131978.693323844</v>
      </c>
      <c r="C28" s="283">
        <v>134981.11388116801</v>
      </c>
      <c r="D28" s="166">
        <f t="shared" si="5"/>
        <v>2.2999999999999998</v>
      </c>
      <c r="E28" s="11">
        <f>IFERROR(100/'Skjema total MA'!C28*C28,0)</f>
        <v>20.920860517655424</v>
      </c>
      <c r="F28" s="230"/>
      <c r="G28" s="283"/>
      <c r="H28" s="166"/>
      <c r="I28" s="27"/>
      <c r="J28" s="44">
        <f t="shared" si="7"/>
        <v>131978.693323844</v>
      </c>
      <c r="K28" s="44">
        <f t="shared" si="7"/>
        <v>134981.11388116801</v>
      </c>
      <c r="L28" s="250">
        <f t="shared" si="8"/>
        <v>2.2999999999999998</v>
      </c>
      <c r="M28" s="23">
        <f>IFERROR(100/'Skjema total MA'!I28*K28,0)</f>
        <v>20.920860517655424</v>
      </c>
    </row>
    <row r="29" spans="1:14" s="3" customFormat="1" ht="15.75" x14ac:dyDescent="0.2">
      <c r="A29" s="13" t="s">
        <v>371</v>
      </c>
      <c r="B29" s="232">
        <v>5158588.5549900001</v>
      </c>
      <c r="C29" s="232">
        <v>5384724.0111199999</v>
      </c>
      <c r="D29" s="171">
        <f t="shared" si="5"/>
        <v>4.4000000000000004</v>
      </c>
      <c r="E29" s="11">
        <f>IFERROR(100/'Skjema total MA'!C29*C29,0)</f>
        <v>11.235712810514366</v>
      </c>
      <c r="F29" s="300">
        <v>2132507.53327</v>
      </c>
      <c r="G29" s="300">
        <v>2327820.0949400002</v>
      </c>
      <c r="H29" s="171">
        <f t="shared" si="6"/>
        <v>9.1999999999999993</v>
      </c>
      <c r="I29" s="11">
        <f>IFERROR(100/'Skjema total MA'!F29*G29,0)</f>
        <v>11.46312364905725</v>
      </c>
      <c r="J29" s="232">
        <f t="shared" si="7"/>
        <v>7291096.0882600006</v>
      </c>
      <c r="K29" s="232">
        <f t="shared" si="7"/>
        <v>7712544.1060600001</v>
      </c>
      <c r="L29" s="366">
        <f t="shared" si="8"/>
        <v>5.8</v>
      </c>
      <c r="M29" s="24">
        <f>IFERROR(100/'Skjema total MA'!I29*K29,0)</f>
        <v>11.303394128252997</v>
      </c>
      <c r="N29" s="148"/>
    </row>
    <row r="30" spans="1:14" s="3" customFormat="1" ht="15.75" x14ac:dyDescent="0.2">
      <c r="A30" s="546" t="s">
        <v>374</v>
      </c>
      <c r="B30" s="277">
        <v>2959441.1315524401</v>
      </c>
      <c r="C30" s="277">
        <v>3089173.2400622698</v>
      </c>
      <c r="D30" s="166">
        <f t="shared" si="5"/>
        <v>4.4000000000000004</v>
      </c>
      <c r="E30" s="11">
        <f>IFERROR(100/'Skjema total MA'!C30*C30,0)</f>
        <v>26.827300983981981</v>
      </c>
      <c r="F30" s="285">
        <v>627349.11636999995</v>
      </c>
      <c r="G30" s="285">
        <v>598260.43426999997</v>
      </c>
      <c r="H30" s="166">
        <f t="shared" si="6"/>
        <v>-4.5999999999999996</v>
      </c>
      <c r="I30" s="358">
        <f>IFERROR(100/'Skjema total MA'!F30*G30,0)</f>
        <v>14.232264241942213</v>
      </c>
      <c r="J30" s="285">
        <f t="shared" ref="J30:J33" si="11">SUM(B30,F30)</f>
        <v>3586790.2479224401</v>
      </c>
      <c r="K30" s="285">
        <f t="shared" ref="K30:K33" si="12">SUM(C30,G30)</f>
        <v>3687433.6743322699</v>
      </c>
      <c r="L30" s="166">
        <f t="shared" si="8"/>
        <v>2.8</v>
      </c>
      <c r="M30" s="23">
        <f>IFERROR(100/'Skjema total MA'!I30*K30,0)</f>
        <v>23.459067088021889</v>
      </c>
      <c r="N30" s="148"/>
    </row>
    <row r="31" spans="1:14" s="3" customFormat="1" ht="15.75" x14ac:dyDescent="0.2">
      <c r="A31" s="546" t="s">
        <v>375</v>
      </c>
      <c r="B31" s="277">
        <v>2199147.42343756</v>
      </c>
      <c r="C31" s="277">
        <v>2295550.7710577301</v>
      </c>
      <c r="D31" s="166">
        <f t="shared" si="5"/>
        <v>4.4000000000000004</v>
      </c>
      <c r="E31" s="11">
        <f>IFERROR(100/'Skjema total MA'!C31*C31,0)</f>
        <v>6.8995483063004439</v>
      </c>
      <c r="F31" s="285">
        <v>968671.20525999996</v>
      </c>
      <c r="G31" s="285">
        <v>912223.78391999996</v>
      </c>
      <c r="H31" s="166">
        <f t="shared" si="6"/>
        <v>-5.8</v>
      </c>
      <c r="I31" s="358">
        <f>IFERROR(100/'Skjema total MA'!F31*G31,0)</f>
        <v>10.924193693283817</v>
      </c>
      <c r="J31" s="285">
        <f t="shared" si="11"/>
        <v>3167818.6286975602</v>
      </c>
      <c r="K31" s="285">
        <f t="shared" si="12"/>
        <v>3207774.5549777299</v>
      </c>
      <c r="L31" s="166">
        <f t="shared" si="8"/>
        <v>1.3</v>
      </c>
      <c r="M31" s="23">
        <f>IFERROR(100/'Skjema total MA'!I31*K31,0)</f>
        <v>7.7070095344531113</v>
      </c>
      <c r="N31" s="148"/>
    </row>
    <row r="32" spans="1:14" ht="15.75" x14ac:dyDescent="0.2">
      <c r="A32" s="546" t="s">
        <v>376</v>
      </c>
      <c r="B32" s="277"/>
      <c r="C32" s="277"/>
      <c r="D32" s="166"/>
      <c r="E32" s="11"/>
      <c r="F32" s="285">
        <v>347766.56375999999</v>
      </c>
      <c r="G32" s="285">
        <v>383950.13484999997</v>
      </c>
      <c r="H32" s="166">
        <f t="shared" si="6"/>
        <v>10.4</v>
      </c>
      <c r="I32" s="358">
        <f>IFERROR(100/'Skjema total MA'!F32*G32,0)</f>
        <v>9.2675579466082993</v>
      </c>
      <c r="J32" s="285">
        <f t="shared" si="11"/>
        <v>347766.56375999999</v>
      </c>
      <c r="K32" s="285">
        <f t="shared" si="12"/>
        <v>383950.13484999997</v>
      </c>
      <c r="L32" s="166">
        <f t="shared" si="8"/>
        <v>10.4</v>
      </c>
      <c r="M32" s="23">
        <f>IFERROR(100/'Skjema total MA'!I32*K32,0)</f>
        <v>7.0711629751761578</v>
      </c>
    </row>
    <row r="33" spans="1:14" ht="15.75" x14ac:dyDescent="0.2">
      <c r="A33" s="546" t="s">
        <v>377</v>
      </c>
      <c r="B33" s="277"/>
      <c r="C33" s="277"/>
      <c r="D33" s="166"/>
      <c r="E33" s="11"/>
      <c r="F33" s="285">
        <v>188720.64788</v>
      </c>
      <c r="G33" s="285">
        <v>433385.74190000002</v>
      </c>
      <c r="H33" s="166">
        <f t="shared" si="6"/>
        <v>129.6</v>
      </c>
      <c r="I33" s="358">
        <f>IFERROR(100/'Skjema total MA'!F34*G33,0)</f>
        <v>3231.8941995634063</v>
      </c>
      <c r="J33" s="285">
        <f t="shared" si="11"/>
        <v>188720.64788</v>
      </c>
      <c r="K33" s="285">
        <f t="shared" si="12"/>
        <v>433385.74190000002</v>
      </c>
      <c r="L33" s="166">
        <f t="shared" si="8"/>
        <v>129.6</v>
      </c>
      <c r="M33" s="23">
        <f>IFERROR(100/'Skjema total MA'!I34*K33,0)</f>
        <v>2233.958491050631</v>
      </c>
    </row>
    <row r="34" spans="1:14" ht="15.75" x14ac:dyDescent="0.2">
      <c r="A34" s="13" t="s">
        <v>372</v>
      </c>
      <c r="B34" s="232"/>
      <c r="C34" s="301"/>
      <c r="D34" s="171"/>
      <c r="E34" s="11"/>
      <c r="F34" s="300">
        <v>7994.7291100000002</v>
      </c>
      <c r="G34" s="301">
        <v>4020.0111299999999</v>
      </c>
      <c r="H34" s="171">
        <f t="shared" si="6"/>
        <v>-49.7</v>
      </c>
      <c r="I34" s="11">
        <f>IFERROR(100/'Skjema total MA'!F34*G34,0)</f>
        <v>29.978491208012983</v>
      </c>
      <c r="J34" s="232">
        <f t="shared" si="7"/>
        <v>7994.7291100000002</v>
      </c>
      <c r="K34" s="232">
        <f t="shared" si="7"/>
        <v>4020.0111299999999</v>
      </c>
      <c r="L34" s="366">
        <f t="shared" si="8"/>
        <v>-49.7</v>
      </c>
      <c r="M34" s="24">
        <f>IFERROR(100/'Skjema total MA'!I34*K34,0)</f>
        <v>20.721812301923222</v>
      </c>
    </row>
    <row r="35" spans="1:14" ht="15.75" x14ac:dyDescent="0.2">
      <c r="A35" s="13" t="s">
        <v>373</v>
      </c>
      <c r="B35" s="232">
        <v>170.93908999999999</v>
      </c>
      <c r="C35" s="301">
        <v>121.95998</v>
      </c>
      <c r="D35" s="171">
        <f t="shared" si="5"/>
        <v>-28.7</v>
      </c>
      <c r="E35" s="11">
        <f>IFERROR(100/'Skjema total MA'!C35*C35,0)</f>
        <v>-1.6208029976599541</v>
      </c>
      <c r="F35" s="300">
        <v>379.36718000000002</v>
      </c>
      <c r="G35" s="301">
        <v>1778.93929</v>
      </c>
      <c r="H35" s="171">
        <f t="shared" si="6"/>
        <v>368.9</v>
      </c>
      <c r="I35" s="11">
        <f>IFERROR(100/'Skjema total MA'!F35*G35,0)</f>
        <v>7.8964127395001906</v>
      </c>
      <c r="J35" s="232">
        <f t="shared" si="7"/>
        <v>550.30627000000004</v>
      </c>
      <c r="K35" s="232">
        <f t="shared" si="7"/>
        <v>1900.8992700000001</v>
      </c>
      <c r="L35" s="366">
        <f t="shared" si="8"/>
        <v>245.4</v>
      </c>
      <c r="M35" s="24">
        <f>IFERROR(100/'Skjema total MA'!I35*K35,0)</f>
        <v>12.669465175687835</v>
      </c>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238941.7916</v>
      </c>
      <c r="C47" s="303">
        <v>231838.67891000002</v>
      </c>
      <c r="D47" s="365">
        <f t="shared" ref="D47:D58" si="13">IF(B47=0, "    ---- ", IF(ABS(ROUND(100/B47*C47-100,1))&lt;999,ROUND(100/B47*C47-100,1),IF(ROUND(100/B47*C47-100,1)&gt;999,999,-999)))</f>
        <v>-3</v>
      </c>
      <c r="E47" s="11">
        <f>IFERROR(100/'Skjema total MA'!C47*C47,0)</f>
        <v>9.2646423553871351</v>
      </c>
      <c r="F47" s="145"/>
      <c r="G47" s="33"/>
      <c r="H47" s="159"/>
      <c r="I47" s="159"/>
      <c r="J47" s="37"/>
      <c r="K47" s="37"/>
      <c r="L47" s="159"/>
      <c r="M47" s="159"/>
      <c r="N47" s="148"/>
    </row>
    <row r="48" spans="1:14" s="3" customFormat="1" ht="15.75" x14ac:dyDescent="0.2">
      <c r="A48" s="38" t="s">
        <v>382</v>
      </c>
      <c r="B48" s="277">
        <v>70408.57458</v>
      </c>
      <c r="C48" s="278">
        <v>67972.137319999994</v>
      </c>
      <c r="D48" s="250">
        <f t="shared" si="13"/>
        <v>-3.5</v>
      </c>
      <c r="E48" s="27">
        <f>IFERROR(100/'Skjema total MA'!C48*C48,0)</f>
        <v>5.078146867969509</v>
      </c>
      <c r="F48" s="145"/>
      <c r="G48" s="33"/>
      <c r="H48" s="145"/>
      <c r="I48" s="145"/>
      <c r="J48" s="33"/>
      <c r="K48" s="33"/>
      <c r="L48" s="159"/>
      <c r="M48" s="159"/>
      <c r="N48" s="148"/>
    </row>
    <row r="49" spans="1:14" s="3" customFormat="1" ht="15.75" x14ac:dyDescent="0.2">
      <c r="A49" s="38" t="s">
        <v>383</v>
      </c>
      <c r="B49" s="44">
        <v>168533.21702000001</v>
      </c>
      <c r="C49" s="283">
        <v>163866.54159000001</v>
      </c>
      <c r="D49" s="250">
        <f>IF(B49=0, "    ---- ", IF(ABS(ROUND(100/B49*C49-100,1))&lt;999,ROUND(100/B49*C49-100,1),IF(ROUND(100/B49*C49-100,1)&gt;999,999,-999)))</f>
        <v>-2.8</v>
      </c>
      <c r="E49" s="27">
        <f>IFERROR(100/'Skjema total MA'!C49*C49,0)</f>
        <v>14.079327967523433</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17.823</v>
      </c>
      <c r="C53" s="303">
        <v>17.751999999999999</v>
      </c>
      <c r="D53" s="366">
        <f t="shared" si="13"/>
        <v>-0.4</v>
      </c>
      <c r="E53" s="11">
        <f>IFERROR(100/'Skjema total MA'!C53*C53,0)</f>
        <v>1.1914011041413085E-2</v>
      </c>
      <c r="F53" s="145"/>
      <c r="G53" s="33"/>
      <c r="H53" s="145"/>
      <c r="I53" s="145"/>
      <c r="J53" s="33"/>
      <c r="K53" s="33"/>
      <c r="L53" s="159"/>
      <c r="M53" s="159"/>
      <c r="N53" s="148"/>
    </row>
    <row r="54" spans="1:14" s="3" customFormat="1" ht="15.75" x14ac:dyDescent="0.2">
      <c r="A54" s="38" t="s">
        <v>382</v>
      </c>
      <c r="B54" s="277">
        <v>17.823</v>
      </c>
      <c r="C54" s="278">
        <v>17.751999999999999</v>
      </c>
      <c r="D54" s="250">
        <f t="shared" si="13"/>
        <v>-0.4</v>
      </c>
      <c r="E54" s="27">
        <f>IFERROR(100/'Skjema total MA'!C54*C54,0)</f>
        <v>2.8074157399680198E-2</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796.47500000000002</v>
      </c>
      <c r="C56" s="303">
        <v>2537.2070000000003</v>
      </c>
      <c r="D56" s="366">
        <f t="shared" si="13"/>
        <v>218.6</v>
      </c>
      <c r="E56" s="11">
        <f>IFERROR(100/'Skjema total MA'!C56*C56,0)</f>
        <v>2.095405207444172</v>
      </c>
      <c r="F56" s="145"/>
      <c r="G56" s="33"/>
      <c r="H56" s="145"/>
      <c r="I56" s="145"/>
      <c r="J56" s="33"/>
      <c r="K56" s="33"/>
      <c r="L56" s="159"/>
      <c r="M56" s="159"/>
      <c r="N56" s="148"/>
    </row>
    <row r="57" spans="1:14" s="3" customFormat="1" ht="15.75" x14ac:dyDescent="0.2">
      <c r="A57" s="38" t="s">
        <v>382</v>
      </c>
      <c r="B57" s="277">
        <v>796.47500000000002</v>
      </c>
      <c r="C57" s="278">
        <v>1983.2940000000001</v>
      </c>
      <c r="D57" s="250">
        <f t="shared" si="13"/>
        <v>149</v>
      </c>
      <c r="E57" s="27">
        <f>IFERROR(100/'Skjema total MA'!C57*C57,0)</f>
        <v>3.6391783978979202</v>
      </c>
      <c r="F57" s="145"/>
      <c r="G57" s="33"/>
      <c r="H57" s="145"/>
      <c r="I57" s="145"/>
      <c r="J57" s="33"/>
      <c r="K57" s="33"/>
      <c r="L57" s="159"/>
      <c r="M57" s="159"/>
      <c r="N57" s="148"/>
    </row>
    <row r="58" spans="1:14" s="3" customFormat="1" ht="15.75" x14ac:dyDescent="0.2">
      <c r="A58" s="46" t="s">
        <v>383</v>
      </c>
      <c r="B58" s="279">
        <v>0</v>
      </c>
      <c r="C58" s="280">
        <v>553.91300000000001</v>
      </c>
      <c r="D58" s="251" t="str">
        <f t="shared" si="13"/>
        <v xml:space="preserve">    ---- </v>
      </c>
      <c r="E58" s="22">
        <f>IFERROR(100/'Skjema total MA'!C58*C58,0)</f>
        <v>0.83187715695961095</v>
      </c>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234127.94401000001</v>
      </c>
      <c r="C66" s="345">
        <v>236828.48882000003</v>
      </c>
      <c r="D66" s="342">
        <f t="shared" ref="D66:D111" si="14">IF(B66=0, "    ---- ", IF(ABS(ROUND(100/B66*C66-100,1))&lt;999,ROUND(100/B66*C66-100,1),IF(ROUND(100/B66*C66-100,1)&gt;999,999,-999)))</f>
        <v>1.2</v>
      </c>
      <c r="E66" s="11">
        <f>IFERROR(100/'Skjema total MA'!C66*C66,0)</f>
        <v>6.741304768776005</v>
      </c>
      <c r="F66" s="344">
        <v>778572.88846000005</v>
      </c>
      <c r="G66" s="344">
        <v>910677.53567999997</v>
      </c>
      <c r="H66" s="342">
        <f t="shared" ref="H66:H111" si="15">IF(F66=0, "    ---- ", IF(ABS(ROUND(100/F66*G66-100,1))&lt;999,ROUND(100/F66*G66-100,1),IF(ROUND(100/F66*G66-100,1)&gt;999,999,-999)))</f>
        <v>17</v>
      </c>
      <c r="I66" s="11">
        <f>IFERROR(100/'Skjema total MA'!F66*G66,0)</f>
        <v>11.54684249477959</v>
      </c>
      <c r="J66" s="301">
        <f t="shared" ref="J66:K86" si="16">SUM(B66,F66)</f>
        <v>1012700.83247</v>
      </c>
      <c r="K66" s="308">
        <f t="shared" si="16"/>
        <v>1147506.0245000001</v>
      </c>
      <c r="L66" s="366">
        <f t="shared" ref="L66:L111" si="17">IF(J66=0, "    ---- ", IF(ABS(ROUND(100/J66*K66-100,1))&lt;999,ROUND(100/J66*K66-100,1),IF(ROUND(100/J66*K66-100,1)&gt;999,999,-999)))</f>
        <v>13.3</v>
      </c>
      <c r="M66" s="11">
        <f>IFERROR(100/'Skjema total MA'!I66*K66,0)</f>
        <v>10.065925519058567</v>
      </c>
    </row>
    <row r="67" spans="1:14" x14ac:dyDescent="0.2">
      <c r="A67" s="360" t="s">
        <v>9</v>
      </c>
      <c r="B67" s="44">
        <v>112425.53146</v>
      </c>
      <c r="C67" s="145">
        <v>97214.300340000002</v>
      </c>
      <c r="D67" s="166">
        <f t="shared" si="14"/>
        <v>-13.5</v>
      </c>
      <c r="E67" s="27">
        <f>IFERROR(100/'Skjema total MA'!C67*C67,0)</f>
        <v>3.4376818244583798</v>
      </c>
      <c r="F67" s="230"/>
      <c r="G67" s="145"/>
      <c r="H67" s="166"/>
      <c r="I67" s="27"/>
      <c r="J67" s="283">
        <f t="shared" si="16"/>
        <v>112425.53146</v>
      </c>
      <c r="K67" s="44">
        <f t="shared" si="16"/>
        <v>97214.300340000002</v>
      </c>
      <c r="L67" s="250">
        <f t="shared" si="17"/>
        <v>-13.5</v>
      </c>
      <c r="M67" s="27">
        <f>IFERROR(100/'Skjema total MA'!I67*K67,0)</f>
        <v>3.4376818244583798</v>
      </c>
    </row>
    <row r="68" spans="1:14" x14ac:dyDescent="0.2">
      <c r="A68" s="21" t="s">
        <v>10</v>
      </c>
      <c r="B68" s="286">
        <v>13227.55061</v>
      </c>
      <c r="C68" s="287">
        <v>11885.13754</v>
      </c>
      <c r="D68" s="166">
        <f t="shared" si="14"/>
        <v>-10.1</v>
      </c>
      <c r="E68" s="27">
        <f>IFERROR(100/'Skjema total MA'!C68*C68,0)</f>
        <v>12.249418395223897</v>
      </c>
      <c r="F68" s="286">
        <v>722635.46270000003</v>
      </c>
      <c r="G68" s="287">
        <v>852925.69579999999</v>
      </c>
      <c r="H68" s="166">
        <f t="shared" si="15"/>
        <v>18</v>
      </c>
      <c r="I68" s="27">
        <f>IFERROR(100/'Skjema total MA'!F68*G68,0)</f>
        <v>10.957514201340468</v>
      </c>
      <c r="J68" s="283">
        <f t="shared" si="16"/>
        <v>735863.01331000007</v>
      </c>
      <c r="K68" s="44">
        <f t="shared" si="16"/>
        <v>864810.83334000001</v>
      </c>
      <c r="L68" s="250">
        <f t="shared" si="17"/>
        <v>17.5</v>
      </c>
      <c r="M68" s="27">
        <f>IFERROR(100/'Skjema total MA'!I68*K68,0)</f>
        <v>10.973419429710589</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v>67116.774940000003</v>
      </c>
      <c r="C75" s="145">
        <v>82494.561220000003</v>
      </c>
      <c r="D75" s="166">
        <f t="shared" si="14"/>
        <v>22.9</v>
      </c>
      <c r="E75" s="27">
        <f>IFERROR(100/'Skjema total MA'!C75*C75,0)</f>
        <v>72.160282754390863</v>
      </c>
      <c r="F75" s="230">
        <v>55937.425759999998</v>
      </c>
      <c r="G75" s="145">
        <v>57751.83988</v>
      </c>
      <c r="H75" s="166">
        <f t="shared" si="15"/>
        <v>3.2</v>
      </c>
      <c r="I75" s="27">
        <f>IFERROR(100/'Skjema total MA'!F75*G75,0)</f>
        <v>56.137407813760241</v>
      </c>
      <c r="J75" s="283">
        <f t="shared" si="16"/>
        <v>123054.2007</v>
      </c>
      <c r="K75" s="44">
        <f t="shared" si="16"/>
        <v>140246.40110000002</v>
      </c>
      <c r="L75" s="250">
        <f t="shared" si="17"/>
        <v>14</v>
      </c>
      <c r="M75" s="27">
        <f>IFERROR(100/'Skjema total MA'!I75*K75,0)</f>
        <v>64.571016169788805</v>
      </c>
      <c r="N75" s="148"/>
    </row>
    <row r="76" spans="1:14" s="3" customFormat="1" x14ac:dyDescent="0.2">
      <c r="A76" s="21" t="s">
        <v>355</v>
      </c>
      <c r="B76" s="230">
        <v>41358.087</v>
      </c>
      <c r="C76" s="145">
        <v>45234.489719999998</v>
      </c>
      <c r="D76" s="166">
        <f t="shared" ref="D76" si="18">IF(B76=0, "    ---- ", IF(ABS(ROUND(100/B76*C76-100,1))&lt;999,ROUND(100/B76*C76-100,1),IF(ROUND(100/B76*C76-100,1)&gt;999,999,-999)))</f>
        <v>9.4</v>
      </c>
      <c r="E76" s="27">
        <f>IFERROR(100/'Skjema total MA'!C77*C76,0)</f>
        <v>1.5778763195184813</v>
      </c>
      <c r="F76" s="230"/>
      <c r="G76" s="145"/>
      <c r="H76" s="166"/>
      <c r="I76" s="27"/>
      <c r="J76" s="283">
        <f t="shared" ref="J76" si="19">SUM(B76,F76)</f>
        <v>41358.087</v>
      </c>
      <c r="K76" s="44">
        <f t="shared" ref="K76" si="20">SUM(C76,G76)</f>
        <v>45234.489719999998</v>
      </c>
      <c r="L76" s="250">
        <f t="shared" ref="L76" si="21">IF(J76=0, "    ---- ", IF(ABS(ROUND(100/J76*K76-100,1))&lt;999,ROUND(100/J76*K76-100,1),IF(ROUND(100/J76*K76-100,1)&gt;999,999,-999)))</f>
        <v>9.4</v>
      </c>
      <c r="M76" s="27">
        <f>IFERROR(100/'Skjema total MA'!I77*K76,0)</f>
        <v>0.42484665247119768</v>
      </c>
      <c r="N76" s="148"/>
    </row>
    <row r="77" spans="1:14" ht="15.75" x14ac:dyDescent="0.2">
      <c r="A77" s="21" t="s">
        <v>388</v>
      </c>
      <c r="B77" s="230">
        <v>125653.08207</v>
      </c>
      <c r="C77" s="230">
        <v>109099.43788</v>
      </c>
      <c r="D77" s="166">
        <f t="shared" si="14"/>
        <v>-13.2</v>
      </c>
      <c r="E77" s="27">
        <f>IFERROR(100/'Skjema total MA'!C77*C77,0)</f>
        <v>3.8056231112410916</v>
      </c>
      <c r="F77" s="230">
        <v>720466.53671999997</v>
      </c>
      <c r="G77" s="145">
        <v>850740.56579999998</v>
      </c>
      <c r="H77" s="166">
        <f t="shared" si="15"/>
        <v>18.100000000000001</v>
      </c>
      <c r="I77" s="27">
        <f>IFERROR(100/'Skjema total MA'!F77*G77,0)</f>
        <v>10.934328659207949</v>
      </c>
      <c r="J77" s="283">
        <f t="shared" si="16"/>
        <v>846119.61878999998</v>
      </c>
      <c r="K77" s="44">
        <f t="shared" si="16"/>
        <v>959840.00367999997</v>
      </c>
      <c r="L77" s="250">
        <f t="shared" si="17"/>
        <v>13.4</v>
      </c>
      <c r="M77" s="27">
        <f>IFERROR(100/'Skjema total MA'!I77*K77,0)</f>
        <v>9.0149090880778058</v>
      </c>
    </row>
    <row r="78" spans="1:14" x14ac:dyDescent="0.2">
      <c r="A78" s="21" t="s">
        <v>9</v>
      </c>
      <c r="B78" s="230">
        <v>112425.53146</v>
      </c>
      <c r="C78" s="145">
        <v>97214.300340000002</v>
      </c>
      <c r="D78" s="166">
        <f t="shared" si="14"/>
        <v>-13.5</v>
      </c>
      <c r="E78" s="27">
        <f>IFERROR(100/'Skjema total MA'!C78*C78,0)</f>
        <v>3.5081959095215294</v>
      </c>
      <c r="F78" s="230"/>
      <c r="G78" s="145"/>
      <c r="H78" s="166"/>
      <c r="I78" s="27"/>
      <c r="J78" s="283">
        <f t="shared" si="16"/>
        <v>112425.53146</v>
      </c>
      <c r="K78" s="44">
        <f t="shared" si="16"/>
        <v>97214.300340000002</v>
      </c>
      <c r="L78" s="250">
        <f t="shared" si="17"/>
        <v>-13.5</v>
      </c>
      <c r="M78" s="27">
        <f>IFERROR(100/'Skjema total MA'!I78*K78,0)</f>
        <v>3.5081959095215294</v>
      </c>
    </row>
    <row r="79" spans="1:14" x14ac:dyDescent="0.2">
      <c r="A79" s="21" t="s">
        <v>10</v>
      </c>
      <c r="B79" s="286">
        <v>13227.55061</v>
      </c>
      <c r="C79" s="287">
        <v>11885.13754</v>
      </c>
      <c r="D79" s="166">
        <f t="shared" si="14"/>
        <v>-10.1</v>
      </c>
      <c r="E79" s="27">
        <f>IFERROR(100/'Skjema total MA'!C79*C79,0)</f>
        <v>12.414857337087222</v>
      </c>
      <c r="F79" s="286">
        <v>720466.53671999997</v>
      </c>
      <c r="G79" s="287">
        <v>850740.56579999998</v>
      </c>
      <c r="H79" s="166">
        <f t="shared" si="15"/>
        <v>18.100000000000001</v>
      </c>
      <c r="I79" s="27">
        <f>IFERROR(100/'Skjema total MA'!F79*G79,0)</f>
        <v>10.934328659207949</v>
      </c>
      <c r="J79" s="283">
        <f t="shared" si="16"/>
        <v>733694.08733000001</v>
      </c>
      <c r="K79" s="44">
        <f t="shared" si="16"/>
        <v>862625.70334000001</v>
      </c>
      <c r="L79" s="250">
        <f t="shared" si="17"/>
        <v>17.600000000000001</v>
      </c>
      <c r="M79" s="27">
        <f>IFERROR(100/'Skjema total MA'!I79*K79,0)</f>
        <v>10.952324129306879</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v>2168.92598</v>
      </c>
      <c r="G86" s="145">
        <v>2185.13</v>
      </c>
      <c r="H86" s="166">
        <f t="shared" si="15"/>
        <v>0.7</v>
      </c>
      <c r="I86" s="27">
        <f>IFERROR(100/'Skjema total MA'!F86*G86,0)</f>
        <v>62.812878637077617</v>
      </c>
      <c r="J86" s="283">
        <f t="shared" si="16"/>
        <v>2168.92598</v>
      </c>
      <c r="K86" s="44">
        <f t="shared" si="16"/>
        <v>2185.13</v>
      </c>
      <c r="L86" s="250">
        <f t="shared" si="17"/>
        <v>0.7</v>
      </c>
      <c r="M86" s="27">
        <f>IFERROR(100/'Skjema total MA'!I86*K86,0)</f>
        <v>3.5465875911011153</v>
      </c>
    </row>
    <row r="87" spans="1:13" ht="15.75" x14ac:dyDescent="0.2">
      <c r="A87" s="13" t="s">
        <v>371</v>
      </c>
      <c r="B87" s="345">
        <v>12946629.83</v>
      </c>
      <c r="C87" s="345">
        <v>13848937.066349998</v>
      </c>
      <c r="D87" s="171">
        <f t="shared" si="14"/>
        <v>7</v>
      </c>
      <c r="E87" s="11">
        <f>IFERROR(100/'Skjema total MA'!C87*C87,0)</f>
        <v>3.5648631526410615</v>
      </c>
      <c r="F87" s="344">
        <v>21936513.691150002</v>
      </c>
      <c r="G87" s="344">
        <v>26100043.090270001</v>
      </c>
      <c r="H87" s="171">
        <f t="shared" si="15"/>
        <v>19</v>
      </c>
      <c r="I87" s="11">
        <f>IFERROR(100/'Skjema total MA'!F87*G87,0)</f>
        <v>9.6441283762989336</v>
      </c>
      <c r="J87" s="301">
        <f t="shared" ref="J87:K111" si="22">SUM(B87,F87)</f>
        <v>34883143.52115</v>
      </c>
      <c r="K87" s="232">
        <f t="shared" si="22"/>
        <v>39948980.156619996</v>
      </c>
      <c r="L87" s="366">
        <f t="shared" si="17"/>
        <v>14.5</v>
      </c>
      <c r="M87" s="11">
        <f>IFERROR(100/'Skjema total MA'!I87*K87,0)</f>
        <v>6.0609953921622166</v>
      </c>
    </row>
    <row r="88" spans="1:13" x14ac:dyDescent="0.2">
      <c r="A88" s="21" t="s">
        <v>9</v>
      </c>
      <c r="B88" s="230">
        <v>10997153.014559999</v>
      </c>
      <c r="C88" s="145">
        <v>11161681.833109999</v>
      </c>
      <c r="D88" s="166">
        <f t="shared" si="14"/>
        <v>1.5</v>
      </c>
      <c r="E88" s="27">
        <f>IFERROR(100/'Skjema total MA'!C88*C88,0)</f>
        <v>2.9383979116062386</v>
      </c>
      <c r="F88" s="230"/>
      <c r="G88" s="145"/>
      <c r="H88" s="166"/>
      <c r="I88" s="27"/>
      <c r="J88" s="283">
        <f t="shared" si="22"/>
        <v>10997153.014559999</v>
      </c>
      <c r="K88" s="44">
        <f t="shared" si="22"/>
        <v>11161681.833109999</v>
      </c>
      <c r="L88" s="250">
        <f t="shared" si="17"/>
        <v>1.5</v>
      </c>
      <c r="M88" s="27">
        <f>IFERROR(100/'Skjema total MA'!I88*K88,0)</f>
        <v>2.9383979116062386</v>
      </c>
    </row>
    <row r="89" spans="1:13" x14ac:dyDescent="0.2">
      <c r="A89" s="21" t="s">
        <v>10</v>
      </c>
      <c r="B89" s="230">
        <v>1202988.22413</v>
      </c>
      <c r="C89" s="145">
        <v>1349748.6074900001</v>
      </c>
      <c r="D89" s="166">
        <f t="shared" si="14"/>
        <v>12.2</v>
      </c>
      <c r="E89" s="27">
        <f>IFERROR(100/'Skjema total MA'!C89*C89,0)</f>
        <v>48.35116695123903</v>
      </c>
      <c r="F89" s="230">
        <v>21433782.274640001</v>
      </c>
      <c r="G89" s="145">
        <v>25367225.336770002</v>
      </c>
      <c r="H89" s="166">
        <f t="shared" si="15"/>
        <v>18.399999999999999</v>
      </c>
      <c r="I89" s="27">
        <f>IFERROR(100/'Skjema total MA'!F89*G89,0)</f>
        <v>9.4147620666356531</v>
      </c>
      <c r="J89" s="283">
        <f t="shared" si="22"/>
        <v>22636770.498770002</v>
      </c>
      <c r="K89" s="44">
        <f t="shared" si="22"/>
        <v>26716973.944260001</v>
      </c>
      <c r="L89" s="250">
        <f t="shared" si="17"/>
        <v>18</v>
      </c>
      <c r="M89" s="27">
        <f>IFERROR(100/'Skjema total MA'!I89*K89,0)</f>
        <v>9.8140275655055138</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v>450720.22503999999</v>
      </c>
      <c r="C96" s="145">
        <v>815605.40483000001</v>
      </c>
      <c r="D96" s="166">
        <f t="shared" si="14"/>
        <v>81</v>
      </c>
      <c r="E96" s="27">
        <f>IFERROR(100/'Skjema total MA'!C96*C96,0)</f>
        <v>83.300945400085283</v>
      </c>
      <c r="F96" s="230">
        <v>502731.41651000001</v>
      </c>
      <c r="G96" s="145">
        <v>732817.75349999999</v>
      </c>
      <c r="H96" s="166">
        <f t="shared" si="15"/>
        <v>45.8</v>
      </c>
      <c r="I96" s="27">
        <f>IFERROR(100/'Skjema total MA'!F96*G96,0)</f>
        <v>61.556737571124174</v>
      </c>
      <c r="J96" s="283">
        <f t="shared" si="22"/>
        <v>953451.64155000006</v>
      </c>
      <c r="K96" s="44">
        <f t="shared" si="22"/>
        <v>1548423.15833</v>
      </c>
      <c r="L96" s="250">
        <f t="shared" si="17"/>
        <v>62.4</v>
      </c>
      <c r="M96" s="27">
        <f>IFERROR(100/'Skjema total MA'!I96*K96,0)</f>
        <v>71.36964321083083</v>
      </c>
    </row>
    <row r="97" spans="1:13" x14ac:dyDescent="0.2">
      <c r="A97" s="21" t="s">
        <v>353</v>
      </c>
      <c r="B97" s="230">
        <v>295768.36627</v>
      </c>
      <c r="C97" s="145">
        <v>521901.22091999999</v>
      </c>
      <c r="D97" s="166">
        <f t="shared" ref="D97" si="23">IF(B97=0, "    ---- ", IF(ABS(ROUND(100/B97*C97-100,1))&lt;999,ROUND(100/B97*C97-100,1),IF(ROUND(100/B97*C97-100,1)&gt;999,999,-999)))</f>
        <v>76.5</v>
      </c>
      <c r="E97" s="27">
        <f>IFERROR(100/'Skjema total MA'!C98*C97,0)</f>
        <v>0.13811220189902887</v>
      </c>
      <c r="F97" s="230"/>
      <c r="G97" s="145"/>
      <c r="H97" s="166"/>
      <c r="I97" s="27"/>
      <c r="J97" s="283">
        <f t="shared" ref="J97" si="24">SUM(B97,F97)</f>
        <v>295768.36627</v>
      </c>
      <c r="K97" s="44">
        <f t="shared" ref="K97" si="25">SUM(C97,G97)</f>
        <v>521901.22091999999</v>
      </c>
      <c r="L97" s="250">
        <f t="shared" ref="L97" si="26">IF(J97=0, "    ---- ", IF(ABS(ROUND(100/J97*K97-100,1))&lt;999,ROUND(100/J97*K97-100,1),IF(ROUND(100/J97*K97-100,1)&gt;999,999,-999)))</f>
        <v>76.5</v>
      </c>
      <c r="M97" s="27">
        <f>IFERROR(100/'Skjema total MA'!I98*K97,0)</f>
        <v>8.0717587035113877E-2</v>
      </c>
    </row>
    <row r="98" spans="1:13" ht="15.75" x14ac:dyDescent="0.2">
      <c r="A98" s="21" t="s">
        <v>388</v>
      </c>
      <c r="B98" s="230">
        <v>12200141.23869</v>
      </c>
      <c r="C98" s="230">
        <v>12511430.440599998</v>
      </c>
      <c r="D98" s="166">
        <f t="shared" si="14"/>
        <v>2.6</v>
      </c>
      <c r="E98" s="27">
        <f>IFERROR(100/'Skjema total MA'!C98*C98,0)</f>
        <v>3.3109353605491516</v>
      </c>
      <c r="F98" s="286">
        <v>21375277.226100001</v>
      </c>
      <c r="G98" s="286">
        <v>25298485.781789999</v>
      </c>
      <c r="H98" s="166">
        <f t="shared" si="15"/>
        <v>18.399999999999999</v>
      </c>
      <c r="I98" s="27">
        <f>IFERROR(100/'Skjema total MA'!F98*G98,0)</f>
        <v>9.4153244152861841</v>
      </c>
      <c r="J98" s="283">
        <f t="shared" si="22"/>
        <v>33575418.464790002</v>
      </c>
      <c r="K98" s="44">
        <f t="shared" si="22"/>
        <v>37809916.222389996</v>
      </c>
      <c r="L98" s="250">
        <f t="shared" si="17"/>
        <v>12.6</v>
      </c>
      <c r="M98" s="27">
        <f>IFERROR(100/'Skjema total MA'!I98*K98,0)</f>
        <v>5.8477065795922805</v>
      </c>
    </row>
    <row r="99" spans="1:13" x14ac:dyDescent="0.2">
      <c r="A99" s="21" t="s">
        <v>9</v>
      </c>
      <c r="B99" s="286">
        <v>10997153.014559999</v>
      </c>
      <c r="C99" s="287">
        <v>11161681.833109999</v>
      </c>
      <c r="D99" s="166">
        <f t="shared" si="14"/>
        <v>1.5</v>
      </c>
      <c r="E99" s="27">
        <f>IFERROR(100/'Skjema total MA'!C99*C99,0)</f>
        <v>2.9757303660448851</v>
      </c>
      <c r="F99" s="230"/>
      <c r="G99" s="145"/>
      <c r="H99" s="166"/>
      <c r="I99" s="27"/>
      <c r="J99" s="283">
        <f t="shared" si="22"/>
        <v>10997153.014559999</v>
      </c>
      <c r="K99" s="44">
        <f t="shared" si="22"/>
        <v>11161681.833109999</v>
      </c>
      <c r="L99" s="250">
        <f t="shared" si="17"/>
        <v>1.5</v>
      </c>
      <c r="M99" s="27">
        <f>IFERROR(100/'Skjema total MA'!I99*K99,0)</f>
        <v>2.9757303660448851</v>
      </c>
    </row>
    <row r="100" spans="1:13" x14ac:dyDescent="0.2">
      <c r="A100" s="21" t="s">
        <v>10</v>
      </c>
      <c r="B100" s="286">
        <v>1202988.22413</v>
      </c>
      <c r="C100" s="287">
        <v>1349748.6074900001</v>
      </c>
      <c r="D100" s="166">
        <f t="shared" si="14"/>
        <v>12.2</v>
      </c>
      <c r="E100" s="27">
        <f>IFERROR(100/'Skjema total MA'!C100*C100,0)</f>
        <v>48.351166937992993</v>
      </c>
      <c r="F100" s="230">
        <v>21375277.226100001</v>
      </c>
      <c r="G100" s="230">
        <v>25298485.781789999</v>
      </c>
      <c r="H100" s="166">
        <f t="shared" si="15"/>
        <v>18.399999999999999</v>
      </c>
      <c r="I100" s="27">
        <f>IFERROR(100/'Skjema total MA'!F100*G100,0)</f>
        <v>9.4153244152861841</v>
      </c>
      <c r="J100" s="283">
        <f t="shared" si="22"/>
        <v>22578265.450230002</v>
      </c>
      <c r="K100" s="44">
        <f t="shared" si="22"/>
        <v>26648234.389279999</v>
      </c>
      <c r="L100" s="250">
        <f t="shared" si="17"/>
        <v>18</v>
      </c>
      <c r="M100" s="27">
        <f>IFERROR(100/'Skjema total MA'!I100*K100,0)</f>
        <v>9.8156815046667578</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v>58505.048540000003</v>
      </c>
      <c r="G107" s="145">
        <v>68739.554979999899</v>
      </c>
      <c r="H107" s="166">
        <f t="shared" si="15"/>
        <v>17.5</v>
      </c>
      <c r="I107" s="27">
        <f>IFERROR(100/'Skjema total MA'!F107*G107,0)</f>
        <v>9.212262323678404</v>
      </c>
      <c r="J107" s="283">
        <f t="shared" si="22"/>
        <v>58505.048540000003</v>
      </c>
      <c r="K107" s="44">
        <f t="shared" si="22"/>
        <v>68739.554979999899</v>
      </c>
      <c r="L107" s="250">
        <f t="shared" si="17"/>
        <v>17.5</v>
      </c>
      <c r="M107" s="27">
        <f>IFERROR(100/'Skjema total MA'!I107*K107,0)</f>
        <v>1.2471541398105035</v>
      </c>
    </row>
    <row r="108" spans="1:13" ht="15.75" x14ac:dyDescent="0.2">
      <c r="A108" s="21" t="s">
        <v>390</v>
      </c>
      <c r="B108" s="230">
        <v>7812933.2744500004</v>
      </c>
      <c r="C108" s="230">
        <v>8201894.1049300004</v>
      </c>
      <c r="D108" s="166">
        <f t="shared" si="14"/>
        <v>5</v>
      </c>
      <c r="E108" s="27">
        <f>IFERROR(100/'Skjema total MA'!C108*C108,0)</f>
        <v>2.607284806249309</v>
      </c>
      <c r="F108" s="230"/>
      <c r="G108" s="230"/>
      <c r="H108" s="166"/>
      <c r="I108" s="27"/>
      <c r="J108" s="283">
        <f t="shared" si="22"/>
        <v>7812933.2744500004</v>
      </c>
      <c r="K108" s="44">
        <f t="shared" si="22"/>
        <v>8201894.1049300004</v>
      </c>
      <c r="L108" s="250">
        <f t="shared" si="17"/>
        <v>5</v>
      </c>
      <c r="M108" s="27">
        <f>IFERROR(100/'Skjema total MA'!I108*K108,0)</f>
        <v>2.4807162480328779</v>
      </c>
    </row>
    <row r="109" spans="1:13" ht="15.75" x14ac:dyDescent="0.2">
      <c r="A109" s="21" t="s">
        <v>391</v>
      </c>
      <c r="B109" s="230">
        <v>303389.18544999999</v>
      </c>
      <c r="C109" s="230">
        <v>322966.67813999997</v>
      </c>
      <c r="D109" s="166">
        <f t="shared" si="14"/>
        <v>6.5</v>
      </c>
      <c r="E109" s="27">
        <f>IFERROR(100/'Skjema total MA'!C109*C109,0)</f>
        <v>31.234854741050132</v>
      </c>
      <c r="F109" s="230">
        <v>6653774.4511900004</v>
      </c>
      <c r="G109" s="230">
        <v>8104519.2685799999</v>
      </c>
      <c r="H109" s="166">
        <f t="shared" si="15"/>
        <v>21.8</v>
      </c>
      <c r="I109" s="27">
        <f>IFERROR(100/'Skjema total MA'!F109*G109,0)</f>
        <v>9.092458139122618</v>
      </c>
      <c r="J109" s="283">
        <f t="shared" si="22"/>
        <v>6957163.6366400002</v>
      </c>
      <c r="K109" s="44">
        <f t="shared" si="22"/>
        <v>8427485.9467200004</v>
      </c>
      <c r="L109" s="250">
        <f t="shared" si="17"/>
        <v>21.1</v>
      </c>
      <c r="M109" s="27">
        <f>IFERROR(100/'Skjema total MA'!I109*K109,0)</f>
        <v>9.3463728821438341</v>
      </c>
    </row>
    <row r="110" spans="1:13" ht="15.75" x14ac:dyDescent="0.2">
      <c r="A110" s="21" t="s">
        <v>392</v>
      </c>
      <c r="B110" s="230">
        <v>39492.558929999999</v>
      </c>
      <c r="C110" s="230">
        <v>117514.26841</v>
      </c>
      <c r="D110" s="166">
        <f t="shared" si="14"/>
        <v>197.6</v>
      </c>
      <c r="E110" s="27">
        <f>IFERROR(100/'Skjema total MA'!C110*C110,0)</f>
        <v>63.799750215715257</v>
      </c>
      <c r="F110" s="230"/>
      <c r="G110" s="230"/>
      <c r="H110" s="166"/>
      <c r="I110" s="27"/>
      <c r="J110" s="283">
        <f t="shared" si="22"/>
        <v>39492.558929999999</v>
      </c>
      <c r="K110" s="44">
        <f t="shared" si="22"/>
        <v>117514.26841</v>
      </c>
      <c r="L110" s="250">
        <f t="shared" si="17"/>
        <v>197.6</v>
      </c>
      <c r="M110" s="27">
        <f>IFERROR(100/'Skjema total MA'!I110*K110,0)</f>
        <v>63.799750215715257</v>
      </c>
    </row>
    <row r="111" spans="1:13" ht="15.75" x14ac:dyDescent="0.2">
      <c r="A111" s="13" t="s">
        <v>372</v>
      </c>
      <c r="B111" s="300">
        <v>22724.633470000001</v>
      </c>
      <c r="C111" s="159">
        <v>5076.31459</v>
      </c>
      <c r="D111" s="171">
        <f t="shared" si="14"/>
        <v>-77.7</v>
      </c>
      <c r="E111" s="11">
        <f>IFERROR(100/'Skjema total MA'!C111*C111,0)</f>
        <v>2.2283982640573425</v>
      </c>
      <c r="F111" s="300">
        <v>1093736.06672</v>
      </c>
      <c r="G111" s="159">
        <v>463043.89737000002</v>
      </c>
      <c r="H111" s="171">
        <f t="shared" si="15"/>
        <v>-57.7</v>
      </c>
      <c r="I111" s="11">
        <f>IFERROR(100/'Skjema total MA'!F111*G111,0)</f>
        <v>10.831794765442384</v>
      </c>
      <c r="J111" s="301">
        <f t="shared" si="22"/>
        <v>1116460.70019</v>
      </c>
      <c r="K111" s="232">
        <f t="shared" si="22"/>
        <v>468120.21196000004</v>
      </c>
      <c r="L111" s="366">
        <f t="shared" si="17"/>
        <v>-58.1</v>
      </c>
      <c r="M111" s="11">
        <f>IFERROR(100/'Skjema total MA'!I111*K111,0)</f>
        <v>10.396526959244767</v>
      </c>
    </row>
    <row r="112" spans="1:13" x14ac:dyDescent="0.2">
      <c r="A112" s="21" t="s">
        <v>9</v>
      </c>
      <c r="B112" s="230">
        <v>20609.69601</v>
      </c>
      <c r="C112" s="145">
        <v>1024.8425199999999</v>
      </c>
      <c r="D112" s="166">
        <f t="shared" ref="D112:D126" si="27">IF(B112=0, "    ---- ", IF(ABS(ROUND(100/B112*C112-100,1))&lt;999,ROUND(100/B112*C112-100,1),IF(ROUND(100/B112*C112-100,1)&gt;999,999,-999)))</f>
        <v>-95</v>
      </c>
      <c r="E112" s="27">
        <f>IFERROR(100/'Skjema total MA'!C112*C112,0)</f>
        <v>0.49821251672661376</v>
      </c>
      <c r="F112" s="230"/>
      <c r="G112" s="145"/>
      <c r="H112" s="166"/>
      <c r="I112" s="27"/>
      <c r="J112" s="283">
        <f t="shared" ref="J112:K126" si="28">SUM(B112,F112)</f>
        <v>20609.69601</v>
      </c>
      <c r="K112" s="44">
        <f t="shared" si="28"/>
        <v>1024.8425199999999</v>
      </c>
      <c r="L112" s="250">
        <f t="shared" ref="L112:L126" si="29">IF(J112=0, "    ---- ", IF(ABS(ROUND(100/J112*K112-100,1))&lt;999,ROUND(100/J112*K112-100,1),IF(ROUND(100/J112*K112-100,1)&gt;999,999,-999)))</f>
        <v>-95</v>
      </c>
      <c r="M112" s="27">
        <f>IFERROR(100/'Skjema total MA'!I112*K112,0)</f>
        <v>0.49596150645725934</v>
      </c>
    </row>
    <row r="113" spans="1:14" x14ac:dyDescent="0.2">
      <c r="A113" s="21" t="s">
        <v>10</v>
      </c>
      <c r="B113" s="230"/>
      <c r="C113" s="145"/>
      <c r="D113" s="166"/>
      <c r="E113" s="27"/>
      <c r="F113" s="230">
        <v>1093736.06672</v>
      </c>
      <c r="G113" s="145">
        <v>436019.43910000002</v>
      </c>
      <c r="H113" s="166">
        <f t="shared" ref="H113:H125" si="30">IF(F113=0, "    ---- ", IF(ABS(ROUND(100/F113*G113-100,1))&lt;999,ROUND(100/F113*G113-100,1),IF(ROUND(100/F113*G113-100,1)&gt;999,999,-999)))</f>
        <v>-60.1</v>
      </c>
      <c r="I113" s="27">
        <f>IFERROR(100/'Skjema total MA'!F113*G113,0)</f>
        <v>10.266768654277509</v>
      </c>
      <c r="J113" s="283">
        <f t="shared" si="28"/>
        <v>1093736.06672</v>
      </c>
      <c r="K113" s="44">
        <f t="shared" si="28"/>
        <v>436019.43910000002</v>
      </c>
      <c r="L113" s="250">
        <f t="shared" si="29"/>
        <v>-60.1</v>
      </c>
      <c r="M113" s="27">
        <f>IFERROR(100/'Skjema total MA'!I113*K113,0)</f>
        <v>10.266121360991596</v>
      </c>
    </row>
    <row r="114" spans="1:14" x14ac:dyDescent="0.2">
      <c r="A114" s="21" t="s">
        <v>26</v>
      </c>
      <c r="B114" s="230">
        <v>2114.9374600000001</v>
      </c>
      <c r="C114" s="145">
        <v>4051.4720699999998</v>
      </c>
      <c r="D114" s="166">
        <f t="shared" si="27"/>
        <v>91.6</v>
      </c>
      <c r="E114" s="27">
        <f>IFERROR(100/'Skjema total MA'!C114*C114,0)</f>
        <v>18.559716049769786</v>
      </c>
      <c r="F114" s="230">
        <v>0</v>
      </c>
      <c r="G114" s="145">
        <v>27024.458269999999</v>
      </c>
      <c r="H114" s="166" t="str">
        <f t="shared" si="30"/>
        <v xml:space="preserve">    ---- </v>
      </c>
      <c r="I114" s="27">
        <f>IFERROR(100/'Skjema total MA'!F114*G114,0)</f>
        <v>100</v>
      </c>
      <c r="J114" s="283">
        <f t="shared" si="28"/>
        <v>2114.9374600000001</v>
      </c>
      <c r="K114" s="44">
        <f t="shared" si="28"/>
        <v>31075.930339999999</v>
      </c>
      <c r="L114" s="250">
        <f t="shared" si="29"/>
        <v>999</v>
      </c>
      <c r="M114" s="27">
        <f>IFERROR(100/'Skjema total MA'!I114*K114,0)</f>
        <v>63.609999908555821</v>
      </c>
    </row>
    <row r="115" spans="1:14" x14ac:dyDescent="0.2">
      <c r="A115" s="288" t="s">
        <v>15</v>
      </c>
      <c r="B115" s="311" t="s">
        <v>414</v>
      </c>
      <c r="C115" s="311" t="s">
        <v>414</v>
      </c>
      <c r="D115" s="166"/>
      <c r="E115" s="358"/>
      <c r="F115" s="311"/>
      <c r="G115" s="311"/>
      <c r="H115" s="166"/>
      <c r="I115" s="358"/>
      <c r="J115" s="311"/>
      <c r="K115" s="311"/>
      <c r="L115" s="166"/>
      <c r="M115" s="23"/>
    </row>
    <row r="116" spans="1:14" ht="15.75" x14ac:dyDescent="0.2">
      <c r="A116" s="21" t="s">
        <v>393</v>
      </c>
      <c r="B116" s="230">
        <v>20516.336810000001</v>
      </c>
      <c r="C116" s="230">
        <v>1015.96725</v>
      </c>
      <c r="D116" s="166">
        <f t="shared" si="27"/>
        <v>-95</v>
      </c>
      <c r="E116" s="27">
        <f>IFERROR(100/'Skjema total MA'!C116*C116,0)</f>
        <v>3.0250894371138708</v>
      </c>
      <c r="F116" s="230"/>
      <c r="G116" s="230"/>
      <c r="H116" s="166"/>
      <c r="I116" s="27"/>
      <c r="J116" s="283">
        <f t="shared" si="28"/>
        <v>20516.336810000001</v>
      </c>
      <c r="K116" s="44">
        <f t="shared" si="28"/>
        <v>1015.96725</v>
      </c>
      <c r="L116" s="250">
        <f t="shared" si="29"/>
        <v>-95</v>
      </c>
      <c r="M116" s="27">
        <f>IFERROR(100/'Skjema total MA'!I116*K116,0)</f>
        <v>2.9432692421831792</v>
      </c>
    </row>
    <row r="117" spans="1:14" ht="15.75" x14ac:dyDescent="0.2">
      <c r="A117" s="21" t="s">
        <v>394</v>
      </c>
      <c r="B117" s="230"/>
      <c r="C117" s="230"/>
      <c r="D117" s="166"/>
      <c r="E117" s="27"/>
      <c r="F117" s="230">
        <v>99624.841339999999</v>
      </c>
      <c r="G117" s="230">
        <v>81963.62599</v>
      </c>
      <c r="H117" s="166">
        <f t="shared" si="30"/>
        <v>-17.7</v>
      </c>
      <c r="I117" s="27">
        <f>IFERROR(100/'Skjema total MA'!F117*G117,0)</f>
        <v>15.054812557453719</v>
      </c>
      <c r="J117" s="283">
        <f t="shared" si="28"/>
        <v>99624.841339999999</v>
      </c>
      <c r="K117" s="44">
        <f t="shared" si="28"/>
        <v>81963.62599</v>
      </c>
      <c r="L117" s="250">
        <f t="shared" si="29"/>
        <v>-17.7</v>
      </c>
      <c r="M117" s="27">
        <f>IFERROR(100/'Skjema total MA'!I117*K117,0)</f>
        <v>15.054812557453719</v>
      </c>
    </row>
    <row r="118" spans="1:14" ht="15.75" x14ac:dyDescent="0.2">
      <c r="A118" s="21" t="s">
        <v>392</v>
      </c>
      <c r="B118" s="230">
        <v>2448.72622</v>
      </c>
      <c r="C118" s="230">
        <v>0</v>
      </c>
      <c r="D118" s="166">
        <f t="shared" si="27"/>
        <v>-100</v>
      </c>
      <c r="E118" s="27">
        <f>IFERROR(100/'Skjema total MA'!C118*C118,0)</f>
        <v>0</v>
      </c>
      <c r="F118" s="230"/>
      <c r="G118" s="230"/>
      <c r="H118" s="166"/>
      <c r="I118" s="27"/>
      <c r="J118" s="283">
        <f t="shared" si="28"/>
        <v>2448.72622</v>
      </c>
      <c r="K118" s="44">
        <f t="shared" si="28"/>
        <v>0</v>
      </c>
      <c r="L118" s="250">
        <f t="shared" si="29"/>
        <v>-100</v>
      </c>
      <c r="M118" s="27">
        <f>IFERROR(100/'Skjema total MA'!I118*K118,0)</f>
        <v>0</v>
      </c>
    </row>
    <row r="119" spans="1:14" ht="15.75" x14ac:dyDescent="0.2">
      <c r="A119" s="13" t="s">
        <v>373</v>
      </c>
      <c r="B119" s="300">
        <v>8258.3418399999991</v>
      </c>
      <c r="C119" s="159">
        <v>10141.68197</v>
      </c>
      <c r="D119" s="171">
        <f t="shared" si="27"/>
        <v>22.8</v>
      </c>
      <c r="E119" s="11">
        <f>IFERROR(100/'Skjema total MA'!C119*C119,0)</f>
        <v>5.4503442288182908</v>
      </c>
      <c r="F119" s="300">
        <v>132980.50317000001</v>
      </c>
      <c r="G119" s="159">
        <v>303515.26757000003</v>
      </c>
      <c r="H119" s="171">
        <f t="shared" si="30"/>
        <v>128.19999999999999</v>
      </c>
      <c r="I119" s="11">
        <f>IFERROR(100/'Skjema total MA'!F119*G119,0)</f>
        <v>6.9468824548933128</v>
      </c>
      <c r="J119" s="301">
        <f t="shared" si="28"/>
        <v>141238.84501000002</v>
      </c>
      <c r="K119" s="232">
        <f t="shared" si="28"/>
        <v>313656.94954</v>
      </c>
      <c r="L119" s="366">
        <f t="shared" si="29"/>
        <v>122.1</v>
      </c>
      <c r="M119" s="11">
        <f>IFERROR(100/'Skjema total MA'!I119*K119,0)</f>
        <v>6.8857502273824265</v>
      </c>
    </row>
    <row r="120" spans="1:14" x14ac:dyDescent="0.2">
      <c r="A120" s="21" t="s">
        <v>9</v>
      </c>
      <c r="B120" s="230">
        <v>0</v>
      </c>
      <c r="C120" s="145">
        <v>191.82741999999999</v>
      </c>
      <c r="D120" s="166" t="str">
        <f t="shared" si="27"/>
        <v xml:space="preserve">    ---- </v>
      </c>
      <c r="E120" s="27">
        <f>IFERROR(100/'Skjema total MA'!C120*C120,0)</f>
        <v>0.17299738085278649</v>
      </c>
      <c r="F120" s="230"/>
      <c r="G120" s="145"/>
      <c r="H120" s="166"/>
      <c r="I120" s="27"/>
      <c r="J120" s="283">
        <f t="shared" si="28"/>
        <v>0</v>
      </c>
      <c r="K120" s="44">
        <f t="shared" si="28"/>
        <v>191.82741999999999</v>
      </c>
      <c r="L120" s="250" t="str">
        <f t="shared" si="29"/>
        <v xml:space="preserve">    ---- </v>
      </c>
      <c r="M120" s="27">
        <f>IFERROR(100/'Skjema total MA'!I120*K120,0)</f>
        <v>0.17299738085278649</v>
      </c>
    </row>
    <row r="121" spans="1:14" x14ac:dyDescent="0.2">
      <c r="A121" s="21" t="s">
        <v>10</v>
      </c>
      <c r="B121" s="230">
        <v>6011.1224899999997</v>
      </c>
      <c r="C121" s="145">
        <v>8998.6955500000004</v>
      </c>
      <c r="D121" s="166">
        <f t="shared" si="27"/>
        <v>49.7</v>
      </c>
      <c r="E121" s="27">
        <f>IFERROR(100/'Skjema total MA'!C121*C121,0)</f>
        <v>95.326724386926017</v>
      </c>
      <c r="F121" s="230">
        <v>132980.50317000001</v>
      </c>
      <c r="G121" s="145">
        <v>303515.26757000003</v>
      </c>
      <c r="H121" s="166">
        <f t="shared" si="30"/>
        <v>128.19999999999999</v>
      </c>
      <c r="I121" s="27">
        <f>IFERROR(100/'Skjema total MA'!F121*G121,0)</f>
        <v>6.9468824548933128</v>
      </c>
      <c r="J121" s="283">
        <f t="shared" si="28"/>
        <v>138991.62566000002</v>
      </c>
      <c r="K121" s="44">
        <f t="shared" si="28"/>
        <v>312513.96312000003</v>
      </c>
      <c r="L121" s="250">
        <f t="shared" si="29"/>
        <v>124.8</v>
      </c>
      <c r="M121" s="27">
        <f>IFERROR(100/'Skjema total MA'!I121*K121,0)</f>
        <v>7.1374242240414612</v>
      </c>
    </row>
    <row r="122" spans="1:14" x14ac:dyDescent="0.2">
      <c r="A122" s="21" t="s">
        <v>26</v>
      </c>
      <c r="B122" s="230">
        <v>2247.2193499999998</v>
      </c>
      <c r="C122" s="145">
        <v>951.15899999999999</v>
      </c>
      <c r="D122" s="166">
        <f t="shared" si="27"/>
        <v>-57.7</v>
      </c>
      <c r="E122" s="27">
        <f>IFERROR(100/'Skjema total MA'!C122*C122,0)</f>
        <v>1.4466356203536594</v>
      </c>
      <c r="F122" s="230"/>
      <c r="G122" s="145"/>
      <c r="H122" s="166"/>
      <c r="I122" s="27"/>
      <c r="J122" s="283">
        <f t="shared" si="28"/>
        <v>2247.2193499999998</v>
      </c>
      <c r="K122" s="44">
        <f t="shared" si="28"/>
        <v>951.15899999999999</v>
      </c>
      <c r="L122" s="250">
        <f t="shared" si="29"/>
        <v>-57.7</v>
      </c>
      <c r="M122" s="27">
        <f>IFERROR(100/'Skjema total MA'!I122*K122,0)</f>
        <v>1.4466356203536594</v>
      </c>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v>654.13762999999994</v>
      </c>
      <c r="C125" s="230">
        <v>115.97561</v>
      </c>
      <c r="D125" s="166">
        <f t="shared" si="27"/>
        <v>-82.3</v>
      </c>
      <c r="E125" s="27">
        <f>IFERROR(100/'Skjema total MA'!C125*C125,0)</f>
        <v>96.971511387225888</v>
      </c>
      <c r="F125" s="230">
        <v>48993.201580000001</v>
      </c>
      <c r="G125" s="230">
        <v>65350.938320000001</v>
      </c>
      <c r="H125" s="166">
        <f t="shared" si="30"/>
        <v>33.4</v>
      </c>
      <c r="I125" s="27">
        <f>IFERROR(100/'Skjema total MA'!F125*G125,0)</f>
        <v>13.135690111283614</v>
      </c>
      <c r="J125" s="283">
        <f t="shared" si="28"/>
        <v>49647.339209999998</v>
      </c>
      <c r="K125" s="44">
        <f t="shared" si="28"/>
        <v>65466.913930000002</v>
      </c>
      <c r="L125" s="250">
        <f t="shared" si="29"/>
        <v>31.9</v>
      </c>
      <c r="M125" s="27">
        <f>IFERROR(100/'Skjema total MA'!I125*K125,0)</f>
        <v>13.15583889344531</v>
      </c>
    </row>
    <row r="126" spans="1:14" ht="15.75" x14ac:dyDescent="0.2">
      <c r="A126" s="10" t="s">
        <v>392</v>
      </c>
      <c r="B126" s="45">
        <v>0</v>
      </c>
      <c r="C126" s="45">
        <v>522.41161999999997</v>
      </c>
      <c r="D126" s="167" t="str">
        <f t="shared" si="27"/>
        <v xml:space="preserve">    ---- </v>
      </c>
      <c r="E126" s="359">
        <f>IFERROR(100/'Skjema total MA'!C126*C126,0)</f>
        <v>100</v>
      </c>
      <c r="F126" s="45"/>
      <c r="G126" s="45"/>
      <c r="H126" s="167"/>
      <c r="I126" s="22"/>
      <c r="J126" s="284">
        <f t="shared" si="28"/>
        <v>0</v>
      </c>
      <c r="K126" s="45">
        <f t="shared" si="28"/>
        <v>522.41161999999997</v>
      </c>
      <c r="L126" s="251" t="str">
        <f t="shared" si="29"/>
        <v xml:space="preserve">    ---- </v>
      </c>
      <c r="M126" s="22">
        <f>IFERROR(100/'Skjema total MA'!I126*K126,0)</f>
        <v>100</v>
      </c>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49" priority="12">
      <formula>kvartal &lt; 4</formula>
    </cfRule>
  </conditionalFormatting>
  <conditionalFormatting sqref="A69:A74">
    <cfRule type="expression" dxfId="48" priority="10">
      <formula>kvartal &lt; 4</formula>
    </cfRule>
  </conditionalFormatting>
  <conditionalFormatting sqref="A80:A85">
    <cfRule type="expression" dxfId="47" priority="9">
      <formula>kvartal &lt; 4</formula>
    </cfRule>
  </conditionalFormatting>
  <conditionalFormatting sqref="A90:A95">
    <cfRule type="expression" dxfId="46" priority="6">
      <formula>kvartal &lt; 4</formula>
    </cfRule>
  </conditionalFormatting>
  <conditionalFormatting sqref="A101:A106">
    <cfRule type="expression" dxfId="45" priority="5">
      <formula>kvartal &lt; 4</formula>
    </cfRule>
  </conditionalFormatting>
  <conditionalFormatting sqref="A115">
    <cfRule type="expression" dxfId="44" priority="4">
      <formula>kvartal &lt; 4</formula>
    </cfRule>
  </conditionalFormatting>
  <conditionalFormatting sqref="A123">
    <cfRule type="expression" dxfId="43" priority="3">
      <formula>kvartal &lt; 4</formula>
    </cfRule>
  </conditionalFormatting>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120" zoomScaleNormal="120" workbookViewId="0">
      <selection activeCell="A2" sqref="A2"/>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140</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170644.22700000001</v>
      </c>
      <c r="C7" s="299">
        <v>171371.592</v>
      </c>
      <c r="D7" s="342">
        <f>IF(B7=0, "    ---- ", IF(ABS(ROUND(100/B7*C7-100,1))&lt;999,ROUND(100/B7*C7-100,1),IF(ROUND(100/B7*C7-100,1)&gt;999,999,-999)))</f>
        <v>0.4</v>
      </c>
      <c r="E7" s="11">
        <f>IFERROR(100/'Skjema total MA'!C7*C7,0)</f>
        <v>10.72565432968428</v>
      </c>
      <c r="F7" s="298">
        <v>335751.11499999999</v>
      </c>
      <c r="G7" s="299">
        <v>333937.76</v>
      </c>
      <c r="H7" s="342">
        <f>IF(F7=0, "    ---- ", IF(ABS(ROUND(100/F7*G7-100,1))&lt;999,ROUND(100/F7*G7-100,1),IF(ROUND(100/F7*G7-100,1)&gt;999,999,-999)))</f>
        <v>-0.5</v>
      </c>
      <c r="I7" s="160">
        <f>IFERROR(100/'Skjema total MA'!F7*G7,0)</f>
        <v>12.412153144650361</v>
      </c>
      <c r="J7" s="300">
        <f t="shared" ref="J7:K12" si="0">SUM(B7,F7)</f>
        <v>506395.342</v>
      </c>
      <c r="K7" s="301">
        <f t="shared" si="0"/>
        <v>505309.35200000001</v>
      </c>
      <c r="L7" s="365">
        <f>IF(J7=0, "    ---- ", IF(ABS(ROUND(100/J7*K7-100,1))&lt;999,ROUND(100/J7*K7-100,1),IF(ROUND(100/J7*K7-100,1)&gt;999,999,-999)))</f>
        <v>-0.2</v>
      </c>
      <c r="M7" s="11">
        <f>IFERROR(100/'Skjema total MA'!I7*K7,0)</f>
        <v>11.783765234425477</v>
      </c>
    </row>
    <row r="8" spans="1:14" ht="15.75" x14ac:dyDescent="0.2">
      <c r="A8" s="21" t="s">
        <v>25</v>
      </c>
      <c r="B8" s="277">
        <v>64020</v>
      </c>
      <c r="C8" s="278">
        <v>73363.091</v>
      </c>
      <c r="D8" s="166">
        <f t="shared" ref="D8:D10" si="1">IF(B8=0, "    ---- ", IF(ABS(ROUND(100/B8*C8-100,1))&lt;999,ROUND(100/B8*C8-100,1),IF(ROUND(100/B8*C8-100,1)&gt;999,999,-999)))</f>
        <v>14.6</v>
      </c>
      <c r="E8" s="27">
        <f>IFERROR(100/'Skjema total MA'!C8*C8,0)</f>
        <v>7.4570749256706748</v>
      </c>
      <c r="F8" s="281"/>
      <c r="G8" s="282"/>
      <c r="H8" s="166"/>
      <c r="I8" s="175"/>
      <c r="J8" s="230">
        <f t="shared" si="0"/>
        <v>64020</v>
      </c>
      <c r="K8" s="283">
        <f t="shared" si="0"/>
        <v>73363.091</v>
      </c>
      <c r="L8" s="166">
        <f t="shared" ref="L8:L9" si="2">IF(J8=0, "    ---- ", IF(ABS(ROUND(100/J8*K8-100,1))&lt;999,ROUND(100/J8*K8-100,1),IF(ROUND(100/J8*K8-100,1)&gt;999,999,-999)))</f>
        <v>14.6</v>
      </c>
      <c r="M8" s="27">
        <f>IFERROR(100/'Skjema total MA'!I8*K8,0)</f>
        <v>7.4570749256706748</v>
      </c>
    </row>
    <row r="9" spans="1:14" ht="15.75" x14ac:dyDescent="0.2">
      <c r="A9" s="21" t="s">
        <v>24</v>
      </c>
      <c r="B9" s="277">
        <v>19978</v>
      </c>
      <c r="C9" s="278">
        <v>15876.199000000001</v>
      </c>
      <c r="D9" s="166">
        <f t="shared" si="1"/>
        <v>-20.5</v>
      </c>
      <c r="E9" s="27">
        <f>IFERROR(100/'Skjema total MA'!C9*C9,0)</f>
        <v>4.3124005967661079</v>
      </c>
      <c r="F9" s="281"/>
      <c r="G9" s="282"/>
      <c r="H9" s="166"/>
      <c r="I9" s="175"/>
      <c r="J9" s="230">
        <f t="shared" si="0"/>
        <v>19978</v>
      </c>
      <c r="K9" s="283">
        <f t="shared" si="0"/>
        <v>15876.199000000001</v>
      </c>
      <c r="L9" s="166">
        <f t="shared" si="2"/>
        <v>-20.5</v>
      </c>
      <c r="M9" s="27">
        <f>IFERROR(100/'Skjema total MA'!I9*K9,0)</f>
        <v>4.3124005967661079</v>
      </c>
    </row>
    <row r="10" spans="1:14" ht="15.75" x14ac:dyDescent="0.2">
      <c r="A10" s="13" t="s">
        <v>371</v>
      </c>
      <c r="B10" s="302">
        <v>4046696.2349999999</v>
      </c>
      <c r="C10" s="303">
        <v>3997150.5109999999</v>
      </c>
      <c r="D10" s="171">
        <f t="shared" si="1"/>
        <v>-1.2</v>
      </c>
      <c r="E10" s="11">
        <f>IFERROR(100/'Skjema total MA'!C10*C10,0)</f>
        <v>19.744660488921209</v>
      </c>
      <c r="F10" s="302">
        <v>6456317.8370000003</v>
      </c>
      <c r="G10" s="303">
        <v>6764318.568</v>
      </c>
      <c r="H10" s="171">
        <f t="shared" ref="H10:H12" si="3">IF(F10=0, "    ---- ", IF(ABS(ROUND(100/F10*G10-100,1))&lt;999,ROUND(100/F10*G10-100,1),IF(ROUND(100/F10*G10-100,1)&gt;999,999,-999)))</f>
        <v>4.8</v>
      </c>
      <c r="I10" s="160">
        <f>IFERROR(100/'Skjema total MA'!F10*G10,0)</f>
        <v>15.093733832881886</v>
      </c>
      <c r="J10" s="300">
        <f t="shared" si="0"/>
        <v>10503014.072000001</v>
      </c>
      <c r="K10" s="301">
        <f t="shared" si="0"/>
        <v>10761469.079</v>
      </c>
      <c r="L10" s="366">
        <f t="shared" ref="L10:L12" si="4">IF(J10=0, "    ---- ", IF(ABS(ROUND(100/J10*K10-100,1))&lt;999,ROUND(100/J10*K10-100,1),IF(ROUND(100/J10*K10-100,1)&gt;999,999,-999)))</f>
        <v>2.5</v>
      </c>
      <c r="M10" s="11">
        <f>IFERROR(100/'Skjema total MA'!I10*K10,0)</f>
        <v>16.540934674816974</v>
      </c>
    </row>
    <row r="11" spans="1:14" s="43" customFormat="1" ht="15.75" x14ac:dyDescent="0.2">
      <c r="A11" s="13" t="s">
        <v>372</v>
      </c>
      <c r="B11" s="302"/>
      <c r="C11" s="303"/>
      <c r="D11" s="171"/>
      <c r="E11" s="11"/>
      <c r="F11" s="302">
        <v>997.21600000000001</v>
      </c>
      <c r="G11" s="303">
        <v>1418.7470000000001</v>
      </c>
      <c r="H11" s="171">
        <f t="shared" si="3"/>
        <v>42.3</v>
      </c>
      <c r="I11" s="160">
        <f>IFERROR(100/'Skjema total MA'!F11*G11,0)</f>
        <v>1.5281805715725822</v>
      </c>
      <c r="J11" s="300">
        <f t="shared" si="0"/>
        <v>997.21600000000001</v>
      </c>
      <c r="K11" s="301">
        <f t="shared" si="0"/>
        <v>1418.7470000000001</v>
      </c>
      <c r="L11" s="366">
        <f t="shared" si="4"/>
        <v>42.3</v>
      </c>
      <c r="M11" s="11">
        <f>IFERROR(100/'Skjema total MA'!I11*K11,0)</f>
        <v>1.4451798702071001</v>
      </c>
      <c r="N11" s="143"/>
    </row>
    <row r="12" spans="1:14" s="43" customFormat="1" ht="15.75" x14ac:dyDescent="0.2">
      <c r="A12" s="41" t="s">
        <v>373</v>
      </c>
      <c r="B12" s="304"/>
      <c r="C12" s="305"/>
      <c r="D12" s="169"/>
      <c r="E12" s="36"/>
      <c r="F12" s="304">
        <v>6579.9740000000002</v>
      </c>
      <c r="G12" s="305">
        <v>2281.98</v>
      </c>
      <c r="H12" s="169">
        <f t="shared" si="3"/>
        <v>-65.3</v>
      </c>
      <c r="I12" s="169">
        <f>IFERROR(100/'Skjema total MA'!F12*G12,0)</f>
        <v>5.4583883458347922</v>
      </c>
      <c r="J12" s="306">
        <f t="shared" si="0"/>
        <v>6579.9740000000002</v>
      </c>
      <c r="K12" s="307">
        <f t="shared" si="0"/>
        <v>2281.98</v>
      </c>
      <c r="L12" s="367">
        <f t="shared" si="4"/>
        <v>-65.3</v>
      </c>
      <c r="M12" s="36">
        <f>IFERROR(100/'Skjema total MA'!I12*K12,0)</f>
        <v>5.202891066615245</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2576.1190000000001</v>
      </c>
      <c r="C22" s="302">
        <v>2277.2710000000002</v>
      </c>
      <c r="D22" s="342">
        <f t="shared" ref="D22:D37" si="5">IF(B22=0, "    ---- ", IF(ABS(ROUND(100/B22*C22-100,1))&lt;999,ROUND(100/B22*C22-100,1),IF(ROUND(100/B22*C22-100,1)&gt;999,999,-999)))</f>
        <v>-11.6</v>
      </c>
      <c r="E22" s="11">
        <f>IFERROR(100/'Skjema total MA'!C22*C22,0)</f>
        <v>0.33035194233210508</v>
      </c>
      <c r="F22" s="310">
        <v>107812.95600000001</v>
      </c>
      <c r="G22" s="310">
        <v>94683.267000000007</v>
      </c>
      <c r="H22" s="342">
        <f t="shared" ref="H22:H35" si="6">IF(F22=0, "    ---- ", IF(ABS(ROUND(100/F22*G22-100,1))&lt;999,ROUND(100/F22*G22-100,1),IF(ROUND(100/F22*G22-100,1)&gt;999,999,-999)))</f>
        <v>-12.2</v>
      </c>
      <c r="I22" s="11">
        <f>IFERROR(100/'Skjema total MA'!F22*G22,0)</f>
        <v>30.623258856225252</v>
      </c>
      <c r="J22" s="308">
        <f t="shared" ref="J22:K35" si="7">SUM(B22,F22)</f>
        <v>110389.07500000001</v>
      </c>
      <c r="K22" s="308">
        <f t="shared" si="7"/>
        <v>96960.538</v>
      </c>
      <c r="L22" s="365">
        <f t="shared" ref="L22:L37" si="8">IF(J22=0, "    ---- ", IF(ABS(ROUND(100/J22*K22-100,1))&lt;999,ROUND(100/J22*K22-100,1),IF(ROUND(100/J22*K22-100,1)&gt;999,999,-999)))</f>
        <v>-12.2</v>
      </c>
      <c r="M22" s="24">
        <f>IFERROR(100/'Skjema total MA'!I22*K22,0)</f>
        <v>9.7102855037506206</v>
      </c>
    </row>
    <row r="23" spans="1:14" ht="15.75" x14ac:dyDescent="0.2">
      <c r="A23" s="546" t="s">
        <v>374</v>
      </c>
      <c r="B23" s="277">
        <v>337.553</v>
      </c>
      <c r="C23" s="277">
        <v>301.69799999999998</v>
      </c>
      <c r="D23" s="166">
        <f t="shared" si="5"/>
        <v>-10.6</v>
      </c>
      <c r="E23" s="11">
        <f>IFERROR(100/'Skjema total MA'!C23*C23,0)</f>
        <v>5.7375633184383282E-2</v>
      </c>
      <c r="F23" s="285">
        <v>27436.651000000002</v>
      </c>
      <c r="G23" s="285">
        <v>11062</v>
      </c>
      <c r="H23" s="166">
        <f t="shared" si="6"/>
        <v>-59.7</v>
      </c>
      <c r="I23" s="358">
        <f>IFERROR(100/'Skjema total MA'!F23*G23,0)</f>
        <v>36.317765881015475</v>
      </c>
      <c r="J23" s="285">
        <f t="shared" ref="J23:J26" si="9">SUM(B23,F23)</f>
        <v>27774.204000000002</v>
      </c>
      <c r="K23" s="285">
        <f t="shared" ref="K23:K26" si="10">SUM(C23,G23)</f>
        <v>11363.698</v>
      </c>
      <c r="L23" s="166">
        <f t="shared" si="8"/>
        <v>-59.1</v>
      </c>
      <c r="M23" s="23">
        <f>IFERROR(100/'Skjema total MA'!I23*K23,0)</f>
        <v>2.0427709315848537</v>
      </c>
    </row>
    <row r="24" spans="1:14" ht="15.75" x14ac:dyDescent="0.2">
      <c r="A24" s="546" t="s">
        <v>375</v>
      </c>
      <c r="B24" s="277">
        <v>2238.5659999999998</v>
      </c>
      <c r="C24" s="277">
        <v>1975.5730000000001</v>
      </c>
      <c r="D24" s="166">
        <f t="shared" si="5"/>
        <v>-11.7</v>
      </c>
      <c r="E24" s="11">
        <f>IFERROR(100/'Skjema total MA'!C24*C24,0)</f>
        <v>19.856824756324176</v>
      </c>
      <c r="F24" s="285">
        <v>10142.112999999999</v>
      </c>
      <c r="G24" s="285">
        <v>-3</v>
      </c>
      <c r="H24" s="166">
        <f t="shared" si="6"/>
        <v>-100</v>
      </c>
      <c r="I24" s="358">
        <f>IFERROR(100/'Skjema total MA'!F24*G24,0)</f>
        <v>-8.5714285714285747</v>
      </c>
      <c r="J24" s="285">
        <f t="shared" si="9"/>
        <v>12380.679</v>
      </c>
      <c r="K24" s="285">
        <f t="shared" si="10"/>
        <v>1972.5730000000001</v>
      </c>
      <c r="L24" s="166">
        <f t="shared" si="8"/>
        <v>-84.1</v>
      </c>
      <c r="M24" s="23">
        <f>IFERROR(100/'Skjema total MA'!I24*K24,0)</f>
        <v>19.757167296281828</v>
      </c>
    </row>
    <row r="25" spans="1:14" ht="15.75" x14ac:dyDescent="0.2">
      <c r="A25" s="546" t="s">
        <v>376</v>
      </c>
      <c r="B25" s="277"/>
      <c r="C25" s="277"/>
      <c r="D25" s="166"/>
      <c r="E25" s="11"/>
      <c r="F25" s="285">
        <v>89.75</v>
      </c>
      <c r="G25" s="285">
        <v>-358</v>
      </c>
      <c r="H25" s="166">
        <f t="shared" si="6"/>
        <v>-498.9</v>
      </c>
      <c r="I25" s="358">
        <f>IFERROR(100/'Skjema total MA'!F25*G25,0)</f>
        <v>-5.4828957597846451</v>
      </c>
      <c r="J25" s="285">
        <f t="shared" si="9"/>
        <v>89.75</v>
      </c>
      <c r="K25" s="285">
        <f t="shared" si="10"/>
        <v>-358</v>
      </c>
      <c r="L25" s="166">
        <f t="shared" si="8"/>
        <v>-498.9</v>
      </c>
      <c r="M25" s="23">
        <f>IFERROR(100/'Skjema total MA'!I25*K25,0)</f>
        <v>-1.9839954269947282</v>
      </c>
    </row>
    <row r="26" spans="1:14" ht="15.75" x14ac:dyDescent="0.2">
      <c r="A26" s="546" t="s">
        <v>377</v>
      </c>
      <c r="B26" s="277"/>
      <c r="C26" s="277"/>
      <c r="D26" s="166"/>
      <c r="E26" s="11"/>
      <c r="F26" s="285">
        <v>70144.441999999995</v>
      </c>
      <c r="G26" s="285">
        <v>83983.032999999996</v>
      </c>
      <c r="H26" s="166">
        <f t="shared" si="6"/>
        <v>19.7</v>
      </c>
      <c r="I26" s="358">
        <f>IFERROR(100/'Skjema total MA'!F26*G26,0)</f>
        <v>30.85741033353694</v>
      </c>
      <c r="J26" s="285">
        <f t="shared" si="9"/>
        <v>70144.441999999995</v>
      </c>
      <c r="K26" s="285">
        <f t="shared" si="10"/>
        <v>83983.032999999996</v>
      </c>
      <c r="L26" s="166">
        <f t="shared" si="8"/>
        <v>19.7</v>
      </c>
      <c r="M26" s="23">
        <f>IFERROR(100/'Skjema total MA'!I26*K26,0)</f>
        <v>30.85741033353694</v>
      </c>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50761</v>
      </c>
      <c r="C28" s="283">
        <v>55404.23</v>
      </c>
      <c r="D28" s="166">
        <f t="shared" si="5"/>
        <v>9.1</v>
      </c>
      <c r="E28" s="11">
        <f>IFERROR(100/'Skjema total MA'!C28*C28,0)</f>
        <v>8.587158118568567</v>
      </c>
      <c r="F28" s="230"/>
      <c r="G28" s="283"/>
      <c r="H28" s="166"/>
      <c r="I28" s="27"/>
      <c r="J28" s="44">
        <f t="shared" si="7"/>
        <v>50761</v>
      </c>
      <c r="K28" s="44">
        <f t="shared" si="7"/>
        <v>55404.23</v>
      </c>
      <c r="L28" s="250">
        <f t="shared" si="8"/>
        <v>9.1</v>
      </c>
      <c r="M28" s="23">
        <f>IFERROR(100/'Skjema total MA'!I28*K28,0)</f>
        <v>8.587158118568567</v>
      </c>
    </row>
    <row r="29" spans="1:14" s="3" customFormat="1" ht="15.75" x14ac:dyDescent="0.2">
      <c r="A29" s="13" t="s">
        <v>371</v>
      </c>
      <c r="B29" s="232">
        <v>10993582</v>
      </c>
      <c r="C29" s="232">
        <v>10207172</v>
      </c>
      <c r="D29" s="171">
        <f t="shared" si="5"/>
        <v>-7.2</v>
      </c>
      <c r="E29" s="11">
        <f>IFERROR(100/'Skjema total MA'!C29*C29,0)</f>
        <v>21.298185935377138</v>
      </c>
      <c r="F29" s="300">
        <v>4143731.5380000002</v>
      </c>
      <c r="G29" s="300">
        <v>4459894.6069999998</v>
      </c>
      <c r="H29" s="171">
        <f t="shared" si="6"/>
        <v>7.6</v>
      </c>
      <c r="I29" s="11">
        <f>IFERROR(100/'Skjema total MA'!F29*G29,0)</f>
        <v>21.962317213831906</v>
      </c>
      <c r="J29" s="232">
        <f t="shared" si="7"/>
        <v>15137313.538000001</v>
      </c>
      <c r="K29" s="232">
        <f t="shared" si="7"/>
        <v>14667066.607000001</v>
      </c>
      <c r="L29" s="366">
        <f t="shared" si="8"/>
        <v>-3.1</v>
      </c>
      <c r="M29" s="24">
        <f>IFERROR(100/'Skjema total MA'!I29*K29,0)</f>
        <v>21.495842653787175</v>
      </c>
      <c r="N29" s="148"/>
    </row>
    <row r="30" spans="1:14" s="3" customFormat="1" ht="15.75" x14ac:dyDescent="0.2">
      <c r="A30" s="546" t="s">
        <v>374</v>
      </c>
      <c r="B30" s="277">
        <v>1440505</v>
      </c>
      <c r="C30" s="277">
        <v>1352270</v>
      </c>
      <c r="D30" s="166">
        <f t="shared" si="5"/>
        <v>-6.1</v>
      </c>
      <c r="E30" s="11">
        <f>IFERROR(100/'Skjema total MA'!C30*C30,0)</f>
        <v>11.74351565368281</v>
      </c>
      <c r="F30" s="285">
        <v>507121.11900000001</v>
      </c>
      <c r="G30" s="285">
        <v>512321.74599999998</v>
      </c>
      <c r="H30" s="166">
        <f t="shared" si="6"/>
        <v>1</v>
      </c>
      <c r="I30" s="358">
        <f>IFERROR(100/'Skjema total MA'!F30*G30,0)</f>
        <v>12.187833338606655</v>
      </c>
      <c r="J30" s="285">
        <f t="shared" ref="J30:J33" si="11">SUM(B30,F30)</f>
        <v>1947626.1189999999</v>
      </c>
      <c r="K30" s="285">
        <f t="shared" ref="K30:K33" si="12">SUM(C30,G30)</f>
        <v>1864591.746</v>
      </c>
      <c r="L30" s="166">
        <f t="shared" si="8"/>
        <v>-4.3</v>
      </c>
      <c r="M30" s="23">
        <f>IFERROR(100/'Skjema total MA'!I30*K30,0)</f>
        <v>11.862337529123614</v>
      </c>
      <c r="N30" s="148"/>
    </row>
    <row r="31" spans="1:14" s="3" customFormat="1" ht="15.75" x14ac:dyDescent="0.2">
      <c r="A31" s="546" t="s">
        <v>375</v>
      </c>
      <c r="B31" s="277">
        <v>9553077</v>
      </c>
      <c r="C31" s="277">
        <v>8854902</v>
      </c>
      <c r="D31" s="166">
        <f t="shared" si="5"/>
        <v>-7.3</v>
      </c>
      <c r="E31" s="11">
        <f>IFERROR(100/'Skjema total MA'!C31*C31,0)</f>
        <v>26.614451253633352</v>
      </c>
      <c r="F31" s="285">
        <v>2085727.7320000001</v>
      </c>
      <c r="G31" s="285">
        <v>1888246.2579999999</v>
      </c>
      <c r="H31" s="166">
        <f t="shared" si="6"/>
        <v>-9.5</v>
      </c>
      <c r="I31" s="358">
        <f>IFERROR(100/'Skjema total MA'!F31*G31,0)</f>
        <v>22.612398653288523</v>
      </c>
      <c r="J31" s="285">
        <f t="shared" si="11"/>
        <v>11638804.732000001</v>
      </c>
      <c r="K31" s="285">
        <f t="shared" si="12"/>
        <v>10743148.257999999</v>
      </c>
      <c r="L31" s="166">
        <f t="shared" si="8"/>
        <v>-7.7</v>
      </c>
      <c r="M31" s="23">
        <f>IFERROR(100/'Skjema total MA'!I31*K31,0)</f>
        <v>25.811522797313341</v>
      </c>
      <c r="N31" s="148"/>
    </row>
    <row r="32" spans="1:14" ht="15.75" x14ac:dyDescent="0.2">
      <c r="A32" s="546" t="s">
        <v>376</v>
      </c>
      <c r="B32" s="277"/>
      <c r="C32" s="277"/>
      <c r="D32" s="166"/>
      <c r="E32" s="11"/>
      <c r="F32" s="285">
        <v>1179223.6100000001</v>
      </c>
      <c r="G32" s="285">
        <v>1276617.047</v>
      </c>
      <c r="H32" s="166">
        <f t="shared" si="6"/>
        <v>8.3000000000000007</v>
      </c>
      <c r="I32" s="358">
        <f>IFERROR(100/'Skjema total MA'!F32*G32,0)</f>
        <v>30.814216182845211</v>
      </c>
      <c r="J32" s="285">
        <f t="shared" si="11"/>
        <v>1179223.6100000001</v>
      </c>
      <c r="K32" s="285">
        <f t="shared" si="12"/>
        <v>1276617.047</v>
      </c>
      <c r="L32" s="166">
        <f t="shared" si="8"/>
        <v>8.3000000000000007</v>
      </c>
      <c r="M32" s="23">
        <f>IFERROR(100/'Skjema total MA'!I32*K32,0)</f>
        <v>23.511301017648599</v>
      </c>
    </row>
    <row r="33" spans="1:14" ht="15.75" x14ac:dyDescent="0.2">
      <c r="A33" s="546" t="s">
        <v>377</v>
      </c>
      <c r="B33" s="277"/>
      <c r="C33" s="277"/>
      <c r="D33" s="166"/>
      <c r="E33" s="11"/>
      <c r="F33" s="285">
        <v>371659.07699999999</v>
      </c>
      <c r="G33" s="285">
        <v>782709.55599999998</v>
      </c>
      <c r="H33" s="166">
        <f t="shared" si="6"/>
        <v>110.6</v>
      </c>
      <c r="I33" s="358">
        <f>IFERROR(100/'Skjema total MA'!F34*G33,0)</f>
        <v>5836.912084114987</v>
      </c>
      <c r="J33" s="285">
        <f t="shared" si="11"/>
        <v>371659.07699999999</v>
      </c>
      <c r="K33" s="285">
        <f t="shared" si="12"/>
        <v>782709.55599999998</v>
      </c>
      <c r="L33" s="166">
        <f t="shared" si="8"/>
        <v>110.6</v>
      </c>
      <c r="M33" s="23">
        <f>IFERROR(100/'Skjema total MA'!I34*K33,0)</f>
        <v>4034.6058709428653</v>
      </c>
    </row>
    <row r="34" spans="1:14" ht="15.75" x14ac:dyDescent="0.2">
      <c r="A34" s="13" t="s">
        <v>372</v>
      </c>
      <c r="B34" s="232">
        <v>1396.7</v>
      </c>
      <c r="C34" s="301">
        <v>1794.25</v>
      </c>
      <c r="D34" s="171">
        <f t="shared" si="5"/>
        <v>28.5</v>
      </c>
      <c r="E34" s="11">
        <f>IFERROR(100/'Skjema total MA'!C34*C34,0)</f>
        <v>29.952840031718207</v>
      </c>
      <c r="F34" s="300">
        <v>2558.6410000000001</v>
      </c>
      <c r="G34" s="301">
        <v>3796</v>
      </c>
      <c r="H34" s="171">
        <f t="shared" si="6"/>
        <v>48.4</v>
      </c>
      <c r="I34" s="11">
        <f>IFERROR(100/'Skjema total MA'!F34*G34,0)</f>
        <v>28.30796954177022</v>
      </c>
      <c r="J34" s="232">
        <f t="shared" si="7"/>
        <v>3955.3410000000003</v>
      </c>
      <c r="K34" s="232">
        <f t="shared" si="7"/>
        <v>5590.25</v>
      </c>
      <c r="L34" s="366">
        <f t="shared" si="8"/>
        <v>41.3</v>
      </c>
      <c r="M34" s="24">
        <f>IFERROR(100/'Skjema total MA'!I34*K34,0)</f>
        <v>28.815868283634899</v>
      </c>
    </row>
    <row r="35" spans="1:14" ht="15.75" x14ac:dyDescent="0.2">
      <c r="A35" s="13" t="s">
        <v>373</v>
      </c>
      <c r="B35" s="232">
        <v>433.149</v>
      </c>
      <c r="C35" s="301">
        <v>224.376</v>
      </c>
      <c r="D35" s="171">
        <f t="shared" si="5"/>
        <v>-48.2</v>
      </c>
      <c r="E35" s="11">
        <f>IFERROR(100/'Skjema total MA'!C35*C35,0)</f>
        <v>-2.9818740000035242</v>
      </c>
      <c r="F35" s="300">
        <v>3019.54</v>
      </c>
      <c r="G35" s="301">
        <v>4546.9229999999998</v>
      </c>
      <c r="H35" s="171">
        <f t="shared" si="6"/>
        <v>50.6</v>
      </c>
      <c r="I35" s="11">
        <f>IFERROR(100/'Skjema total MA'!F35*G35,0)</f>
        <v>20.18302755161837</v>
      </c>
      <c r="J35" s="232">
        <f t="shared" si="7"/>
        <v>3452.6889999999999</v>
      </c>
      <c r="K35" s="232">
        <f t="shared" si="7"/>
        <v>4771.299</v>
      </c>
      <c r="L35" s="366">
        <f t="shared" si="8"/>
        <v>38.200000000000003</v>
      </c>
      <c r="M35" s="24">
        <f>IFERROR(100/'Skjema total MA'!I35*K35,0)</f>
        <v>31.800636402629681</v>
      </c>
    </row>
    <row r="36" spans="1:14" ht="15.75" x14ac:dyDescent="0.2">
      <c r="A36" s="12" t="s">
        <v>290</v>
      </c>
      <c r="B36" s="232">
        <v>33.963000000000001</v>
      </c>
      <c r="C36" s="301">
        <v>34.747999999999998</v>
      </c>
      <c r="D36" s="171">
        <f t="shared" si="5"/>
        <v>2.2999999999999998</v>
      </c>
      <c r="E36" s="11">
        <f>100/'Skjema total MA'!C36*C36</f>
        <v>3.3875766757527188</v>
      </c>
      <c r="F36" s="311"/>
      <c r="G36" s="312"/>
      <c r="H36" s="171"/>
      <c r="I36" s="372"/>
      <c r="J36" s="232">
        <f t="shared" ref="J36:J37" si="13">SUM(B36,F36)</f>
        <v>33.963000000000001</v>
      </c>
      <c r="K36" s="232">
        <f t="shared" ref="K36:K37" si="14">SUM(C36,G36)</f>
        <v>34.747999999999998</v>
      </c>
      <c r="L36" s="366">
        <f t="shared" si="8"/>
        <v>2.2999999999999998</v>
      </c>
      <c r="M36" s="24">
        <f>IFERROR(100/'Skjema total MA'!I36*K36,0)</f>
        <v>3.3875766757527188</v>
      </c>
    </row>
    <row r="37" spans="1:14" ht="15.75" x14ac:dyDescent="0.2">
      <c r="A37" s="12" t="s">
        <v>379</v>
      </c>
      <c r="B37" s="232">
        <v>483917.94699999999</v>
      </c>
      <c r="C37" s="301">
        <v>468072.69</v>
      </c>
      <c r="D37" s="171">
        <f t="shared" si="5"/>
        <v>-3.3</v>
      </c>
      <c r="E37" s="11">
        <f>100/'Skjema total MA'!C37*C37</f>
        <v>12.481226504123475</v>
      </c>
      <c r="F37" s="311"/>
      <c r="G37" s="313"/>
      <c r="H37" s="171"/>
      <c r="I37" s="372"/>
      <c r="J37" s="232">
        <f t="shared" si="13"/>
        <v>483917.94699999999</v>
      </c>
      <c r="K37" s="232">
        <f t="shared" si="14"/>
        <v>468072.69</v>
      </c>
      <c r="L37" s="366">
        <f t="shared" si="8"/>
        <v>-3.3</v>
      </c>
      <c r="M37" s="24">
        <f>IFERROR(100/'Skjema total MA'!I37*K37,0)</f>
        <v>12.481226504123475</v>
      </c>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441903.239</v>
      </c>
      <c r="C47" s="303">
        <v>445981.75699999998</v>
      </c>
      <c r="D47" s="365">
        <f t="shared" ref="D47:D57" si="15">IF(B47=0, "    ---- ", IF(ABS(ROUND(100/B47*C47-100,1))&lt;999,ROUND(100/B47*C47-100,1),IF(ROUND(100/B47*C47-100,1)&gt;999,999,-999)))</f>
        <v>0.9</v>
      </c>
      <c r="E47" s="11">
        <f>IFERROR(100/'Skjema total MA'!C47*C47,0)</f>
        <v>17.822140356640684</v>
      </c>
      <c r="F47" s="145"/>
      <c r="G47" s="33"/>
      <c r="H47" s="159"/>
      <c r="I47" s="159"/>
      <c r="J47" s="37"/>
      <c r="K47" s="37"/>
      <c r="L47" s="159"/>
      <c r="M47" s="159"/>
      <c r="N47" s="148"/>
    </row>
    <row r="48" spans="1:14" s="3" customFormat="1" ht="15.75" x14ac:dyDescent="0.2">
      <c r="A48" s="38" t="s">
        <v>382</v>
      </c>
      <c r="B48" s="277">
        <v>145276.799</v>
      </c>
      <c r="C48" s="278">
        <v>154398.25599999999</v>
      </c>
      <c r="D48" s="250">
        <f t="shared" si="15"/>
        <v>6.3</v>
      </c>
      <c r="E48" s="27">
        <f>IFERROR(100/'Skjema total MA'!C48*C48,0)</f>
        <v>11.534976698395726</v>
      </c>
      <c r="F48" s="145"/>
      <c r="G48" s="33"/>
      <c r="H48" s="145"/>
      <c r="I48" s="145"/>
      <c r="J48" s="33"/>
      <c r="K48" s="33"/>
      <c r="L48" s="159"/>
      <c r="M48" s="159"/>
      <c r="N48" s="148"/>
    </row>
    <row r="49" spans="1:14" s="3" customFormat="1" ht="15.75" x14ac:dyDescent="0.2">
      <c r="A49" s="38" t="s">
        <v>383</v>
      </c>
      <c r="B49" s="44">
        <v>296626.44</v>
      </c>
      <c r="C49" s="283">
        <v>291583.50099999999</v>
      </c>
      <c r="D49" s="250">
        <f>IF(B49=0, "    ---- ", IF(ABS(ROUND(100/B49*C49-100,1))&lt;999,ROUND(100/B49*C49-100,1),IF(ROUND(100/B49*C49-100,1)&gt;999,999,-999)))</f>
        <v>-1.7</v>
      </c>
      <c r="E49" s="27">
        <f>IFERROR(100/'Skjema total MA'!C49*C49,0)</f>
        <v>25.052702648532758</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1563.316</v>
      </c>
      <c r="C53" s="303">
        <v>6993.3620000000001</v>
      </c>
      <c r="D53" s="366">
        <f t="shared" si="15"/>
        <v>347.3</v>
      </c>
      <c r="E53" s="11">
        <f>IFERROR(100/'Skjema total MA'!C53*C53,0)</f>
        <v>4.693498878131968</v>
      </c>
      <c r="F53" s="145"/>
      <c r="G53" s="33"/>
      <c r="H53" s="145"/>
      <c r="I53" s="145"/>
      <c r="J53" s="33"/>
      <c r="K53" s="33"/>
      <c r="L53" s="159"/>
      <c r="M53" s="159"/>
      <c r="N53" s="148"/>
    </row>
    <row r="54" spans="1:14" s="3" customFormat="1" ht="15.75" x14ac:dyDescent="0.2">
      <c r="A54" s="38" t="s">
        <v>382</v>
      </c>
      <c r="B54" s="277">
        <v>1563.316</v>
      </c>
      <c r="C54" s="278">
        <v>6993.3620000000001</v>
      </c>
      <c r="D54" s="250">
        <f t="shared" si="15"/>
        <v>347.3</v>
      </c>
      <c r="E54" s="27">
        <f>IFERROR(100/'Skjema total MA'!C54*C54,0)</f>
        <v>11.059753579368088</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2131.7289999999998</v>
      </c>
      <c r="C56" s="303">
        <v>5317.01</v>
      </c>
      <c r="D56" s="366">
        <f t="shared" si="15"/>
        <v>149.4</v>
      </c>
      <c r="E56" s="11">
        <f>IFERROR(100/'Skjema total MA'!C56*C56,0)</f>
        <v>4.3911633706011122</v>
      </c>
      <c r="F56" s="145"/>
      <c r="G56" s="33"/>
      <c r="H56" s="145"/>
      <c r="I56" s="145"/>
      <c r="J56" s="33"/>
      <c r="K56" s="33"/>
      <c r="L56" s="159"/>
      <c r="M56" s="159"/>
      <c r="N56" s="148"/>
    </row>
    <row r="57" spans="1:14" s="3" customFormat="1" ht="15.75" x14ac:dyDescent="0.2">
      <c r="A57" s="38" t="s">
        <v>382</v>
      </c>
      <c r="B57" s="277">
        <v>2131.7289999999998</v>
      </c>
      <c r="C57" s="278">
        <v>5317.01</v>
      </c>
      <c r="D57" s="250">
        <f t="shared" si="15"/>
        <v>149.4</v>
      </c>
      <c r="E57" s="27">
        <f>IFERROR(100/'Skjema total MA'!C57*C57,0)</f>
        <v>9.7562680739251064</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1618180.7039999999</v>
      </c>
      <c r="C66" s="345">
        <v>1486536.871</v>
      </c>
      <c r="D66" s="342">
        <f t="shared" ref="D66:D111" si="16">IF(B66=0, "    ---- ", IF(ABS(ROUND(100/B66*C66-100,1))&lt;999,ROUND(100/B66*C66-100,1),IF(ROUND(100/B66*C66-100,1)&gt;999,999,-999)))</f>
        <v>-8.1</v>
      </c>
      <c r="E66" s="11">
        <f>IFERROR(100/'Skjema total MA'!C66*C66,0)</f>
        <v>42.314158010990852</v>
      </c>
      <c r="F66" s="344">
        <v>2224185.4049999998</v>
      </c>
      <c r="G66" s="344">
        <v>2333386.8620000002</v>
      </c>
      <c r="H66" s="342">
        <f t="shared" ref="H66:H111" si="17">IF(F66=0, "    ---- ", IF(ABS(ROUND(100/F66*G66-100,1))&lt;999,ROUND(100/F66*G66-100,1),IF(ROUND(100/F66*G66-100,1)&gt;999,999,-999)))</f>
        <v>4.9000000000000004</v>
      </c>
      <c r="I66" s="11">
        <f>IFERROR(100/'Skjema total MA'!F66*G66,0)</f>
        <v>29.58593961009872</v>
      </c>
      <c r="J66" s="301">
        <f t="shared" ref="J66:K86" si="18">SUM(B66,F66)</f>
        <v>3842366.1089999997</v>
      </c>
      <c r="K66" s="308">
        <f t="shared" si="18"/>
        <v>3819923.733</v>
      </c>
      <c r="L66" s="366">
        <f t="shared" ref="L66:L111" si="19">IF(J66=0, "    ---- ", IF(ABS(ROUND(100/J66*K66-100,1))&lt;999,ROUND(100/J66*K66-100,1),IF(ROUND(100/J66*K66-100,1)&gt;999,999,-999)))</f>
        <v>-0.6</v>
      </c>
      <c r="M66" s="11">
        <f>IFERROR(100/'Skjema total MA'!I66*K66,0)</f>
        <v>33.50837988115692</v>
      </c>
    </row>
    <row r="67" spans="1:14" x14ac:dyDescent="0.2">
      <c r="A67" s="360" t="s">
        <v>9</v>
      </c>
      <c r="B67" s="44">
        <v>1290630.4569999999</v>
      </c>
      <c r="C67" s="145">
        <v>1155356.23</v>
      </c>
      <c r="D67" s="166">
        <f t="shared" si="16"/>
        <v>-10.5</v>
      </c>
      <c r="E67" s="27">
        <f>IFERROR(100/'Skjema total MA'!C67*C67,0)</f>
        <v>40.855585019434962</v>
      </c>
      <c r="F67" s="230"/>
      <c r="G67" s="145"/>
      <c r="H67" s="166"/>
      <c r="I67" s="27"/>
      <c r="J67" s="283">
        <f t="shared" si="18"/>
        <v>1290630.4569999999</v>
      </c>
      <c r="K67" s="44">
        <f t="shared" si="18"/>
        <v>1155356.23</v>
      </c>
      <c r="L67" s="250">
        <f t="shared" si="19"/>
        <v>-10.5</v>
      </c>
      <c r="M67" s="27">
        <f>IFERROR(100/'Skjema total MA'!I67*K67,0)</f>
        <v>40.855585019434962</v>
      </c>
    </row>
    <row r="68" spans="1:14" x14ac:dyDescent="0.2">
      <c r="A68" s="21" t="s">
        <v>10</v>
      </c>
      <c r="B68" s="286"/>
      <c r="C68" s="287"/>
      <c r="D68" s="166"/>
      <c r="E68" s="27"/>
      <c r="F68" s="286">
        <v>2180300.3539999998</v>
      </c>
      <c r="G68" s="287">
        <v>2288262.844</v>
      </c>
      <c r="H68" s="166">
        <f t="shared" si="17"/>
        <v>5</v>
      </c>
      <c r="I68" s="27">
        <f>IFERROR(100/'Skjema total MA'!F68*G68,0)</f>
        <v>29.39725316401908</v>
      </c>
      <c r="J68" s="283">
        <f t="shared" si="18"/>
        <v>2180300.3539999998</v>
      </c>
      <c r="K68" s="44">
        <f t="shared" si="18"/>
        <v>2288262.844</v>
      </c>
      <c r="L68" s="250">
        <f t="shared" si="19"/>
        <v>5</v>
      </c>
      <c r="M68" s="27">
        <f>IFERROR(100/'Skjema total MA'!I68*K68,0)</f>
        <v>29.03533002200771</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v>27897.511999999999</v>
      </c>
      <c r="C75" s="145">
        <v>31826.722000000002</v>
      </c>
      <c r="D75" s="166">
        <f t="shared" si="16"/>
        <v>14.1</v>
      </c>
      <c r="E75" s="27">
        <f>IFERROR(100/'Skjema total MA'!C75*C75,0)</f>
        <v>27.83971724560913</v>
      </c>
      <c r="F75" s="230">
        <v>43885.050999999999</v>
      </c>
      <c r="G75" s="145">
        <v>45124.017999999996</v>
      </c>
      <c r="H75" s="166">
        <f t="shared" si="17"/>
        <v>2.8</v>
      </c>
      <c r="I75" s="27">
        <f>IFERROR(100/'Skjema total MA'!F75*G75,0)</f>
        <v>43.862592186239759</v>
      </c>
      <c r="J75" s="283">
        <f t="shared" si="18"/>
        <v>71782.562999999995</v>
      </c>
      <c r="K75" s="44">
        <f t="shared" si="18"/>
        <v>76950.739999999991</v>
      </c>
      <c r="L75" s="250">
        <f t="shared" si="19"/>
        <v>7.2</v>
      </c>
      <c r="M75" s="27">
        <f>IFERROR(100/'Skjema total MA'!I75*K75,0)</f>
        <v>35.428983830211195</v>
      </c>
      <c r="N75" s="148"/>
    </row>
    <row r="76" spans="1:14" s="3" customFormat="1" x14ac:dyDescent="0.2">
      <c r="A76" s="21" t="s">
        <v>355</v>
      </c>
      <c r="B76" s="230">
        <v>299652.73499999999</v>
      </c>
      <c r="C76" s="145">
        <v>299353.91899999999</v>
      </c>
      <c r="D76" s="166">
        <f t="shared" ref="D76" si="20">IF(B76=0, "    ---- ", IF(ABS(ROUND(100/B76*C76-100,1))&lt;999,ROUND(100/B76*C76-100,1),IF(ROUND(100/B76*C76-100,1)&gt;999,999,-999)))</f>
        <v>-0.1</v>
      </c>
      <c r="E76" s="27">
        <f>IFERROR(100/'Skjema total MA'!C77*C76,0)</f>
        <v>10.442108728736502</v>
      </c>
      <c r="F76" s="230"/>
      <c r="G76" s="145"/>
      <c r="H76" s="166"/>
      <c r="I76" s="27"/>
      <c r="J76" s="283">
        <f t="shared" ref="J76" si="21">SUM(B76,F76)</f>
        <v>299652.73499999999</v>
      </c>
      <c r="K76" s="44">
        <f t="shared" ref="K76" si="22">SUM(C76,G76)</f>
        <v>299353.91899999999</v>
      </c>
      <c r="L76" s="250">
        <f t="shared" ref="L76" si="23">IF(J76=0, "    ---- ", IF(ABS(ROUND(100/J76*K76-100,1))&lt;999,ROUND(100/J76*K76-100,1),IF(ROUND(100/J76*K76-100,1)&gt;999,999,-999)))</f>
        <v>-0.1</v>
      </c>
      <c r="M76" s="27">
        <f>IFERROR(100/'Skjema total MA'!I77*K76,0)</f>
        <v>2.8115606294781048</v>
      </c>
      <c r="N76" s="148"/>
    </row>
    <row r="77" spans="1:14" ht="15.75" x14ac:dyDescent="0.2">
      <c r="A77" s="21" t="s">
        <v>388</v>
      </c>
      <c r="B77" s="230">
        <v>1179067.8840000001</v>
      </c>
      <c r="C77" s="230">
        <v>1103524.5819999999</v>
      </c>
      <c r="D77" s="166">
        <f t="shared" si="16"/>
        <v>-6.4</v>
      </c>
      <c r="E77" s="27">
        <f>IFERROR(100/'Skjema total MA'!C77*C77,0)</f>
        <v>38.493311557673309</v>
      </c>
      <c r="F77" s="230">
        <v>2180300.3539999998</v>
      </c>
      <c r="G77" s="145">
        <v>2288262.844</v>
      </c>
      <c r="H77" s="166">
        <f t="shared" si="17"/>
        <v>5</v>
      </c>
      <c r="I77" s="27">
        <f>IFERROR(100/'Skjema total MA'!F77*G77,0)</f>
        <v>29.410397247745639</v>
      </c>
      <c r="J77" s="283">
        <f t="shared" si="18"/>
        <v>3359368.2379999999</v>
      </c>
      <c r="K77" s="44">
        <f t="shared" si="18"/>
        <v>3391787.426</v>
      </c>
      <c r="L77" s="250">
        <f t="shared" si="19"/>
        <v>1</v>
      </c>
      <c r="M77" s="27">
        <f>IFERROR(100/'Skjema total MA'!I77*K77,0)</f>
        <v>31.855991805139791</v>
      </c>
    </row>
    <row r="78" spans="1:14" x14ac:dyDescent="0.2">
      <c r="A78" s="21" t="s">
        <v>9</v>
      </c>
      <c r="B78" s="230">
        <v>1179067.8840000001</v>
      </c>
      <c r="C78" s="145">
        <v>1103524.5819999999</v>
      </c>
      <c r="D78" s="166">
        <f t="shared" si="16"/>
        <v>-6.4</v>
      </c>
      <c r="E78" s="27">
        <f>IFERROR(100/'Skjema total MA'!C78*C78,0)</f>
        <v>39.823157818232318</v>
      </c>
      <c r="F78" s="230"/>
      <c r="G78" s="145"/>
      <c r="H78" s="166"/>
      <c r="I78" s="27"/>
      <c r="J78" s="283">
        <f t="shared" si="18"/>
        <v>1179067.8840000001</v>
      </c>
      <c r="K78" s="44">
        <f t="shared" si="18"/>
        <v>1103524.5819999999</v>
      </c>
      <c r="L78" s="250">
        <f t="shared" si="19"/>
        <v>-6.4</v>
      </c>
      <c r="M78" s="27">
        <f>IFERROR(100/'Skjema total MA'!I78*K78,0)</f>
        <v>39.823157818232318</v>
      </c>
    </row>
    <row r="79" spans="1:14" x14ac:dyDescent="0.2">
      <c r="A79" s="21" t="s">
        <v>10</v>
      </c>
      <c r="B79" s="286"/>
      <c r="C79" s="287"/>
      <c r="D79" s="166"/>
      <c r="E79" s="27"/>
      <c r="F79" s="286">
        <v>2180300.3539999998</v>
      </c>
      <c r="G79" s="287">
        <v>2288262.844</v>
      </c>
      <c r="H79" s="166">
        <f t="shared" si="17"/>
        <v>5</v>
      </c>
      <c r="I79" s="27">
        <f>IFERROR(100/'Skjema total MA'!F79*G79,0)</f>
        <v>29.410397247745639</v>
      </c>
      <c r="J79" s="283">
        <f t="shared" si="18"/>
        <v>2180300.3539999998</v>
      </c>
      <c r="K79" s="44">
        <f t="shared" si="18"/>
        <v>2288262.844</v>
      </c>
      <c r="L79" s="250">
        <f t="shared" si="19"/>
        <v>5</v>
      </c>
      <c r="M79" s="27">
        <f>IFERROR(100/'Skjema total MA'!I79*K79,0)</f>
        <v>29.052920940682416</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v>111562.573</v>
      </c>
      <c r="C86" s="145">
        <v>51831.648000000001</v>
      </c>
      <c r="D86" s="166">
        <f t="shared" si="16"/>
        <v>-53.5</v>
      </c>
      <c r="E86" s="27">
        <f>IFERROR(100/'Skjema total MA'!C86*C86,0)</f>
        <v>89.159859577428037</v>
      </c>
      <c r="F86" s="230"/>
      <c r="G86" s="145"/>
      <c r="H86" s="166"/>
      <c r="I86" s="27"/>
      <c r="J86" s="283">
        <f t="shared" si="18"/>
        <v>111562.573</v>
      </c>
      <c r="K86" s="44">
        <f t="shared" si="18"/>
        <v>51831.648000000001</v>
      </c>
      <c r="L86" s="250">
        <f t="shared" si="19"/>
        <v>-53.5</v>
      </c>
      <c r="M86" s="27">
        <f>IFERROR(100/'Skjema total MA'!I86*K86,0)</f>
        <v>84.125649102397091</v>
      </c>
    </row>
    <row r="87" spans="1:13" ht="15.75" x14ac:dyDescent="0.2">
      <c r="A87" s="13" t="s">
        <v>371</v>
      </c>
      <c r="B87" s="345">
        <v>162740387.998</v>
      </c>
      <c r="C87" s="345">
        <v>163673544.454</v>
      </c>
      <c r="D87" s="171">
        <f t="shared" si="16"/>
        <v>0.6</v>
      </c>
      <c r="E87" s="11">
        <f>IFERROR(100/'Skjema total MA'!C87*C87,0)</f>
        <v>42.131304726912354</v>
      </c>
      <c r="F87" s="344">
        <v>78692556.189999998</v>
      </c>
      <c r="G87" s="344">
        <v>88658453.464999989</v>
      </c>
      <c r="H87" s="171">
        <f t="shared" si="17"/>
        <v>12.7</v>
      </c>
      <c r="I87" s="11">
        <f>IFERROR(100/'Skjema total MA'!F87*G87,0)</f>
        <v>32.759850391945832</v>
      </c>
      <c r="J87" s="301">
        <f t="shared" ref="J87:K111" si="24">SUM(B87,F87)</f>
        <v>241432944.18799999</v>
      </c>
      <c r="K87" s="232">
        <f t="shared" si="24"/>
        <v>252331997.91899997</v>
      </c>
      <c r="L87" s="366">
        <f t="shared" si="19"/>
        <v>4.5</v>
      </c>
      <c r="M87" s="11">
        <f>IFERROR(100/'Skjema total MA'!I87*K87,0)</f>
        <v>38.283407253106283</v>
      </c>
    </row>
    <row r="88" spans="1:13" x14ac:dyDescent="0.2">
      <c r="A88" s="21" t="s">
        <v>9</v>
      </c>
      <c r="B88" s="230">
        <v>158511304.67199999</v>
      </c>
      <c r="C88" s="145">
        <v>159296223.69399998</v>
      </c>
      <c r="D88" s="166">
        <f t="shared" si="16"/>
        <v>0.5</v>
      </c>
      <c r="E88" s="27">
        <f>IFERROR(100/'Skjema total MA'!C88*C88,0)</f>
        <v>41.935946394808582</v>
      </c>
      <c r="F88" s="230"/>
      <c r="G88" s="145"/>
      <c r="H88" s="166"/>
      <c r="I88" s="27"/>
      <c r="J88" s="283">
        <f t="shared" si="24"/>
        <v>158511304.67199999</v>
      </c>
      <c r="K88" s="44">
        <f t="shared" si="24"/>
        <v>159296223.69399998</v>
      </c>
      <c r="L88" s="250">
        <f t="shared" si="19"/>
        <v>0.5</v>
      </c>
      <c r="M88" s="27">
        <f>IFERROR(100/'Skjema total MA'!I88*K88,0)</f>
        <v>41.935946394808582</v>
      </c>
    </row>
    <row r="89" spans="1:13" x14ac:dyDescent="0.2">
      <c r="A89" s="21" t="s">
        <v>10</v>
      </c>
      <c r="B89" s="230">
        <v>64586.154999999999</v>
      </c>
      <c r="C89" s="145">
        <v>48987.894999999997</v>
      </c>
      <c r="D89" s="166">
        <f t="shared" si="16"/>
        <v>-24.2</v>
      </c>
      <c r="E89" s="27">
        <f>IFERROR(100/'Skjema total MA'!C89*C89,0)</f>
        <v>1.7548615176121349</v>
      </c>
      <c r="F89" s="230">
        <v>78411760.078999996</v>
      </c>
      <c r="G89" s="145">
        <v>88200795.922999993</v>
      </c>
      <c r="H89" s="166">
        <f t="shared" si="17"/>
        <v>12.5</v>
      </c>
      <c r="I89" s="27">
        <f>IFERROR(100/'Skjema total MA'!F89*G89,0)</f>
        <v>32.734739281843197</v>
      </c>
      <c r="J89" s="283">
        <f t="shared" si="24"/>
        <v>78476346.233999997</v>
      </c>
      <c r="K89" s="44">
        <f t="shared" si="24"/>
        <v>88249783.817999989</v>
      </c>
      <c r="L89" s="250">
        <f t="shared" si="19"/>
        <v>12.5</v>
      </c>
      <c r="M89" s="27">
        <f>IFERROR(100/'Skjema total MA'!I89*K89,0)</f>
        <v>32.417062383138202</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v>122670.852</v>
      </c>
      <c r="C96" s="145">
        <v>163501.61600000001</v>
      </c>
      <c r="D96" s="166">
        <f t="shared" si="16"/>
        <v>33.299999999999997</v>
      </c>
      <c r="E96" s="27">
        <f>IFERROR(100/'Skjema total MA'!C96*C96,0)</f>
        <v>16.69905459991471</v>
      </c>
      <c r="F96" s="230">
        <v>280796.11099999998</v>
      </c>
      <c r="G96" s="145">
        <v>457657.54200000002</v>
      </c>
      <c r="H96" s="166">
        <f t="shared" si="17"/>
        <v>63</v>
      </c>
      <c r="I96" s="27">
        <f>IFERROR(100/'Skjema total MA'!F96*G96,0)</f>
        <v>38.443262428875833</v>
      </c>
      <c r="J96" s="283">
        <f t="shared" si="24"/>
        <v>403466.96299999999</v>
      </c>
      <c r="K96" s="44">
        <f t="shared" si="24"/>
        <v>621159.15800000005</v>
      </c>
      <c r="L96" s="250">
        <f t="shared" si="19"/>
        <v>54</v>
      </c>
      <c r="M96" s="27">
        <f>IFERROR(100/'Skjema total MA'!I96*K96,0)</f>
        <v>28.630356789169181</v>
      </c>
    </row>
    <row r="97" spans="1:13" x14ac:dyDescent="0.2">
      <c r="A97" s="21" t="s">
        <v>353</v>
      </c>
      <c r="B97" s="230">
        <v>4041826.3190000001</v>
      </c>
      <c r="C97" s="145">
        <v>4164831.2489999998</v>
      </c>
      <c r="D97" s="166">
        <f t="shared" ref="D97" si="25">IF(B97=0, "    ---- ", IF(ABS(ROUND(100/B97*C97-100,1))&lt;999,ROUND(100/B97*C97-100,1),IF(ROUND(100/B97*C97-100,1)&gt;999,999,-999)))</f>
        <v>3</v>
      </c>
      <c r="E97" s="27">
        <f>IFERROR(100/'Skjema total MA'!C98*C97,0)</f>
        <v>1.1021511184114372</v>
      </c>
      <c r="F97" s="230"/>
      <c r="G97" s="145"/>
      <c r="H97" s="166"/>
      <c r="I97" s="27"/>
      <c r="J97" s="283">
        <f t="shared" ref="J97" si="26">SUM(B97,F97)</f>
        <v>4041826.3190000001</v>
      </c>
      <c r="K97" s="44">
        <f t="shared" ref="K97" si="27">SUM(C97,G97)</f>
        <v>4164831.2489999998</v>
      </c>
      <c r="L97" s="250">
        <f t="shared" ref="L97" si="28">IF(J97=0, "    ---- ", IF(ABS(ROUND(100/J97*K97-100,1))&lt;999,ROUND(100/J97*K97-100,1),IF(ROUND(100/J97*K97-100,1)&gt;999,999,-999)))</f>
        <v>3</v>
      </c>
      <c r="M97" s="27">
        <f>IFERROR(100/'Skjema total MA'!I98*K97,0)</f>
        <v>0.64413554778644666</v>
      </c>
    </row>
    <row r="98" spans="1:13" ht="15.75" x14ac:dyDescent="0.2">
      <c r="A98" s="21" t="s">
        <v>388</v>
      </c>
      <c r="B98" s="230">
        <v>155089338.588</v>
      </c>
      <c r="C98" s="230">
        <v>155997293.449</v>
      </c>
      <c r="D98" s="166">
        <f t="shared" si="16"/>
        <v>0.6</v>
      </c>
      <c r="E98" s="27">
        <f>IFERROR(100/'Skjema total MA'!C98*C98,0)</f>
        <v>41.282006680403804</v>
      </c>
      <c r="F98" s="286">
        <v>78411760.078999996</v>
      </c>
      <c r="G98" s="286">
        <v>88200795.922999993</v>
      </c>
      <c r="H98" s="166">
        <f t="shared" si="17"/>
        <v>12.5</v>
      </c>
      <c r="I98" s="27">
        <f>IFERROR(100/'Skjema total MA'!F98*G98,0)</f>
        <v>32.825644762472344</v>
      </c>
      <c r="J98" s="283">
        <f t="shared" si="24"/>
        <v>233501098.667</v>
      </c>
      <c r="K98" s="44">
        <f t="shared" si="24"/>
        <v>244198089.37199998</v>
      </c>
      <c r="L98" s="250">
        <f t="shared" si="19"/>
        <v>4.5999999999999996</v>
      </c>
      <c r="M98" s="27">
        <f>IFERROR(100/'Skjema total MA'!I98*K98,0)</f>
        <v>37.767837557357147</v>
      </c>
    </row>
    <row r="99" spans="1:13" x14ac:dyDescent="0.2">
      <c r="A99" s="21" t="s">
        <v>9</v>
      </c>
      <c r="B99" s="286">
        <v>155024752.433</v>
      </c>
      <c r="C99" s="287">
        <v>155948305.55399999</v>
      </c>
      <c r="D99" s="166">
        <f t="shared" si="16"/>
        <v>0.6</v>
      </c>
      <c r="E99" s="27">
        <f>IFERROR(100/'Skjema total MA'!C99*C99,0)</f>
        <v>41.576181377406463</v>
      </c>
      <c r="F99" s="230"/>
      <c r="G99" s="145"/>
      <c r="H99" s="166"/>
      <c r="I99" s="27"/>
      <c r="J99" s="283">
        <f t="shared" si="24"/>
        <v>155024752.433</v>
      </c>
      <c r="K99" s="44">
        <f t="shared" si="24"/>
        <v>155948305.55399999</v>
      </c>
      <c r="L99" s="250">
        <f t="shared" si="19"/>
        <v>0.6</v>
      </c>
      <c r="M99" s="27">
        <f>IFERROR(100/'Skjema total MA'!I99*K99,0)</f>
        <v>41.576181377406463</v>
      </c>
    </row>
    <row r="100" spans="1:13" x14ac:dyDescent="0.2">
      <c r="A100" s="21" t="s">
        <v>10</v>
      </c>
      <c r="B100" s="286">
        <v>64586.154999999999</v>
      </c>
      <c r="C100" s="287">
        <v>48987.894999999997</v>
      </c>
      <c r="D100" s="166">
        <f t="shared" si="16"/>
        <v>-24.2</v>
      </c>
      <c r="E100" s="27">
        <f>IFERROR(100/'Skjema total MA'!C100*C100,0)</f>
        <v>1.7548615171313824</v>
      </c>
      <c r="F100" s="230">
        <v>78411760.078999996</v>
      </c>
      <c r="G100" s="230">
        <v>88200795.922999993</v>
      </c>
      <c r="H100" s="166">
        <f t="shared" si="17"/>
        <v>12.5</v>
      </c>
      <c r="I100" s="27">
        <f>IFERROR(100/'Skjema total MA'!F100*G100,0)</f>
        <v>32.825644762472344</v>
      </c>
      <c r="J100" s="283">
        <f t="shared" si="24"/>
        <v>78476346.233999997</v>
      </c>
      <c r="K100" s="44">
        <f t="shared" si="24"/>
        <v>88249783.817999989</v>
      </c>
      <c r="L100" s="250">
        <f t="shared" si="19"/>
        <v>12.5</v>
      </c>
      <c r="M100" s="27">
        <f>IFERROR(100/'Skjema total MA'!I100*K100,0)</f>
        <v>32.50616000141639</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v>3486552.2390000001</v>
      </c>
      <c r="C107" s="145">
        <v>3347918.14</v>
      </c>
      <c r="D107" s="166">
        <f t="shared" si="16"/>
        <v>-4</v>
      </c>
      <c r="E107" s="27">
        <f>IFERROR(100/'Skjema total MA'!C107*C107,0)</f>
        <v>70.252674818434215</v>
      </c>
      <c r="F107" s="230"/>
      <c r="G107" s="145"/>
      <c r="H107" s="166"/>
      <c r="I107" s="27"/>
      <c r="J107" s="283">
        <f t="shared" si="24"/>
        <v>3486552.2390000001</v>
      </c>
      <c r="K107" s="44">
        <f t="shared" si="24"/>
        <v>3347918.14</v>
      </c>
      <c r="L107" s="250">
        <f t="shared" si="19"/>
        <v>-4</v>
      </c>
      <c r="M107" s="27">
        <f>IFERROR(100/'Skjema total MA'!I107*K107,0)</f>
        <v>60.741882446904476</v>
      </c>
    </row>
    <row r="108" spans="1:13" ht="15.75" x14ac:dyDescent="0.2">
      <c r="A108" s="21" t="s">
        <v>390</v>
      </c>
      <c r="B108" s="230">
        <v>129918851.167</v>
      </c>
      <c r="C108" s="230">
        <v>133051125.956</v>
      </c>
      <c r="D108" s="166">
        <f t="shared" si="16"/>
        <v>2.4</v>
      </c>
      <c r="E108" s="27">
        <f>IFERROR(100/'Skjema total MA'!C108*C108,0)</f>
        <v>42.295374058892769</v>
      </c>
      <c r="F108" s="230">
        <v>14943862.810000001</v>
      </c>
      <c r="G108" s="230">
        <v>15473357.636</v>
      </c>
      <c r="H108" s="166">
        <f t="shared" si="17"/>
        <v>3.5</v>
      </c>
      <c r="I108" s="27">
        <f>IFERROR(100/'Skjema total MA'!F108*G108,0)</f>
        <v>96.407348322388316</v>
      </c>
      <c r="J108" s="283">
        <f t="shared" si="24"/>
        <v>144862713.977</v>
      </c>
      <c r="K108" s="44">
        <f t="shared" si="24"/>
        <v>148524483.59200001</v>
      </c>
      <c r="L108" s="250">
        <f t="shared" si="19"/>
        <v>2.5</v>
      </c>
      <c r="M108" s="27">
        <f>IFERROR(100/'Skjema total MA'!I108*K108,0)</f>
        <v>44.92219662478945</v>
      </c>
    </row>
    <row r="109" spans="1:13" ht="15.75" x14ac:dyDescent="0.2">
      <c r="A109" s="21" t="s">
        <v>391</v>
      </c>
      <c r="B109" s="230"/>
      <c r="C109" s="230"/>
      <c r="D109" s="166"/>
      <c r="E109" s="27"/>
      <c r="F109" s="230">
        <v>22348975.454</v>
      </c>
      <c r="G109" s="230">
        <v>26566311.657000002</v>
      </c>
      <c r="H109" s="166">
        <f t="shared" si="17"/>
        <v>18.899999999999999</v>
      </c>
      <c r="I109" s="27">
        <f>IFERROR(100/'Skjema total MA'!F109*G109,0)</f>
        <v>29.804738399305513</v>
      </c>
      <c r="J109" s="283">
        <f t="shared" si="24"/>
        <v>22348975.454</v>
      </c>
      <c r="K109" s="44">
        <f t="shared" si="24"/>
        <v>26566311.657000002</v>
      </c>
      <c r="L109" s="250">
        <f t="shared" si="19"/>
        <v>18.899999999999999</v>
      </c>
      <c r="M109" s="27">
        <f>IFERROR(100/'Skjema total MA'!I109*K109,0)</f>
        <v>29.462956855621329</v>
      </c>
    </row>
    <row r="110" spans="1:13" ht="15.75" x14ac:dyDescent="0.2">
      <c r="A110" s="21" t="s">
        <v>392</v>
      </c>
      <c r="B110" s="230">
        <v>15324.049000000001</v>
      </c>
      <c r="C110" s="230">
        <v>66678.096000000005</v>
      </c>
      <c r="D110" s="166">
        <f t="shared" si="16"/>
        <v>335.1</v>
      </c>
      <c r="E110" s="27">
        <f>IFERROR(100/'Skjema total MA'!C110*C110,0)</f>
        <v>36.20024978428475</v>
      </c>
      <c r="F110" s="230"/>
      <c r="G110" s="230"/>
      <c r="H110" s="166"/>
      <c r="I110" s="27"/>
      <c r="J110" s="283">
        <f t="shared" si="24"/>
        <v>15324.049000000001</v>
      </c>
      <c r="K110" s="44">
        <f t="shared" si="24"/>
        <v>66678.096000000005</v>
      </c>
      <c r="L110" s="250">
        <f t="shared" si="19"/>
        <v>335.1</v>
      </c>
      <c r="M110" s="27">
        <f>IFERROR(100/'Skjema total MA'!I110*K110,0)</f>
        <v>36.20024978428475</v>
      </c>
    </row>
    <row r="111" spans="1:13" ht="15.75" x14ac:dyDescent="0.2">
      <c r="A111" s="13" t="s">
        <v>372</v>
      </c>
      <c r="B111" s="300">
        <v>13394.628000000001</v>
      </c>
      <c r="C111" s="159">
        <v>21654.183000000001</v>
      </c>
      <c r="D111" s="171">
        <f t="shared" si="16"/>
        <v>61.7</v>
      </c>
      <c r="E111" s="11">
        <f>IFERROR(100/'Skjema total MA'!C111*C111,0)</f>
        <v>9.5057433796237643</v>
      </c>
      <c r="F111" s="300">
        <v>444797.89199999999</v>
      </c>
      <c r="G111" s="159">
        <v>600198.51699999999</v>
      </c>
      <c r="H111" s="171">
        <f t="shared" si="17"/>
        <v>34.9</v>
      </c>
      <c r="I111" s="11">
        <f>IFERROR(100/'Skjema total MA'!F111*G111,0)</f>
        <v>14.040196170584684</v>
      </c>
      <c r="J111" s="301">
        <f t="shared" si="24"/>
        <v>458192.52</v>
      </c>
      <c r="K111" s="232">
        <f t="shared" si="24"/>
        <v>621852.69999999995</v>
      </c>
      <c r="L111" s="366">
        <f t="shared" si="19"/>
        <v>35.700000000000003</v>
      </c>
      <c r="M111" s="11">
        <f>IFERROR(100/'Skjema total MA'!I111*K111,0)</f>
        <v>13.810786620727194</v>
      </c>
    </row>
    <row r="112" spans="1:13" x14ac:dyDescent="0.2">
      <c r="A112" s="21" t="s">
        <v>9</v>
      </c>
      <c r="B112" s="230">
        <v>630.88800000000003</v>
      </c>
      <c r="C112" s="145">
        <v>3876.2689999999998</v>
      </c>
      <c r="D112" s="166">
        <f t="shared" ref="D112:D125" si="29">IF(B112=0, "    ---- ", IF(ABS(ROUND(100/B112*C112-100,1))&lt;999,ROUND(100/B112*C112-100,1),IF(ROUND(100/B112*C112-100,1)&gt;999,999,-999)))</f>
        <v>514.4</v>
      </c>
      <c r="E112" s="27">
        <f>IFERROR(100/'Skjema total MA'!C112*C112,0)</f>
        <v>1.8843926713729193</v>
      </c>
      <c r="F112" s="230">
        <v>244.72200000000001</v>
      </c>
      <c r="G112" s="145">
        <v>933.62400000000002</v>
      </c>
      <c r="H112" s="166">
        <f t="shared" ref="H112:H125" si="30">IF(F112=0, "    ---- ", IF(ABS(ROUND(100/F112*G112-100,1))&lt;999,ROUND(100/F112*G112-100,1),IF(ROUND(100/F112*G112-100,1)&gt;999,999,-999)))</f>
        <v>281.5</v>
      </c>
      <c r="I112" s="27">
        <f>IFERROR(100/'Skjema total MA'!F112*G112,0)</f>
        <v>100</v>
      </c>
      <c r="J112" s="283">
        <f t="shared" ref="J112:K125" si="31">SUM(B112,F112)</f>
        <v>875.61</v>
      </c>
      <c r="K112" s="44">
        <f t="shared" si="31"/>
        <v>4809.893</v>
      </c>
      <c r="L112" s="250">
        <f t="shared" ref="L112:L125" si="32">IF(J112=0, "    ---- ", IF(ABS(ROUND(100/J112*K112-100,1))&lt;999,ROUND(100/J112*K112-100,1),IF(ROUND(100/J112*K112-100,1)&gt;999,999,-999)))</f>
        <v>449.3</v>
      </c>
      <c r="M112" s="27">
        <f>IFERROR(100/'Skjema total MA'!I112*K112,0)</f>
        <v>2.3276959451079633</v>
      </c>
    </row>
    <row r="113" spans="1:14" x14ac:dyDescent="0.2">
      <c r="A113" s="21" t="s">
        <v>10</v>
      </c>
      <c r="B113" s="230"/>
      <c r="C113" s="145"/>
      <c r="D113" s="166"/>
      <c r="E113" s="27"/>
      <c r="F113" s="230">
        <v>430990.31199999998</v>
      </c>
      <c r="G113" s="145">
        <v>599264.89300000004</v>
      </c>
      <c r="H113" s="166">
        <f t="shared" si="30"/>
        <v>39</v>
      </c>
      <c r="I113" s="27">
        <f>IFERROR(100/'Skjema total MA'!F113*G113,0)</f>
        <v>14.110641561671981</v>
      </c>
      <c r="J113" s="283">
        <f t="shared" si="31"/>
        <v>430990.31199999998</v>
      </c>
      <c r="K113" s="44">
        <f t="shared" si="31"/>
        <v>599264.89300000004</v>
      </c>
      <c r="L113" s="250">
        <f t="shared" si="32"/>
        <v>39</v>
      </c>
      <c r="M113" s="27">
        <f>IFERROR(100/'Skjema total MA'!I113*K113,0)</f>
        <v>14.10975192211251</v>
      </c>
    </row>
    <row r="114" spans="1:14" x14ac:dyDescent="0.2">
      <c r="A114" s="21" t="s">
        <v>26</v>
      </c>
      <c r="B114" s="230">
        <v>12763.74</v>
      </c>
      <c r="C114" s="145">
        <v>17777.914000000001</v>
      </c>
      <c r="D114" s="166">
        <f t="shared" si="29"/>
        <v>39.299999999999997</v>
      </c>
      <c r="E114" s="27">
        <f>IFERROR(100/'Skjema total MA'!C114*C114,0)</f>
        <v>81.440283950230224</v>
      </c>
      <c r="F114" s="230">
        <v>13562.858</v>
      </c>
      <c r="G114" s="145">
        <v>0</v>
      </c>
      <c r="H114" s="166">
        <f t="shared" si="30"/>
        <v>-100</v>
      </c>
      <c r="I114" s="27">
        <f>IFERROR(100/'Skjema total MA'!F114*G114,0)</f>
        <v>0</v>
      </c>
      <c r="J114" s="283">
        <f t="shared" si="31"/>
        <v>26326.597999999998</v>
      </c>
      <c r="K114" s="44">
        <f t="shared" si="31"/>
        <v>17777.914000000001</v>
      </c>
      <c r="L114" s="250">
        <f t="shared" si="32"/>
        <v>-32.5</v>
      </c>
      <c r="M114" s="27">
        <f>IFERROR(100/'Skjema total MA'!I114*K114,0)</f>
        <v>36.390000091444193</v>
      </c>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v>630.88800000000003</v>
      </c>
      <c r="C116" s="230">
        <v>4213.7340000000004</v>
      </c>
      <c r="D116" s="166">
        <f t="shared" si="29"/>
        <v>567.9</v>
      </c>
      <c r="E116" s="27">
        <f>IFERROR(100/'Skjema total MA'!C116*C116,0)</f>
        <v>12.546587711570014</v>
      </c>
      <c r="F116" s="230">
        <v>244.72200000000001</v>
      </c>
      <c r="G116" s="230">
        <v>933.62400000000002</v>
      </c>
      <c r="H116" s="166">
        <f t="shared" si="30"/>
        <v>281.5</v>
      </c>
      <c r="I116" s="27">
        <f>IFERROR(100/'Skjema total MA'!F116*G116,0)</f>
        <v>100</v>
      </c>
      <c r="J116" s="283">
        <f t="shared" si="31"/>
        <v>875.61</v>
      </c>
      <c r="K116" s="44">
        <f t="shared" si="31"/>
        <v>5147.3580000000002</v>
      </c>
      <c r="L116" s="250">
        <f t="shared" si="32"/>
        <v>487.9</v>
      </c>
      <c r="M116" s="27">
        <f>IFERROR(100/'Skjema total MA'!I116*K116,0)</f>
        <v>14.911957526096954</v>
      </c>
    </row>
    <row r="117" spans="1:14" ht="15.75" x14ac:dyDescent="0.2">
      <c r="A117" s="21" t="s">
        <v>394</v>
      </c>
      <c r="B117" s="230"/>
      <c r="C117" s="230"/>
      <c r="D117" s="166"/>
      <c r="E117" s="27"/>
      <c r="F117" s="230">
        <v>157129.55600000001</v>
      </c>
      <c r="G117" s="230">
        <v>179733.318</v>
      </c>
      <c r="H117" s="166">
        <f t="shared" si="30"/>
        <v>14.4</v>
      </c>
      <c r="I117" s="27">
        <f>IFERROR(100/'Skjema total MA'!F117*G117,0)</f>
        <v>33.012831974385207</v>
      </c>
      <c r="J117" s="283">
        <f t="shared" si="31"/>
        <v>157129.55600000001</v>
      </c>
      <c r="K117" s="44">
        <f t="shared" si="31"/>
        <v>179733.318</v>
      </c>
      <c r="L117" s="250">
        <f t="shared" si="32"/>
        <v>14.4</v>
      </c>
      <c r="M117" s="27">
        <f>IFERROR(100/'Skjema total MA'!I117*K117,0)</f>
        <v>33.012831974385207</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49800.631000000001</v>
      </c>
      <c r="C119" s="159">
        <v>95622.008000000002</v>
      </c>
      <c r="D119" s="171">
        <f t="shared" si="29"/>
        <v>92</v>
      </c>
      <c r="E119" s="11">
        <f>IFERROR(100/'Skjema total MA'!C119*C119,0)</f>
        <v>51.389193724718666</v>
      </c>
      <c r="F119" s="300">
        <v>937089.88799999992</v>
      </c>
      <c r="G119" s="159">
        <v>1963746.0870000001</v>
      </c>
      <c r="H119" s="171">
        <f t="shared" si="30"/>
        <v>109.6</v>
      </c>
      <c r="I119" s="11">
        <f>IFERROR(100/'Skjema total MA'!F119*G119,0)</f>
        <v>44.946382259005965</v>
      </c>
      <c r="J119" s="301">
        <f t="shared" si="31"/>
        <v>986890.51899999997</v>
      </c>
      <c r="K119" s="232">
        <f t="shared" si="31"/>
        <v>2059368.095</v>
      </c>
      <c r="L119" s="366">
        <f t="shared" si="32"/>
        <v>108.7</v>
      </c>
      <c r="M119" s="11">
        <f>IFERROR(100/'Skjema total MA'!I119*K119,0)</f>
        <v>45.209565256586103</v>
      </c>
    </row>
    <row r="120" spans="1:14" x14ac:dyDescent="0.2">
      <c r="A120" s="21" t="s">
        <v>9</v>
      </c>
      <c r="B120" s="230">
        <v>4718.4780000000001</v>
      </c>
      <c r="C120" s="145">
        <v>30823.437999999998</v>
      </c>
      <c r="D120" s="166">
        <f t="shared" si="29"/>
        <v>553.20000000000005</v>
      </c>
      <c r="E120" s="27">
        <f>IFERROR(100/'Skjema total MA'!C120*C120,0)</f>
        <v>27.797767612566815</v>
      </c>
      <c r="F120" s="230"/>
      <c r="G120" s="145"/>
      <c r="H120" s="166"/>
      <c r="I120" s="27"/>
      <c r="J120" s="283">
        <f t="shared" si="31"/>
        <v>4718.4780000000001</v>
      </c>
      <c r="K120" s="44">
        <f t="shared" si="31"/>
        <v>30823.437999999998</v>
      </c>
      <c r="L120" s="250">
        <f t="shared" si="32"/>
        <v>553.20000000000005</v>
      </c>
      <c r="M120" s="27">
        <f>IFERROR(100/'Skjema total MA'!I120*K120,0)</f>
        <v>27.797767612566815</v>
      </c>
    </row>
    <row r="121" spans="1:14" x14ac:dyDescent="0.2">
      <c r="A121" s="21" t="s">
        <v>10</v>
      </c>
      <c r="B121" s="230"/>
      <c r="C121" s="145"/>
      <c r="D121" s="166"/>
      <c r="E121" s="27"/>
      <c r="F121" s="230">
        <v>937238.01899999997</v>
      </c>
      <c r="G121" s="145">
        <v>1963746.0870000001</v>
      </c>
      <c r="H121" s="166">
        <f t="shared" si="30"/>
        <v>109.5</v>
      </c>
      <c r="I121" s="27">
        <f>IFERROR(100/'Skjema total MA'!F121*G121,0)</f>
        <v>44.946382259005965</v>
      </c>
      <c r="J121" s="283">
        <f t="shared" si="31"/>
        <v>937238.01899999997</v>
      </c>
      <c r="K121" s="44">
        <f t="shared" si="31"/>
        <v>1963746.0870000001</v>
      </c>
      <c r="L121" s="250">
        <f t="shared" si="32"/>
        <v>109.5</v>
      </c>
      <c r="M121" s="27">
        <f>IFERROR(100/'Skjema total MA'!I121*K121,0)</f>
        <v>44.849480488135796</v>
      </c>
    </row>
    <row r="122" spans="1:14" x14ac:dyDescent="0.2">
      <c r="A122" s="21" t="s">
        <v>26</v>
      </c>
      <c r="B122" s="230">
        <v>45082.152999999998</v>
      </c>
      <c r="C122" s="145">
        <v>64798.57</v>
      </c>
      <c r="D122" s="166">
        <f t="shared" si="29"/>
        <v>43.7</v>
      </c>
      <c r="E122" s="27">
        <f>IFERROR(100/'Skjema total MA'!C122*C122,0)</f>
        <v>98.553364379646339</v>
      </c>
      <c r="F122" s="230">
        <v>-148.131</v>
      </c>
      <c r="G122" s="145">
        <v>0</v>
      </c>
      <c r="H122" s="166">
        <f t="shared" si="30"/>
        <v>-100</v>
      </c>
      <c r="I122" s="27">
        <f>IFERROR(100/'Skjema total MA'!F122*G122,0)</f>
        <v>0</v>
      </c>
      <c r="J122" s="283">
        <f t="shared" si="31"/>
        <v>44934.021999999997</v>
      </c>
      <c r="K122" s="44">
        <f t="shared" si="31"/>
        <v>64798.57</v>
      </c>
      <c r="L122" s="250">
        <f t="shared" si="32"/>
        <v>44.2</v>
      </c>
      <c r="M122" s="27">
        <f>IFERROR(100/'Skjema total MA'!I122*K122,0)</f>
        <v>98.553364379646339</v>
      </c>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v>1779.0139999999999</v>
      </c>
      <c r="C124" s="230">
        <v>737.03200000000004</v>
      </c>
      <c r="D124" s="166">
        <f t="shared" si="29"/>
        <v>-58.6</v>
      </c>
      <c r="E124" s="27">
        <f>IFERROR(100/'Skjema total MA'!C124*C124,0)</f>
        <v>4.2731367845328672</v>
      </c>
      <c r="F124" s="230">
        <v>1215.2840000000001</v>
      </c>
      <c r="G124" s="230">
        <v>3301.5909999999999</v>
      </c>
      <c r="H124" s="166">
        <f t="shared" si="30"/>
        <v>171.7</v>
      </c>
      <c r="I124" s="27">
        <f>IFERROR(100/'Skjema total MA'!F124*G124,0)</f>
        <v>99.958219433352568</v>
      </c>
      <c r="J124" s="283">
        <f t="shared" si="31"/>
        <v>2994.2979999999998</v>
      </c>
      <c r="K124" s="44">
        <f t="shared" si="31"/>
        <v>4038.623</v>
      </c>
      <c r="L124" s="250">
        <f t="shared" si="32"/>
        <v>34.9</v>
      </c>
      <c r="M124" s="27">
        <f>IFERROR(100/'Skjema total MA'!I124*K124,0)</f>
        <v>19.651707510334166</v>
      </c>
    </row>
    <row r="125" spans="1:14" ht="15.75" x14ac:dyDescent="0.2">
      <c r="A125" s="21" t="s">
        <v>391</v>
      </c>
      <c r="B125" s="230">
        <v>2.29</v>
      </c>
      <c r="C125" s="230">
        <v>3.6219999999999999</v>
      </c>
      <c r="D125" s="166">
        <f t="shared" si="29"/>
        <v>58.2</v>
      </c>
      <c r="E125" s="27">
        <f>IFERROR(100/'Skjema total MA'!C125*C125,0)</f>
        <v>3.028488612774118</v>
      </c>
      <c r="F125" s="230">
        <v>121227.90399999999</v>
      </c>
      <c r="G125" s="230">
        <v>146751.33600000001</v>
      </c>
      <c r="H125" s="166">
        <f t="shared" si="30"/>
        <v>21.1</v>
      </c>
      <c r="I125" s="27">
        <f>IFERROR(100/'Skjema total MA'!F125*G125,0)</f>
        <v>29.497358762833738</v>
      </c>
      <c r="J125" s="283">
        <f t="shared" si="31"/>
        <v>121230.19399999999</v>
      </c>
      <c r="K125" s="44">
        <f t="shared" si="31"/>
        <v>146754.95800000001</v>
      </c>
      <c r="L125" s="250">
        <f t="shared" si="32"/>
        <v>21.1</v>
      </c>
      <c r="M125" s="27">
        <f>IFERROR(100/'Skjema total MA'!I125*K125,0)</f>
        <v>29.490997335336488</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v>74204.375</v>
      </c>
      <c r="C134" s="301">
        <v>74783.684999999998</v>
      </c>
      <c r="D134" s="342">
        <f t="shared" ref="D134:D135" si="33">IF(B134=0, "    ---- ", IF(ABS(ROUND(100/B134*C134-100,1))&lt;999,ROUND(100/B134*C134-100,1),IF(ROUND(100/B134*C134-100,1)&gt;999,999,-999)))</f>
        <v>0.8</v>
      </c>
      <c r="E134" s="11">
        <f>IFERROR(100/'Skjema total MA'!C134*C134,0)</f>
        <v>0.96818589922175691</v>
      </c>
      <c r="F134" s="308"/>
      <c r="G134" s="309"/>
      <c r="H134" s="369"/>
      <c r="I134" s="24"/>
      <c r="J134" s="310">
        <f t="shared" ref="J134:K135" si="34">SUM(B134,F134)</f>
        <v>74204.375</v>
      </c>
      <c r="K134" s="310">
        <f t="shared" si="34"/>
        <v>74783.684999999998</v>
      </c>
      <c r="L134" s="365">
        <f t="shared" ref="L134:L135" si="35">IF(J134=0, "    ---- ", IF(ABS(ROUND(100/J134*K134-100,1))&lt;999,ROUND(100/J134*K134-100,1),IF(ROUND(100/J134*K134-100,1)&gt;999,999,-999)))</f>
        <v>0.8</v>
      </c>
      <c r="M134" s="11">
        <f>IFERROR(100/'Skjema total MA'!I134*K134,0)</f>
        <v>0.9657491463584138</v>
      </c>
      <c r="N134" s="148"/>
    </row>
    <row r="135" spans="1:14" s="3" customFormat="1" ht="15.75" x14ac:dyDescent="0.2">
      <c r="A135" s="13" t="s">
        <v>400</v>
      </c>
      <c r="B135" s="232">
        <v>2805924.5660000001</v>
      </c>
      <c r="C135" s="301">
        <v>2930712.3530000001</v>
      </c>
      <c r="D135" s="171">
        <f t="shared" si="33"/>
        <v>4.4000000000000004</v>
      </c>
      <c r="E135" s="11">
        <f>IFERROR(100/'Skjema total MA'!C135*C135,0)</f>
        <v>0.52747128656083131</v>
      </c>
      <c r="F135" s="232"/>
      <c r="G135" s="301"/>
      <c r="H135" s="370"/>
      <c r="I135" s="24"/>
      <c r="J135" s="300">
        <f t="shared" si="34"/>
        <v>2805924.5660000001</v>
      </c>
      <c r="K135" s="300">
        <f t="shared" si="34"/>
        <v>2930712.3530000001</v>
      </c>
      <c r="L135" s="366">
        <f t="shared" si="35"/>
        <v>4.4000000000000004</v>
      </c>
      <c r="M135" s="11">
        <f>IFERROR(100/'Skjema total MA'!I135*K135,0)</f>
        <v>0.52511116987011297</v>
      </c>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42" priority="12">
      <formula>kvartal &lt; 4</formula>
    </cfRule>
  </conditionalFormatting>
  <conditionalFormatting sqref="A69:A74">
    <cfRule type="expression" dxfId="41" priority="10">
      <formula>kvartal &lt; 4</formula>
    </cfRule>
  </conditionalFormatting>
  <conditionalFormatting sqref="A80:A85">
    <cfRule type="expression" dxfId="40" priority="9">
      <formula>kvartal &lt; 4</formula>
    </cfRule>
  </conditionalFormatting>
  <conditionalFormatting sqref="A90:A95">
    <cfRule type="expression" dxfId="39" priority="6">
      <formula>kvartal &lt; 4</formula>
    </cfRule>
  </conditionalFormatting>
  <conditionalFormatting sqref="A101:A106">
    <cfRule type="expression" dxfId="38" priority="5">
      <formula>kvartal &lt; 4</formula>
    </cfRule>
  </conditionalFormatting>
  <conditionalFormatting sqref="A115">
    <cfRule type="expression" dxfId="37" priority="4">
      <formula>kvartal &lt; 4</formula>
    </cfRule>
  </conditionalFormatting>
  <conditionalFormatting sqref="A123">
    <cfRule type="expression" dxfId="36" priority="3">
      <formula>kvartal &lt; 4</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138</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171"/>
      <c r="E38" s="24"/>
      <c r="F38" s="311"/>
      <c r="G38" s="312"/>
      <c r="H38" s="171"/>
      <c r="I38" s="372"/>
      <c r="J38" s="232"/>
      <c r="K38" s="232"/>
      <c r="L38" s="366"/>
      <c r="M38" s="24"/>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c r="C47" s="303"/>
      <c r="D47" s="365"/>
      <c r="E47" s="11"/>
      <c r="F47" s="145"/>
      <c r="G47" s="33"/>
      <c r="H47" s="159"/>
      <c r="I47" s="159"/>
      <c r="J47" s="37"/>
      <c r="K47" s="37"/>
      <c r="L47" s="159"/>
      <c r="M47" s="159"/>
      <c r="N47" s="148"/>
    </row>
    <row r="48" spans="1:14" s="3" customFormat="1" ht="15.75" x14ac:dyDescent="0.2">
      <c r="A48" s="38" t="s">
        <v>382</v>
      </c>
      <c r="B48" s="277"/>
      <c r="C48" s="278"/>
      <c r="D48" s="250"/>
      <c r="E48" s="27"/>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35" priority="12">
      <formula>kvartal &lt; 4</formula>
    </cfRule>
  </conditionalFormatting>
  <conditionalFormatting sqref="A69:A74">
    <cfRule type="expression" dxfId="34" priority="10">
      <formula>kvartal &lt; 4</formula>
    </cfRule>
  </conditionalFormatting>
  <conditionalFormatting sqref="A80:A85">
    <cfRule type="expression" dxfId="33" priority="9">
      <formula>kvartal &lt; 4</formula>
    </cfRule>
  </conditionalFormatting>
  <conditionalFormatting sqref="A90:A95">
    <cfRule type="expression" dxfId="32" priority="6">
      <formula>kvartal &lt; 4</formula>
    </cfRule>
  </conditionalFormatting>
  <conditionalFormatting sqref="A101:A106">
    <cfRule type="expression" dxfId="31" priority="5">
      <formula>kvartal &lt; 4</formula>
    </cfRule>
  </conditionalFormatting>
  <conditionalFormatting sqref="A115">
    <cfRule type="expression" dxfId="30" priority="4">
      <formula>kvartal &lt; 4</formula>
    </cfRule>
  </conditionalFormatting>
  <conditionalFormatting sqref="A123">
    <cfRule type="expression" dxfId="29" priority="3">
      <formula>kvartal &lt; 4</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120" zoomScaleNormal="120" workbookViewId="0">
      <selection activeCell="C1" sqref="C1"/>
    </sheetView>
  </sheetViews>
  <sheetFormatPr baseColWidth="10" defaultColWidth="11.42578125" defaultRowHeight="12.75" x14ac:dyDescent="0.2"/>
  <cols>
    <col min="1" max="1" width="43"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103</v>
      </c>
      <c r="D1" s="26"/>
      <c r="E1" s="26"/>
      <c r="F1" s="26"/>
      <c r="G1" s="26"/>
      <c r="H1" s="26"/>
      <c r="I1" s="26"/>
      <c r="J1" s="26"/>
      <c r="K1" s="26"/>
      <c r="L1" s="26"/>
      <c r="M1" s="26"/>
    </row>
    <row r="2" spans="1:14" ht="15.75" x14ac:dyDescent="0.25">
      <c r="A2" s="165" t="s">
        <v>28</v>
      </c>
      <c r="B2" s="687"/>
      <c r="C2" s="687"/>
      <c r="D2" s="687"/>
      <c r="E2" s="291"/>
      <c r="F2" s="687"/>
      <c r="G2" s="687"/>
      <c r="H2" s="687"/>
      <c r="I2" s="291"/>
      <c r="J2" s="687"/>
      <c r="K2" s="687"/>
      <c r="L2" s="687"/>
      <c r="M2" s="291"/>
    </row>
    <row r="3" spans="1:14" ht="15.75" x14ac:dyDescent="0.25">
      <c r="A3" s="163"/>
      <c r="B3" s="291"/>
      <c r="C3" s="291"/>
      <c r="D3" s="291"/>
      <c r="E3" s="291"/>
      <c r="F3" s="291"/>
      <c r="G3" s="291"/>
      <c r="H3" s="291"/>
      <c r="I3" s="291"/>
      <c r="J3" s="291"/>
      <c r="K3" s="291"/>
      <c r="L3" s="291"/>
      <c r="M3" s="291"/>
    </row>
    <row r="4" spans="1:14" x14ac:dyDescent="0.2">
      <c r="A4" s="144"/>
      <c r="B4" s="683" t="s">
        <v>0</v>
      </c>
      <c r="C4" s="684"/>
      <c r="D4" s="684"/>
      <c r="E4" s="293"/>
      <c r="F4" s="683" t="s">
        <v>1</v>
      </c>
      <c r="G4" s="684"/>
      <c r="H4" s="684"/>
      <c r="I4" s="296"/>
      <c r="J4" s="683" t="s">
        <v>2</v>
      </c>
      <c r="K4" s="684"/>
      <c r="L4" s="684"/>
      <c r="M4" s="296"/>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c r="C7" s="299"/>
      <c r="D7" s="342"/>
      <c r="E7" s="11"/>
      <c r="F7" s="298"/>
      <c r="G7" s="299"/>
      <c r="H7" s="342"/>
      <c r="I7" s="160"/>
      <c r="J7" s="300"/>
      <c r="K7" s="301"/>
      <c r="L7" s="365"/>
      <c r="M7" s="11"/>
    </row>
    <row r="8" spans="1:14" ht="15.75" x14ac:dyDescent="0.2">
      <c r="A8" s="21" t="s">
        <v>25</v>
      </c>
      <c r="B8" s="277"/>
      <c r="C8" s="278"/>
      <c r="D8" s="166"/>
      <c r="E8" s="27"/>
      <c r="F8" s="281"/>
      <c r="G8" s="282"/>
      <c r="H8" s="166"/>
      <c r="I8" s="175"/>
      <c r="J8" s="230"/>
      <c r="K8" s="283"/>
      <c r="L8" s="250"/>
      <c r="M8" s="27"/>
    </row>
    <row r="9" spans="1:14" ht="15.75" x14ac:dyDescent="0.2">
      <c r="A9" s="21" t="s">
        <v>24</v>
      </c>
      <c r="B9" s="277"/>
      <c r="C9" s="278"/>
      <c r="D9" s="166"/>
      <c r="E9" s="27"/>
      <c r="F9" s="281"/>
      <c r="G9" s="282"/>
      <c r="H9" s="166"/>
      <c r="I9" s="175"/>
      <c r="J9" s="230"/>
      <c r="K9" s="283"/>
      <c r="L9" s="250"/>
      <c r="M9" s="27"/>
    </row>
    <row r="10" spans="1:14" ht="15.75" x14ac:dyDescent="0.2">
      <c r="A10" s="13" t="s">
        <v>371</v>
      </c>
      <c r="B10" s="302"/>
      <c r="C10" s="303"/>
      <c r="D10" s="171"/>
      <c r="E10" s="11"/>
      <c r="F10" s="302"/>
      <c r="G10" s="303"/>
      <c r="H10" s="171"/>
      <c r="I10" s="160"/>
      <c r="J10" s="300"/>
      <c r="K10" s="301"/>
      <c r="L10" s="366"/>
      <c r="M10" s="11"/>
    </row>
    <row r="11" spans="1:14" s="43" customFormat="1" ht="15.75" x14ac:dyDescent="0.2">
      <c r="A11" s="13" t="s">
        <v>372</v>
      </c>
      <c r="B11" s="302"/>
      <c r="C11" s="303"/>
      <c r="D11" s="171"/>
      <c r="E11" s="11"/>
      <c r="F11" s="302"/>
      <c r="G11" s="303"/>
      <c r="H11" s="171"/>
      <c r="I11" s="160"/>
      <c r="J11" s="300"/>
      <c r="K11" s="301"/>
      <c r="L11" s="366"/>
      <c r="M11" s="11"/>
      <c r="N11" s="143"/>
    </row>
    <row r="12" spans="1:14" s="43" customFormat="1" ht="15.75" x14ac:dyDescent="0.2">
      <c r="A12" s="41" t="s">
        <v>373</v>
      </c>
      <c r="B12" s="304"/>
      <c r="C12" s="305"/>
      <c r="D12" s="169"/>
      <c r="E12" s="36"/>
      <c r="F12" s="304"/>
      <c r="G12" s="305"/>
      <c r="H12" s="169"/>
      <c r="I12" s="169"/>
      <c r="J12" s="306"/>
      <c r="K12" s="307"/>
      <c r="L12" s="367"/>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c r="C22" s="302"/>
      <c r="D22" s="342"/>
      <c r="E22" s="11"/>
      <c r="F22" s="310"/>
      <c r="G22" s="310"/>
      <c r="H22" s="342"/>
      <c r="I22" s="11"/>
      <c r="J22" s="308"/>
      <c r="K22" s="308"/>
      <c r="L22" s="365"/>
      <c r="M22" s="24"/>
    </row>
    <row r="23" spans="1:14" ht="15.75" x14ac:dyDescent="0.2">
      <c r="A23" s="546" t="s">
        <v>374</v>
      </c>
      <c r="B23" s="277"/>
      <c r="C23" s="277"/>
      <c r="D23" s="166"/>
      <c r="E23" s="11"/>
      <c r="F23" s="285"/>
      <c r="G23" s="285"/>
      <c r="H23" s="166"/>
      <c r="I23" s="358"/>
      <c r="J23" s="285"/>
      <c r="K23" s="285"/>
      <c r="L23" s="166"/>
      <c r="M23" s="23"/>
    </row>
    <row r="24" spans="1:14" ht="15.75" x14ac:dyDescent="0.2">
      <c r="A24" s="546" t="s">
        <v>375</v>
      </c>
      <c r="B24" s="277"/>
      <c r="C24" s="277"/>
      <c r="D24" s="166"/>
      <c r="E24" s="11"/>
      <c r="F24" s="285"/>
      <c r="G24" s="285"/>
      <c r="H24" s="166"/>
      <c r="I24" s="358"/>
      <c r="J24" s="285"/>
      <c r="K24" s="285"/>
      <c r="L24" s="166"/>
      <c r="M24" s="23"/>
    </row>
    <row r="25" spans="1:14" ht="15.75" x14ac:dyDescent="0.2">
      <c r="A25" s="546" t="s">
        <v>376</v>
      </c>
      <c r="B25" s="277"/>
      <c r="C25" s="277"/>
      <c r="D25" s="166"/>
      <c r="E25" s="11"/>
      <c r="F25" s="285"/>
      <c r="G25" s="285"/>
      <c r="H25" s="166"/>
      <c r="I25" s="358"/>
      <c r="J25" s="285"/>
      <c r="K25" s="285"/>
      <c r="L25" s="166"/>
      <c r="M25" s="23"/>
    </row>
    <row r="26" spans="1:14" ht="15.75" x14ac:dyDescent="0.2">
      <c r="A26" s="546" t="s">
        <v>377</v>
      </c>
      <c r="B26" s="277"/>
      <c r="C26" s="277"/>
      <c r="D26" s="166"/>
      <c r="E26" s="11"/>
      <c r="F26" s="285"/>
      <c r="G26" s="285"/>
      <c r="H26" s="166"/>
      <c r="I26" s="358"/>
      <c r="J26" s="285"/>
      <c r="K26" s="285"/>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c r="C28" s="283"/>
      <c r="D28" s="166"/>
      <c r="E28" s="11"/>
      <c r="F28" s="230"/>
      <c r="G28" s="283"/>
      <c r="H28" s="166"/>
      <c r="I28" s="27"/>
      <c r="J28" s="44"/>
      <c r="K28" s="44"/>
      <c r="L28" s="250"/>
      <c r="M28" s="23"/>
    </row>
    <row r="29" spans="1:14" s="3" customFormat="1" ht="15.75" x14ac:dyDescent="0.2">
      <c r="A29" s="13" t="s">
        <v>371</v>
      </c>
      <c r="B29" s="232"/>
      <c r="C29" s="232"/>
      <c r="D29" s="171"/>
      <c r="E29" s="11"/>
      <c r="F29" s="300"/>
      <c r="G29" s="300"/>
      <c r="H29" s="171"/>
      <c r="I29" s="11"/>
      <c r="J29" s="232"/>
      <c r="K29" s="232"/>
      <c r="L29" s="366"/>
      <c r="M29" s="24"/>
      <c r="N29" s="148"/>
    </row>
    <row r="30" spans="1:14" s="3" customFormat="1" ht="15.75" x14ac:dyDescent="0.2">
      <c r="A30" s="546" t="s">
        <v>374</v>
      </c>
      <c r="B30" s="277"/>
      <c r="C30" s="277"/>
      <c r="D30" s="166"/>
      <c r="E30" s="11"/>
      <c r="F30" s="285"/>
      <c r="G30" s="285"/>
      <c r="H30" s="166"/>
      <c r="I30" s="358"/>
      <c r="J30" s="285"/>
      <c r="K30" s="285"/>
      <c r="L30" s="166"/>
      <c r="M30" s="23"/>
      <c r="N30" s="148"/>
    </row>
    <row r="31" spans="1:14" s="3" customFormat="1" ht="15.75" x14ac:dyDescent="0.2">
      <c r="A31" s="546" t="s">
        <v>375</v>
      </c>
      <c r="B31" s="277"/>
      <c r="C31" s="277"/>
      <c r="D31" s="166"/>
      <c r="E31" s="11"/>
      <c r="F31" s="285"/>
      <c r="G31" s="285"/>
      <c r="H31" s="166"/>
      <c r="I31" s="358"/>
      <c r="J31" s="285"/>
      <c r="K31" s="285"/>
      <c r="L31" s="166"/>
      <c r="M31" s="23"/>
      <c r="N31" s="148"/>
    </row>
    <row r="32" spans="1:14" ht="15.75" x14ac:dyDescent="0.2">
      <c r="A32" s="546" t="s">
        <v>376</v>
      </c>
      <c r="B32" s="277"/>
      <c r="C32" s="277"/>
      <c r="D32" s="166"/>
      <c r="E32" s="11"/>
      <c r="F32" s="285"/>
      <c r="G32" s="285"/>
      <c r="H32" s="166"/>
      <c r="I32" s="358"/>
      <c r="J32" s="285"/>
      <c r="K32" s="285"/>
      <c r="L32" s="166"/>
      <c r="M32" s="23"/>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c r="C34" s="301"/>
      <c r="D34" s="171"/>
      <c r="E34" s="11"/>
      <c r="F34" s="300"/>
      <c r="G34" s="301"/>
      <c r="H34" s="171"/>
      <c r="I34" s="11"/>
      <c r="J34" s="232"/>
      <c r="K34" s="232"/>
      <c r="L34" s="366"/>
      <c r="M34" s="24"/>
    </row>
    <row r="35" spans="1:14" ht="15.75" x14ac:dyDescent="0.2">
      <c r="A35" s="13" t="s">
        <v>373</v>
      </c>
      <c r="B35" s="232"/>
      <c r="C35" s="301"/>
      <c r="D35" s="171"/>
      <c r="E35" s="11"/>
      <c r="F35" s="300"/>
      <c r="G35" s="301"/>
      <c r="H35" s="171"/>
      <c r="I35" s="11"/>
      <c r="J35" s="232"/>
      <c r="K35" s="232"/>
      <c r="L35" s="366"/>
      <c r="M35" s="24"/>
    </row>
    <row r="36" spans="1:14" ht="15.75" x14ac:dyDescent="0.2">
      <c r="A36" s="12" t="s">
        <v>290</v>
      </c>
      <c r="B36" s="232"/>
      <c r="C36" s="301"/>
      <c r="D36" s="171"/>
      <c r="E36" s="11"/>
      <c r="F36" s="311"/>
      <c r="G36" s="312"/>
      <c r="H36" s="171"/>
      <c r="I36" s="372"/>
      <c r="J36" s="232"/>
      <c r="K36" s="232"/>
      <c r="L36" s="366"/>
      <c r="M36" s="24"/>
    </row>
    <row r="37" spans="1:14" ht="15.75" x14ac:dyDescent="0.2">
      <c r="A37" s="12" t="s">
        <v>379</v>
      </c>
      <c r="B37" s="232"/>
      <c r="C37" s="301"/>
      <c r="D37" s="171"/>
      <c r="E37" s="11"/>
      <c r="F37" s="311"/>
      <c r="G37" s="313"/>
      <c r="H37" s="171"/>
      <c r="I37" s="372"/>
      <c r="J37" s="232"/>
      <c r="K37" s="232"/>
      <c r="L37" s="366"/>
      <c r="M37" s="24"/>
    </row>
    <row r="38" spans="1:14" ht="15.75" x14ac:dyDescent="0.2">
      <c r="A38" s="12" t="s">
        <v>380</v>
      </c>
      <c r="B38" s="232"/>
      <c r="C38" s="301"/>
      <c r="D38" s="370"/>
      <c r="E38" s="24"/>
      <c r="F38" s="311"/>
      <c r="G38" s="312"/>
      <c r="H38" s="171"/>
      <c r="I38" s="372"/>
      <c r="J38" s="232"/>
      <c r="K38" s="232"/>
      <c r="L38" s="366"/>
      <c r="M38" s="24"/>
    </row>
    <row r="39" spans="1:14" ht="15.75" x14ac:dyDescent="0.2">
      <c r="A39" s="18" t="s">
        <v>381</v>
      </c>
      <c r="B39" s="272"/>
      <c r="C39" s="307"/>
      <c r="D39" s="371"/>
      <c r="E39" s="36"/>
      <c r="F39" s="314"/>
      <c r="G39" s="315"/>
      <c r="H39" s="169"/>
      <c r="I39" s="36"/>
      <c r="J39" s="232"/>
      <c r="K39" s="232"/>
      <c r="L39" s="367"/>
      <c r="M39" s="36"/>
    </row>
    <row r="40" spans="1:14" ht="15.75" x14ac:dyDescent="0.25">
      <c r="A40" s="47"/>
      <c r="B40" s="249"/>
      <c r="C40" s="249"/>
      <c r="D40" s="686"/>
      <c r="E40" s="688"/>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417186</v>
      </c>
      <c r="C47" s="303">
        <v>497838</v>
      </c>
      <c r="D47" s="365">
        <f t="shared" ref="D47:D57" si="0">IF(B47=0, "    ---- ", IF(ABS(ROUND(100/B47*C47-100,1))&lt;999,ROUND(100/B47*C47-100,1),IF(ROUND(100/B47*C47-100,1)&gt;999,999,-999)))</f>
        <v>19.3</v>
      </c>
      <c r="E47" s="11">
        <f>IFERROR(100/'Skjema total MA'!C47*C47,0)</f>
        <v>19.894398305779323</v>
      </c>
      <c r="F47" s="145"/>
      <c r="G47" s="33"/>
      <c r="H47" s="159"/>
      <c r="I47" s="159"/>
      <c r="J47" s="37"/>
      <c r="K47" s="37"/>
      <c r="L47" s="159"/>
      <c r="M47" s="159"/>
      <c r="N47" s="148"/>
    </row>
    <row r="48" spans="1:14" s="3" customFormat="1" ht="15.75" x14ac:dyDescent="0.2">
      <c r="A48" s="38" t="s">
        <v>382</v>
      </c>
      <c r="B48" s="277">
        <v>138349</v>
      </c>
      <c r="C48" s="278">
        <v>136071</v>
      </c>
      <c r="D48" s="250">
        <f t="shared" si="0"/>
        <v>-1.6</v>
      </c>
      <c r="E48" s="27">
        <f>IFERROR(100/'Skjema total MA'!C48*C48,0)</f>
        <v>10.165761291548558</v>
      </c>
      <c r="F48" s="145"/>
      <c r="G48" s="33"/>
      <c r="H48" s="145"/>
      <c r="I48" s="145"/>
      <c r="J48" s="33"/>
      <c r="K48" s="33"/>
      <c r="L48" s="159"/>
      <c r="M48" s="159"/>
      <c r="N48" s="148"/>
    </row>
    <row r="49" spans="1:14" s="3" customFormat="1" ht="15.75" x14ac:dyDescent="0.2">
      <c r="A49" s="38" t="s">
        <v>383</v>
      </c>
      <c r="B49" s="44">
        <v>278837</v>
      </c>
      <c r="C49" s="283">
        <v>361767</v>
      </c>
      <c r="D49" s="250">
        <f>IF(B49=0, "    ---- ", IF(ABS(ROUND(100/B49*C49-100,1))&lt;999,ROUND(100/B49*C49-100,1),IF(ROUND(100/B49*C49-100,1)&gt;999,999,-999)))</f>
        <v>29.7</v>
      </c>
      <c r="E49" s="27">
        <f>IFERROR(100/'Skjema total MA'!C49*C49,0)</f>
        <v>31.08283235494779</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6453.3969999999999</v>
      </c>
      <c r="C53" s="303">
        <v>88294.008000000002</v>
      </c>
      <c r="D53" s="366">
        <f t="shared" si="0"/>
        <v>999</v>
      </c>
      <c r="E53" s="11">
        <f>IFERROR(100/'Skjema total MA'!C53*C53,0)</f>
        <v>59.257311074955801</v>
      </c>
      <c r="F53" s="145"/>
      <c r="G53" s="33"/>
      <c r="H53" s="145"/>
      <c r="I53" s="145"/>
      <c r="J53" s="33"/>
      <c r="K53" s="33"/>
      <c r="L53" s="159"/>
      <c r="M53" s="159"/>
      <c r="N53" s="148"/>
    </row>
    <row r="54" spans="1:14" s="3" customFormat="1" ht="15.75" x14ac:dyDescent="0.2">
      <c r="A54" s="38" t="s">
        <v>382</v>
      </c>
      <c r="B54" s="277">
        <v>6453.3969999999999</v>
      </c>
      <c r="C54" s="278">
        <v>2525.5010000000002</v>
      </c>
      <c r="D54" s="250">
        <f t="shared" si="0"/>
        <v>-60.9</v>
      </c>
      <c r="E54" s="27">
        <f>IFERROR(100/'Skjema total MA'!C54*C54,0)</f>
        <v>3.9939901186936537</v>
      </c>
      <c r="F54" s="145"/>
      <c r="G54" s="33"/>
      <c r="H54" s="145"/>
      <c r="I54" s="145"/>
      <c r="J54" s="33"/>
      <c r="K54" s="33"/>
      <c r="L54" s="159"/>
      <c r="M54" s="159"/>
      <c r="N54" s="148"/>
    </row>
    <row r="55" spans="1:14" s="3" customFormat="1" ht="15.75" x14ac:dyDescent="0.2">
      <c r="A55" s="38" t="s">
        <v>383</v>
      </c>
      <c r="B55" s="277">
        <v>0</v>
      </c>
      <c r="C55" s="278">
        <v>85768.506999999998</v>
      </c>
      <c r="D55" s="250" t="str">
        <f t="shared" si="0"/>
        <v xml:space="preserve">    ---- </v>
      </c>
      <c r="E55" s="27">
        <f>IFERROR(100/'Skjema total MA'!C55*C55,0)</f>
        <v>100.00000000000001</v>
      </c>
      <c r="F55" s="145"/>
      <c r="G55" s="33"/>
      <c r="H55" s="145"/>
      <c r="I55" s="145"/>
      <c r="J55" s="33"/>
      <c r="K55" s="33"/>
      <c r="L55" s="159"/>
      <c r="M55" s="159"/>
      <c r="N55" s="148"/>
    </row>
    <row r="56" spans="1:14" s="3" customFormat="1" ht="15.75" x14ac:dyDescent="0.2">
      <c r="A56" s="39" t="s">
        <v>385</v>
      </c>
      <c r="B56" s="302">
        <v>15179.314</v>
      </c>
      <c r="C56" s="303">
        <v>21200.225999999999</v>
      </c>
      <c r="D56" s="366">
        <f t="shared" si="0"/>
        <v>39.700000000000003</v>
      </c>
      <c r="E56" s="11">
        <f>IFERROR(100/'Skjema total MA'!C56*C56,0)</f>
        <v>17.508647879102227</v>
      </c>
      <c r="F56" s="145"/>
      <c r="G56" s="33"/>
      <c r="H56" s="145"/>
      <c r="I56" s="145"/>
      <c r="J56" s="33"/>
      <c r="K56" s="33"/>
      <c r="L56" s="159"/>
      <c r="M56" s="159"/>
      <c r="N56" s="148"/>
    </row>
    <row r="57" spans="1:14" s="3" customFormat="1" ht="15.75" x14ac:dyDescent="0.2">
      <c r="A57" s="38" t="s">
        <v>382</v>
      </c>
      <c r="B57" s="277">
        <v>15179.314</v>
      </c>
      <c r="C57" s="278">
        <v>21200.225999999999</v>
      </c>
      <c r="D57" s="250">
        <f t="shared" si="0"/>
        <v>39.700000000000003</v>
      </c>
      <c r="E57" s="27">
        <f>IFERROR(100/'Skjema total MA'!C57*C57,0)</f>
        <v>38.900639284823043</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c r="C66" s="345"/>
      <c r="D66" s="342"/>
      <c r="E66" s="11"/>
      <c r="F66" s="344"/>
      <c r="G66" s="344"/>
      <c r="H66" s="342"/>
      <c r="I66" s="11"/>
      <c r="J66" s="301"/>
      <c r="K66" s="308"/>
      <c r="L66" s="366"/>
      <c r="M66" s="11"/>
    </row>
    <row r="67" spans="1:14" x14ac:dyDescent="0.2">
      <c r="A67" s="360" t="s">
        <v>9</v>
      </c>
      <c r="B67" s="44"/>
      <c r="C67" s="145"/>
      <c r="D67" s="166"/>
      <c r="E67" s="27"/>
      <c r="F67" s="230"/>
      <c r="G67" s="145"/>
      <c r="H67" s="166"/>
      <c r="I67" s="27"/>
      <c r="J67" s="283"/>
      <c r="K67" s="44"/>
      <c r="L67" s="250"/>
      <c r="M67" s="27"/>
    </row>
    <row r="68" spans="1:14" x14ac:dyDescent="0.2">
      <c r="A68" s="21" t="s">
        <v>10</v>
      </c>
      <c r="B68" s="286"/>
      <c r="C68" s="287"/>
      <c r="D68" s="166"/>
      <c r="E68" s="27"/>
      <c r="F68" s="286"/>
      <c r="G68" s="287"/>
      <c r="H68" s="166"/>
      <c r="I68" s="27"/>
      <c r="J68" s="283"/>
      <c r="K68" s="44"/>
      <c r="L68" s="250"/>
      <c r="M68" s="27"/>
    </row>
    <row r="69" spans="1:14" ht="15.75" x14ac:dyDescent="0.2">
      <c r="A69" s="288" t="s">
        <v>386</v>
      </c>
      <c r="B69" s="311"/>
      <c r="C69" s="311"/>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c r="C72" s="311"/>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c r="C77" s="230"/>
      <c r="D77" s="166"/>
      <c r="E77" s="27"/>
      <c r="F77" s="230"/>
      <c r="G77" s="145"/>
      <c r="H77" s="166"/>
      <c r="I77" s="27"/>
      <c r="J77" s="283"/>
      <c r="K77" s="44"/>
      <c r="L77" s="250"/>
      <c r="M77" s="27"/>
    </row>
    <row r="78" spans="1:14" x14ac:dyDescent="0.2">
      <c r="A78" s="21" t="s">
        <v>9</v>
      </c>
      <c r="B78" s="230"/>
      <c r="C78" s="145"/>
      <c r="D78" s="166"/>
      <c r="E78" s="27"/>
      <c r="F78" s="230"/>
      <c r="G78" s="145"/>
      <c r="H78" s="166"/>
      <c r="I78" s="27"/>
      <c r="J78" s="283"/>
      <c r="K78" s="44"/>
      <c r="L78" s="250"/>
      <c r="M78" s="27"/>
    </row>
    <row r="79" spans="1:14" x14ac:dyDescent="0.2">
      <c r="A79" s="21" t="s">
        <v>10</v>
      </c>
      <c r="B79" s="286"/>
      <c r="C79" s="287"/>
      <c r="D79" s="166"/>
      <c r="E79" s="27"/>
      <c r="F79" s="286"/>
      <c r="G79" s="287"/>
      <c r="H79" s="166"/>
      <c r="I79" s="27"/>
      <c r="J79" s="283"/>
      <c r="K79" s="44"/>
      <c r="L79" s="250"/>
      <c r="M79" s="27"/>
    </row>
    <row r="80" spans="1:14" ht="15.75" x14ac:dyDescent="0.2">
      <c r="A80" s="288" t="s">
        <v>386</v>
      </c>
      <c r="B80" s="311"/>
      <c r="C80" s="311"/>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c r="C83" s="311"/>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c r="C87" s="345"/>
      <c r="D87" s="171"/>
      <c r="E87" s="11"/>
      <c r="F87" s="344"/>
      <c r="G87" s="344"/>
      <c r="H87" s="171"/>
      <c r="I87" s="11"/>
      <c r="J87" s="301"/>
      <c r="K87" s="232"/>
      <c r="L87" s="366"/>
      <c r="M87" s="11"/>
    </row>
    <row r="88" spans="1:13" x14ac:dyDescent="0.2">
      <c r="A88" s="21" t="s">
        <v>9</v>
      </c>
      <c r="B88" s="230"/>
      <c r="C88" s="145"/>
      <c r="D88" s="166"/>
      <c r="E88" s="27"/>
      <c r="F88" s="230"/>
      <c r="G88" s="145"/>
      <c r="H88" s="166"/>
      <c r="I88" s="27"/>
      <c r="J88" s="283"/>
      <c r="K88" s="44"/>
      <c r="L88" s="250"/>
      <c r="M88" s="27"/>
    </row>
    <row r="89" spans="1:13" x14ac:dyDescent="0.2">
      <c r="A89" s="21" t="s">
        <v>10</v>
      </c>
      <c r="B89" s="230"/>
      <c r="C89" s="145"/>
      <c r="D89" s="166"/>
      <c r="E89" s="27"/>
      <c r="F89" s="230"/>
      <c r="G89" s="145"/>
      <c r="H89" s="166"/>
      <c r="I89" s="27"/>
      <c r="J89" s="283"/>
      <c r="K89" s="44"/>
      <c r="L89" s="250"/>
      <c r="M89" s="27"/>
    </row>
    <row r="90" spans="1:13" ht="15.75" x14ac:dyDescent="0.2">
      <c r="A90" s="288" t="s">
        <v>386</v>
      </c>
      <c r="B90" s="311"/>
      <c r="C90" s="311"/>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c r="C93" s="311"/>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c r="C98" s="230"/>
      <c r="D98" s="166"/>
      <c r="E98" s="27"/>
      <c r="F98" s="286"/>
      <c r="G98" s="286"/>
      <c r="H98" s="166"/>
      <c r="I98" s="27"/>
      <c r="J98" s="283"/>
      <c r="K98" s="44"/>
      <c r="L98" s="250"/>
      <c r="M98" s="27"/>
    </row>
    <row r="99" spans="1:13" x14ac:dyDescent="0.2">
      <c r="A99" s="21" t="s">
        <v>9</v>
      </c>
      <c r="B99" s="286"/>
      <c r="C99" s="287"/>
      <c r="D99" s="166"/>
      <c r="E99" s="27"/>
      <c r="F99" s="230"/>
      <c r="G99" s="145"/>
      <c r="H99" s="166"/>
      <c r="I99" s="27"/>
      <c r="J99" s="283"/>
      <c r="K99" s="44"/>
      <c r="L99" s="250"/>
      <c r="M99" s="27"/>
    </row>
    <row r="100" spans="1:13" x14ac:dyDescent="0.2">
      <c r="A100" s="21" t="s">
        <v>10</v>
      </c>
      <c r="B100" s="286"/>
      <c r="C100" s="287"/>
      <c r="D100" s="166"/>
      <c r="E100" s="27"/>
      <c r="F100" s="230"/>
      <c r="G100" s="230"/>
      <c r="H100" s="166"/>
      <c r="I100" s="27"/>
      <c r="J100" s="283"/>
      <c r="K100" s="44"/>
      <c r="L100" s="250"/>
      <c r="M100" s="27"/>
    </row>
    <row r="101" spans="1:13" ht="15.75" x14ac:dyDescent="0.2">
      <c r="A101" s="288" t="s">
        <v>386</v>
      </c>
      <c r="B101" s="311"/>
      <c r="C101" s="311"/>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c r="C104" s="311"/>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c r="C108" s="230"/>
      <c r="D108" s="166"/>
      <c r="E108" s="27"/>
      <c r="F108" s="230"/>
      <c r="G108" s="230"/>
      <c r="H108" s="166"/>
      <c r="I108" s="27"/>
      <c r="J108" s="283"/>
      <c r="K108" s="44"/>
      <c r="L108" s="250"/>
      <c r="M108" s="27"/>
    </row>
    <row r="109" spans="1:13" ht="15.75" x14ac:dyDescent="0.2">
      <c r="A109" s="21" t="s">
        <v>391</v>
      </c>
      <c r="B109" s="230"/>
      <c r="C109" s="230"/>
      <c r="D109" s="166"/>
      <c r="E109" s="27"/>
      <c r="F109" s="230"/>
      <c r="G109" s="230"/>
      <c r="H109" s="166"/>
      <c r="I109" s="27"/>
      <c r="J109" s="283"/>
      <c r="K109" s="44"/>
      <c r="L109" s="250"/>
      <c r="M109" s="27"/>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c r="C111" s="159"/>
      <c r="D111" s="171"/>
      <c r="E111" s="11"/>
      <c r="F111" s="300"/>
      <c r="G111" s="159"/>
      <c r="H111" s="171"/>
      <c r="I111" s="11"/>
      <c r="J111" s="301"/>
      <c r="K111" s="232"/>
      <c r="L111" s="366"/>
      <c r="M111" s="11"/>
    </row>
    <row r="112" spans="1:13" x14ac:dyDescent="0.2">
      <c r="A112" s="21" t="s">
        <v>9</v>
      </c>
      <c r="B112" s="230"/>
      <c r="C112" s="145"/>
      <c r="D112" s="166"/>
      <c r="E112" s="27"/>
      <c r="F112" s="230"/>
      <c r="G112" s="145"/>
      <c r="H112" s="166"/>
      <c r="I112" s="27"/>
      <c r="J112" s="283"/>
      <c r="K112" s="44"/>
      <c r="L112" s="250"/>
      <c r="M112" s="27"/>
    </row>
    <row r="113" spans="1:14" x14ac:dyDescent="0.2">
      <c r="A113" s="21" t="s">
        <v>10</v>
      </c>
      <c r="B113" s="230"/>
      <c r="C113" s="145"/>
      <c r="D113" s="166"/>
      <c r="E113" s="27"/>
      <c r="F113" s="230"/>
      <c r="G113" s="145"/>
      <c r="H113" s="166"/>
      <c r="I113" s="27"/>
      <c r="J113" s="283"/>
      <c r="K113" s="44"/>
      <c r="L113" s="250"/>
      <c r="M113" s="27"/>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c r="C116" s="230"/>
      <c r="D116" s="166"/>
      <c r="E116" s="27"/>
      <c r="F116" s="230"/>
      <c r="G116" s="230"/>
      <c r="H116" s="166"/>
      <c r="I116" s="27"/>
      <c r="J116" s="283"/>
      <c r="K116" s="44"/>
      <c r="L116" s="250"/>
      <c r="M116" s="27"/>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c r="C119" s="159"/>
      <c r="D119" s="171"/>
      <c r="E119" s="11"/>
      <c r="F119" s="300"/>
      <c r="G119" s="159"/>
      <c r="H119" s="171"/>
      <c r="I119" s="11"/>
      <c r="J119" s="301"/>
      <c r="K119" s="232"/>
      <c r="L119" s="366"/>
      <c r="M119" s="11"/>
    </row>
    <row r="120" spans="1:14" x14ac:dyDescent="0.2">
      <c r="A120" s="21" t="s">
        <v>9</v>
      </c>
      <c r="B120" s="230"/>
      <c r="C120" s="145"/>
      <c r="D120" s="166"/>
      <c r="E120" s="27"/>
      <c r="F120" s="230"/>
      <c r="G120" s="145"/>
      <c r="H120" s="166"/>
      <c r="I120" s="27"/>
      <c r="J120" s="283"/>
      <c r="K120" s="44"/>
      <c r="L120" s="250"/>
      <c r="M120" s="27"/>
    </row>
    <row r="121" spans="1:14" x14ac:dyDescent="0.2">
      <c r="A121" s="21" t="s">
        <v>10</v>
      </c>
      <c r="B121" s="230"/>
      <c r="C121" s="145"/>
      <c r="D121" s="166"/>
      <c r="E121" s="27"/>
      <c r="F121" s="230"/>
      <c r="G121" s="145"/>
      <c r="H121" s="166"/>
      <c r="I121" s="27"/>
      <c r="J121" s="283"/>
      <c r="K121" s="44"/>
      <c r="L121" s="250"/>
      <c r="M121" s="27"/>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c r="G124" s="230"/>
      <c r="H124" s="166"/>
      <c r="I124" s="27"/>
      <c r="J124" s="283"/>
      <c r="K124" s="44"/>
      <c r="L124" s="250"/>
      <c r="M124" s="27"/>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28" priority="12">
      <formula>kvartal &lt; 4</formula>
    </cfRule>
  </conditionalFormatting>
  <conditionalFormatting sqref="A69:A74">
    <cfRule type="expression" dxfId="27" priority="10">
      <formula>kvartal &lt; 4</formula>
    </cfRule>
  </conditionalFormatting>
  <conditionalFormatting sqref="A80:A85">
    <cfRule type="expression" dxfId="26" priority="9">
      <formula>kvartal &lt; 4</formula>
    </cfRule>
  </conditionalFormatting>
  <conditionalFormatting sqref="A90:A95">
    <cfRule type="expression" dxfId="25" priority="6">
      <formula>kvartal &lt; 4</formula>
    </cfRule>
  </conditionalFormatting>
  <conditionalFormatting sqref="A101:A106">
    <cfRule type="expression" dxfId="24" priority="5">
      <formula>kvartal &lt; 4</formula>
    </cfRule>
  </conditionalFormatting>
  <conditionalFormatting sqref="A115">
    <cfRule type="expression" dxfId="23" priority="4">
      <formula>kvartal &lt; 4</formula>
    </cfRule>
  </conditionalFormatting>
  <conditionalFormatting sqref="A123">
    <cfRule type="expression" dxfId="22" priority="3">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K136" sqref="K136"/>
    </sheetView>
  </sheetViews>
  <sheetFormatPr baseColWidth="10" defaultColWidth="11.42578125" defaultRowHeight="18.75" x14ac:dyDescent="0.3"/>
  <cols>
    <col min="10" max="11" width="16.7109375" customWidth="1"/>
    <col min="12" max="12" width="20.7109375" style="74" customWidth="1"/>
    <col min="13" max="14" width="15.85546875" style="74" bestFit="1" customWidth="1"/>
    <col min="15" max="15" width="22.85546875" customWidth="1"/>
    <col min="16" max="16" width="13.42578125" customWidth="1"/>
    <col min="17" max="17" width="13.855468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418</v>
      </c>
      <c r="B5" s="74"/>
      <c r="C5" s="74"/>
      <c r="D5" s="74"/>
      <c r="E5" s="74"/>
      <c r="F5" s="74"/>
      <c r="G5" s="74"/>
      <c r="H5" s="74"/>
      <c r="I5" s="79"/>
      <c r="J5" s="74"/>
      <c r="K5" s="74"/>
      <c r="O5" s="74"/>
    </row>
    <row r="6" spans="1:15" x14ac:dyDescent="0.3">
      <c r="A6" s="74"/>
      <c r="B6" s="74"/>
      <c r="C6" s="74"/>
      <c r="D6" s="74"/>
      <c r="E6" s="74"/>
      <c r="F6" s="74"/>
      <c r="G6" s="74"/>
      <c r="H6" s="74"/>
      <c r="I6" s="74"/>
      <c r="J6" s="74"/>
      <c r="K6" s="74"/>
      <c r="L6" s="74" t="s">
        <v>53</v>
      </c>
      <c r="O6" s="74"/>
    </row>
    <row r="7" spans="1:15" x14ac:dyDescent="0.3">
      <c r="A7" s="74"/>
      <c r="B7" s="74"/>
      <c r="C7" s="74"/>
      <c r="D7" s="74"/>
      <c r="E7" s="74"/>
      <c r="F7" s="74"/>
      <c r="G7" s="74"/>
      <c r="H7" s="74"/>
      <c r="I7" s="74"/>
      <c r="J7" s="74"/>
      <c r="K7" s="74"/>
      <c r="L7" s="74" t="s">
        <v>0</v>
      </c>
      <c r="O7" s="74"/>
    </row>
    <row r="8" spans="1:15" x14ac:dyDescent="0.3">
      <c r="A8" s="74"/>
      <c r="B8" s="74"/>
      <c r="C8" s="74"/>
      <c r="D8" s="74"/>
      <c r="E8" s="74"/>
      <c r="F8" s="74"/>
      <c r="G8" s="74"/>
      <c r="H8" s="74"/>
      <c r="I8" s="74"/>
      <c r="J8" s="74"/>
      <c r="K8" s="74"/>
      <c r="M8" s="74">
        <v>2018</v>
      </c>
      <c r="N8" s="74">
        <v>2019</v>
      </c>
      <c r="O8" s="74"/>
    </row>
    <row r="9" spans="1:15" x14ac:dyDescent="0.3">
      <c r="A9" s="74"/>
      <c r="B9" s="74"/>
      <c r="C9" s="74"/>
      <c r="D9" s="74"/>
      <c r="E9" s="74"/>
      <c r="F9" s="74"/>
      <c r="G9" s="74"/>
      <c r="H9" s="74"/>
      <c r="I9" s="74"/>
      <c r="J9" s="74"/>
      <c r="K9" s="74"/>
      <c r="M9" s="77"/>
      <c r="N9" s="77"/>
      <c r="O9" s="74"/>
    </row>
    <row r="10" spans="1:15" x14ac:dyDescent="0.3">
      <c r="A10" s="74"/>
      <c r="B10" s="74"/>
      <c r="C10" s="74"/>
      <c r="D10" s="74"/>
      <c r="E10" s="74"/>
      <c r="F10" s="74"/>
      <c r="G10" s="74"/>
      <c r="H10" s="74"/>
      <c r="I10" s="74"/>
      <c r="J10" s="74"/>
      <c r="K10" s="74"/>
      <c r="L10" s="74" t="s">
        <v>54</v>
      </c>
      <c r="M10" s="77">
        <f>'Tabel 1.1'!B9</f>
        <v>105522.829</v>
      </c>
      <c r="N10" s="77">
        <f>'Tabel 1.1'!C9</f>
        <v>106551.42599999999</v>
      </c>
      <c r="O10" s="74"/>
    </row>
    <row r="11" spans="1:15" x14ac:dyDescent="0.3">
      <c r="A11" s="74"/>
      <c r="B11" s="74"/>
      <c r="C11" s="74"/>
      <c r="D11" s="74"/>
      <c r="E11" s="74"/>
      <c r="F11" s="74"/>
      <c r="G11" s="74"/>
      <c r="H11" s="74"/>
      <c r="I11" s="74"/>
      <c r="J11" s="74"/>
      <c r="K11" s="74"/>
      <c r="L11" s="74" t="s">
        <v>55</v>
      </c>
      <c r="M11" s="77">
        <f>'Tabel 1.1'!B10</f>
        <v>1773028</v>
      </c>
      <c r="N11" s="77">
        <f>'Tabel 1.1'!C10</f>
        <v>1720403.8</v>
      </c>
      <c r="O11" s="74"/>
    </row>
    <row r="12" spans="1:15" x14ac:dyDescent="0.3">
      <c r="A12" s="74"/>
      <c r="B12" s="74"/>
      <c r="C12" s="74"/>
      <c r="D12" s="74"/>
      <c r="E12" s="74"/>
      <c r="F12" s="74"/>
      <c r="G12" s="74"/>
      <c r="H12" s="74"/>
      <c r="I12" s="74"/>
      <c r="J12" s="74"/>
      <c r="K12" s="74"/>
      <c r="L12" s="74" t="s">
        <v>56</v>
      </c>
      <c r="M12" s="77">
        <f>'Tabel 1.1'!B11</f>
        <v>66623</v>
      </c>
      <c r="N12" s="77">
        <f>'Tabel 1.1'!C11</f>
        <v>73468</v>
      </c>
      <c r="O12" s="74"/>
    </row>
    <row r="13" spans="1:15" x14ac:dyDescent="0.3">
      <c r="A13" s="74"/>
      <c r="B13" s="74"/>
      <c r="C13" s="74"/>
      <c r="D13" s="74"/>
      <c r="E13" s="74"/>
      <c r="F13" s="74"/>
      <c r="G13" s="74"/>
      <c r="H13" s="74"/>
      <c r="I13" s="74"/>
      <c r="J13" s="74"/>
      <c r="K13" s="74"/>
      <c r="L13" s="74" t="s">
        <v>57</v>
      </c>
      <c r="M13" s="77">
        <f>'Tabel 1.1'!B12</f>
        <v>460011</v>
      </c>
      <c r="N13" s="77">
        <f>'Tabel 1.1'!C12</f>
        <v>493427</v>
      </c>
      <c r="O13" s="74"/>
    </row>
    <row r="14" spans="1:15" x14ac:dyDescent="0.3">
      <c r="A14" s="74"/>
      <c r="B14" s="74"/>
      <c r="C14" s="74"/>
      <c r="D14" s="74"/>
      <c r="E14" s="74"/>
      <c r="F14" s="74"/>
      <c r="G14" s="74"/>
      <c r="H14" s="74"/>
      <c r="I14" s="74"/>
      <c r="J14" s="74"/>
      <c r="K14" s="74"/>
      <c r="L14" s="74" t="s">
        <v>58</v>
      </c>
      <c r="M14" s="77">
        <f>'Tabel 1.1'!B13</f>
        <v>4814</v>
      </c>
      <c r="N14" s="77">
        <f>'Tabel 1.1'!C13</f>
        <v>1699</v>
      </c>
      <c r="O14" s="74"/>
    </row>
    <row r="15" spans="1:15" x14ac:dyDescent="0.3">
      <c r="A15" s="74"/>
      <c r="B15" s="74"/>
      <c r="C15" s="74"/>
      <c r="D15" s="74"/>
      <c r="E15" s="74"/>
      <c r="F15" s="74"/>
      <c r="G15" s="74"/>
      <c r="H15" s="74"/>
      <c r="I15" s="74"/>
      <c r="J15" s="74"/>
      <c r="K15" s="74"/>
      <c r="L15" s="74" t="s">
        <v>59</v>
      </c>
      <c r="M15" s="77">
        <f>'Tabel 1.1'!B14</f>
        <v>1052245</v>
      </c>
      <c r="N15" s="77">
        <f>'Tabel 1.1'!C14</f>
        <v>1031602</v>
      </c>
      <c r="O15" s="74"/>
    </row>
    <row r="16" spans="1:15" x14ac:dyDescent="0.3">
      <c r="A16" s="74"/>
      <c r="B16" s="74"/>
      <c r="C16" s="74"/>
      <c r="D16" s="74"/>
      <c r="E16" s="74"/>
      <c r="F16" s="74"/>
      <c r="G16" s="74"/>
      <c r="H16" s="74"/>
      <c r="I16" s="74"/>
      <c r="J16" s="74"/>
      <c r="K16" s="74"/>
      <c r="L16" s="74" t="s">
        <v>60</v>
      </c>
      <c r="M16" s="77">
        <f>'Tabel 1.1'!B15</f>
        <v>178625</v>
      </c>
      <c r="N16" s="77">
        <f>'Tabel 1.1'!C15</f>
        <v>201661</v>
      </c>
      <c r="O16" s="74"/>
    </row>
    <row r="17" spans="1:15" x14ac:dyDescent="0.3">
      <c r="A17" s="74"/>
      <c r="B17" s="74"/>
      <c r="C17" s="74"/>
      <c r="D17" s="74"/>
      <c r="E17" s="74"/>
      <c r="F17" s="74"/>
      <c r="G17" s="74"/>
      <c r="H17" s="74"/>
      <c r="I17" s="74"/>
      <c r="J17" s="74"/>
      <c r="K17" s="74"/>
      <c r="L17" s="74" t="s">
        <v>61</v>
      </c>
      <c r="M17" s="77">
        <f>'Tabel 1.1'!B16</f>
        <v>10248</v>
      </c>
      <c r="N17" s="77">
        <f>'Tabel 1.1'!C16</f>
        <v>9227.8753499999984</v>
      </c>
      <c r="O17" s="74"/>
    </row>
    <row r="18" spans="1:15" x14ac:dyDescent="0.3">
      <c r="A18" s="74"/>
      <c r="B18" s="74"/>
      <c r="C18" s="74"/>
      <c r="D18" s="74"/>
      <c r="E18" s="74"/>
      <c r="F18" s="74"/>
      <c r="G18" s="74"/>
      <c r="H18" s="74"/>
      <c r="I18" s="74"/>
      <c r="J18" s="74"/>
      <c r="K18" s="74"/>
      <c r="L18" s="74" t="s">
        <v>62</v>
      </c>
      <c r="M18" s="77">
        <f>'Tabel 1.1'!B17</f>
        <v>153678.71638</v>
      </c>
      <c r="N18" s="77">
        <f>'Tabel 1.1'!C17</f>
        <v>152402.34600000002</v>
      </c>
      <c r="O18" s="74"/>
    </row>
    <row r="19" spans="1:15" x14ac:dyDescent="0.3">
      <c r="A19" s="74"/>
      <c r="B19" s="74"/>
      <c r="C19" s="74"/>
      <c r="D19" s="74"/>
      <c r="E19" s="74"/>
      <c r="F19" s="74"/>
      <c r="G19" s="74"/>
      <c r="H19" s="74"/>
      <c r="I19" s="74"/>
      <c r="J19" s="74"/>
      <c r="K19" s="74"/>
      <c r="L19" s="74" t="s">
        <v>63</v>
      </c>
      <c r="M19" s="77">
        <f>'Tabel 1.1'!B18</f>
        <v>6307422.4361200007</v>
      </c>
      <c r="N19" s="77">
        <f>'Tabel 1.1'!C18</f>
        <v>6685288.0742199998</v>
      </c>
      <c r="O19" s="74"/>
    </row>
    <row r="20" spans="1:15" x14ac:dyDescent="0.3">
      <c r="A20" s="74"/>
      <c r="B20" s="74"/>
      <c r="C20" s="74"/>
      <c r="D20" s="74"/>
      <c r="E20" s="74"/>
      <c r="F20" s="74"/>
      <c r="G20" s="74"/>
      <c r="H20" s="74"/>
      <c r="I20" s="74"/>
      <c r="J20" s="74"/>
      <c r="K20" s="74"/>
      <c r="L20" s="74" t="s">
        <v>64</v>
      </c>
      <c r="M20" s="77">
        <f>'Tabel 1.1'!B19</f>
        <v>20618</v>
      </c>
      <c r="N20" s="77">
        <f>'Tabel 1.1'!C19</f>
        <v>23364</v>
      </c>
      <c r="O20" s="74"/>
    </row>
    <row r="21" spans="1:15" x14ac:dyDescent="0.3">
      <c r="A21" s="74"/>
      <c r="B21" s="74"/>
      <c r="C21" s="74"/>
      <c r="D21" s="74"/>
      <c r="E21" s="74"/>
      <c r="F21" s="74"/>
      <c r="G21" s="74"/>
      <c r="H21" s="74"/>
      <c r="I21" s="74"/>
      <c r="J21" s="74"/>
      <c r="K21" s="74"/>
      <c r="L21" s="74" t="s">
        <v>65</v>
      </c>
      <c r="M21" s="77">
        <f>'Tabel 1.1'!B20</f>
        <v>107643.077</v>
      </c>
      <c r="N21" s="77">
        <f>'Tabel 1.1'!C20</f>
        <v>136835</v>
      </c>
      <c r="O21" s="74"/>
    </row>
    <row r="22" spans="1:15" x14ac:dyDescent="0.3">
      <c r="A22" s="74"/>
      <c r="B22" s="74"/>
      <c r="C22" s="74"/>
      <c r="D22" s="74"/>
      <c r="E22" s="74"/>
      <c r="F22" s="74"/>
      <c r="G22" s="74"/>
      <c r="H22" s="74"/>
      <c r="I22" s="74"/>
      <c r="J22" s="74"/>
      <c r="K22" s="74"/>
      <c r="L22" s="74" t="s">
        <v>66</v>
      </c>
      <c r="M22" s="77">
        <f>'Tabel 1.1'!B21</f>
        <v>21888.014999999999</v>
      </c>
      <c r="N22" s="77">
        <f>'Tabel 1.1'!C21</f>
        <v>22249</v>
      </c>
      <c r="O22" s="74"/>
    </row>
    <row r="23" spans="1:15" x14ac:dyDescent="0.3">
      <c r="A23" s="74"/>
      <c r="B23" s="74"/>
      <c r="C23" s="74"/>
      <c r="D23" s="74"/>
      <c r="E23" s="74"/>
      <c r="F23" s="74"/>
      <c r="G23" s="74"/>
      <c r="H23" s="74"/>
      <c r="I23" s="74"/>
      <c r="J23" s="74"/>
      <c r="K23" s="74"/>
      <c r="L23" s="74" t="s">
        <v>67</v>
      </c>
      <c r="M23" s="77">
        <f>'Tabel 1.1'!B22</f>
        <v>620.45399999999995</v>
      </c>
      <c r="N23" s="77">
        <f>'Tabel 1.1'!C22</f>
        <v>4425.9740000000002</v>
      </c>
      <c r="O23" s="74"/>
    </row>
    <row r="24" spans="1:15" x14ac:dyDescent="0.3">
      <c r="A24" s="74"/>
      <c r="B24" s="74"/>
      <c r="C24" s="74"/>
      <c r="D24" s="74"/>
      <c r="E24" s="74"/>
      <c r="F24" s="74"/>
      <c r="G24" s="74"/>
      <c r="H24" s="74"/>
      <c r="I24" s="74"/>
      <c r="J24" s="74"/>
      <c r="K24" s="74"/>
      <c r="L24" s="74" t="s">
        <v>68</v>
      </c>
      <c r="M24" s="77">
        <f>'Tabel 1.1'!B23</f>
        <v>665744.15912939585</v>
      </c>
      <c r="N24" s="77">
        <f>'Tabel 1.1'!C23</f>
        <v>643709.20639581443</v>
      </c>
      <c r="O24" s="74"/>
    </row>
    <row r="25" spans="1:15" x14ac:dyDescent="0.3">
      <c r="A25" s="74"/>
      <c r="B25" s="74"/>
      <c r="C25" s="74"/>
      <c r="D25" s="74"/>
      <c r="E25" s="74"/>
      <c r="F25" s="74"/>
      <c r="G25" s="74"/>
      <c r="H25" s="74"/>
      <c r="I25" s="74"/>
      <c r="J25" s="74"/>
      <c r="K25" s="74"/>
      <c r="L25" s="74" t="s">
        <v>69</v>
      </c>
      <c r="M25" s="77">
        <f>'Tabel 1.1'!B24</f>
        <v>725316</v>
      </c>
      <c r="N25" s="77">
        <f>'Tabel 1.1'!C24</f>
        <v>973969.14500999998</v>
      </c>
      <c r="O25" s="74"/>
    </row>
    <row r="26" spans="1:15" s="141" customFormat="1" x14ac:dyDescent="0.3">
      <c r="A26" s="74"/>
      <c r="B26" s="74"/>
      <c r="C26" s="74"/>
      <c r="D26" s="74"/>
      <c r="E26" s="74"/>
      <c r="F26" s="74"/>
      <c r="G26" s="74"/>
      <c r="H26" s="74"/>
      <c r="I26" s="74"/>
      <c r="J26" s="74"/>
      <c r="K26" s="74"/>
      <c r="L26" s="74" t="s">
        <v>402</v>
      </c>
      <c r="M26" s="77">
        <f>'Tabel 1.1'!B25</f>
        <v>0</v>
      </c>
      <c r="N26" s="77">
        <f>'Tabel 1.1'!C25</f>
        <v>174427.98112853389</v>
      </c>
      <c r="O26" s="74"/>
    </row>
    <row r="27" spans="1:15" x14ac:dyDescent="0.3">
      <c r="A27" s="74"/>
      <c r="B27" s="74"/>
      <c r="C27" s="74"/>
      <c r="D27" s="74"/>
      <c r="E27" s="74"/>
      <c r="F27" s="74"/>
      <c r="G27" s="74"/>
      <c r="H27" s="74"/>
      <c r="I27" s="74"/>
      <c r="J27" s="74"/>
      <c r="K27" s="74"/>
      <c r="L27" s="74" t="s">
        <v>70</v>
      </c>
      <c r="M27" s="77">
        <f>'Tabel 1.1'!B26</f>
        <v>816522.19760999992</v>
      </c>
      <c r="N27" s="77">
        <f>'Tabel 1.1'!C26</f>
        <v>894213.30877</v>
      </c>
      <c r="O27" s="74"/>
    </row>
    <row r="28" spans="1:15" x14ac:dyDescent="0.3">
      <c r="A28" s="74"/>
      <c r="B28" s="74"/>
      <c r="C28" s="74"/>
      <c r="D28" s="74"/>
      <c r="E28" s="74"/>
      <c r="F28" s="74"/>
      <c r="G28" s="74"/>
      <c r="H28" s="74"/>
      <c r="I28" s="74"/>
      <c r="J28" s="74"/>
      <c r="K28" s="74"/>
      <c r="L28" s="74" t="s">
        <v>71</v>
      </c>
      <c r="M28" s="77">
        <f>'Tabel 1.1'!B27</f>
        <v>2307542.6269999999</v>
      </c>
      <c r="N28" s="77">
        <f>'Tabel 1.1'!C27</f>
        <v>2180985.9240000001</v>
      </c>
    </row>
    <row r="29" spans="1:15" x14ac:dyDescent="0.3">
      <c r="A29" s="74"/>
      <c r="B29" s="74"/>
      <c r="C29" s="74"/>
      <c r="D29" s="74"/>
      <c r="E29" s="74"/>
      <c r="F29" s="74"/>
      <c r="G29" s="74"/>
      <c r="H29" s="74"/>
      <c r="I29" s="74"/>
      <c r="J29" s="74"/>
      <c r="K29" s="74"/>
      <c r="L29" s="74" t="s">
        <v>72</v>
      </c>
      <c r="M29" s="77">
        <f>'Tabel 1.1'!B28</f>
        <v>0</v>
      </c>
      <c r="N29" s="77">
        <f>'Tabel 1.1'!C28</f>
        <v>0</v>
      </c>
    </row>
    <row r="30" spans="1:15" x14ac:dyDescent="0.3">
      <c r="A30" s="74"/>
      <c r="B30" s="74"/>
      <c r="C30" s="74"/>
      <c r="D30" s="74"/>
      <c r="E30" s="74"/>
      <c r="F30" s="74"/>
      <c r="G30" s="74"/>
      <c r="H30" s="74"/>
      <c r="I30" s="74"/>
      <c r="J30" s="74"/>
      <c r="K30" s="74"/>
      <c r="L30" s="74" t="s">
        <v>73</v>
      </c>
      <c r="M30" s="77">
        <f>'Tabel 1.1'!B29</f>
        <v>417186</v>
      </c>
      <c r="N30" s="77">
        <f>'Tabel 1.1'!C29</f>
        <v>497838</v>
      </c>
    </row>
    <row r="31" spans="1:15" x14ac:dyDescent="0.3">
      <c r="A31" s="75" t="s">
        <v>419</v>
      </c>
      <c r="B31" s="74"/>
      <c r="C31" s="74"/>
      <c r="D31" s="74"/>
      <c r="E31" s="74"/>
      <c r="F31" s="74"/>
      <c r="G31" s="74"/>
      <c r="H31" s="74"/>
      <c r="I31" s="79"/>
      <c r="J31" s="74"/>
      <c r="K31" s="74"/>
    </row>
    <row r="32" spans="1:15" x14ac:dyDescent="0.3">
      <c r="B32" s="74"/>
      <c r="C32" s="74"/>
      <c r="D32" s="74"/>
      <c r="E32" s="74"/>
      <c r="F32" s="74"/>
      <c r="G32" s="74"/>
      <c r="H32" s="74"/>
      <c r="I32" s="74"/>
      <c r="J32" s="74"/>
      <c r="K32" s="74"/>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v>2018</v>
      </c>
      <c r="N36" s="74">
        <v>2019</v>
      </c>
    </row>
    <row r="37" spans="1:15" x14ac:dyDescent="0.3">
      <c r="A37" s="74"/>
      <c r="B37" s="74"/>
      <c r="C37" s="74"/>
      <c r="D37" s="74"/>
      <c r="E37" s="74"/>
      <c r="F37" s="74"/>
      <c r="G37" s="74"/>
      <c r="H37" s="74"/>
      <c r="I37" s="74"/>
      <c r="J37" s="74"/>
      <c r="K37" s="74"/>
      <c r="L37" s="79" t="s">
        <v>54</v>
      </c>
      <c r="M37" s="78">
        <f>'Tabel 1.1'!B33</f>
        <v>512553.30499999999</v>
      </c>
      <c r="N37" s="78">
        <f>'Tabel 1.1'!C33</f>
        <v>506748.04200000002</v>
      </c>
    </row>
    <row r="38" spans="1:15" x14ac:dyDescent="0.3">
      <c r="A38" s="74"/>
      <c r="B38" s="74"/>
      <c r="C38" s="74"/>
      <c r="D38" s="74"/>
      <c r="E38" s="74"/>
      <c r="F38" s="74"/>
      <c r="G38" s="74"/>
      <c r="H38" s="74"/>
      <c r="I38" s="74"/>
      <c r="J38" s="74"/>
      <c r="K38" s="74"/>
      <c r="L38" s="74" t="s">
        <v>55</v>
      </c>
      <c r="M38" s="78">
        <f>'Tabel 1.1'!B34</f>
        <v>1933331</v>
      </c>
      <c r="N38" s="78">
        <f>'Tabel 1.1'!C34</f>
        <v>2408062</v>
      </c>
    </row>
    <row r="39" spans="1:15" x14ac:dyDescent="0.3">
      <c r="A39" s="74"/>
      <c r="B39" s="74"/>
      <c r="C39" s="74"/>
      <c r="D39" s="74"/>
      <c r="E39" s="74"/>
      <c r="F39" s="74"/>
      <c r="G39" s="74"/>
      <c r="H39" s="74"/>
      <c r="I39" s="74"/>
      <c r="J39" s="74"/>
      <c r="K39" s="74"/>
      <c r="L39" s="74" t="s">
        <v>57</v>
      </c>
      <c r="M39" s="78">
        <f>'Tabel 1.1'!B35</f>
        <v>88637</v>
      </c>
      <c r="N39" s="78">
        <f>'Tabel 1.1'!C35</f>
        <v>96311</v>
      </c>
    </row>
    <row r="40" spans="1:15" x14ac:dyDescent="0.3">
      <c r="A40" s="74"/>
      <c r="B40" s="74"/>
      <c r="C40" s="74"/>
      <c r="D40" s="74"/>
      <c r="E40" s="74"/>
      <c r="F40" s="74"/>
      <c r="G40" s="74"/>
      <c r="H40" s="74"/>
      <c r="I40" s="74"/>
      <c r="J40" s="74"/>
      <c r="K40" s="74"/>
      <c r="L40" s="79" t="s">
        <v>60</v>
      </c>
      <c r="M40" s="78">
        <f>'Tabel 1.1'!B36</f>
        <v>681493</v>
      </c>
      <c r="N40" s="78">
        <f>'Tabel 1.1'!C36</f>
        <v>781465</v>
      </c>
    </row>
    <row r="41" spans="1:15" x14ac:dyDescent="0.3">
      <c r="A41" s="74"/>
      <c r="B41" s="74"/>
      <c r="C41" s="74"/>
      <c r="D41" s="74"/>
      <c r="E41" s="74"/>
      <c r="F41" s="74"/>
      <c r="G41" s="74"/>
      <c r="H41" s="74"/>
      <c r="I41" s="74"/>
      <c r="J41" s="74"/>
      <c r="K41" s="74"/>
      <c r="L41" s="74" t="s">
        <v>63</v>
      </c>
      <c r="M41" s="78">
        <f>'Tabel 1.1'!B37</f>
        <v>20875.777999999998</v>
      </c>
      <c r="N41" s="78">
        <f>'Tabel 1.1'!C37</f>
        <v>19489.256000000001</v>
      </c>
      <c r="O41" s="74"/>
    </row>
    <row r="42" spans="1:15" x14ac:dyDescent="0.3">
      <c r="A42" s="74"/>
      <c r="B42" s="74"/>
      <c r="C42" s="74"/>
      <c r="D42" s="74"/>
      <c r="E42" s="74"/>
      <c r="F42" s="74"/>
      <c r="G42" s="74"/>
      <c r="H42" s="74"/>
      <c r="I42" s="74"/>
      <c r="J42" s="74"/>
      <c r="K42" s="74"/>
      <c r="L42" s="79" t="s">
        <v>64</v>
      </c>
      <c r="M42" s="78">
        <f>'Tabel 1.1'!B38</f>
        <v>108569</v>
      </c>
      <c r="N42" s="78">
        <f>'Tabel 1.1'!C38</f>
        <v>135943</v>
      </c>
      <c r="O42" s="74"/>
    </row>
    <row r="43" spans="1:15" x14ac:dyDescent="0.3">
      <c r="A43" s="74"/>
      <c r="B43" s="74"/>
      <c r="C43" s="74"/>
      <c r="D43" s="74"/>
      <c r="E43" s="74"/>
      <c r="F43" s="74"/>
      <c r="G43" s="74"/>
      <c r="H43" s="74"/>
      <c r="I43" s="74"/>
      <c r="J43" s="74"/>
      <c r="K43" s="74"/>
      <c r="L43" s="79" t="s">
        <v>68</v>
      </c>
      <c r="M43" s="78">
        <f>'Tabel 1.1'!B39</f>
        <v>2294973.0361000001</v>
      </c>
      <c r="N43" s="78">
        <f>'Tabel 1.1'!C39</f>
        <v>3083447.26988</v>
      </c>
      <c r="O43" s="74"/>
    </row>
    <row r="44" spans="1:15" x14ac:dyDescent="0.3">
      <c r="A44" s="74"/>
      <c r="B44" s="74"/>
      <c r="C44" s="74"/>
      <c r="D44" s="74"/>
      <c r="E44" s="74"/>
      <c r="F44" s="74"/>
      <c r="G44" s="74"/>
      <c r="H44" s="74"/>
      <c r="I44" s="74"/>
      <c r="J44" s="74"/>
      <c r="K44" s="74"/>
      <c r="L44" s="79" t="s">
        <v>74</v>
      </c>
      <c r="M44" s="78">
        <f>'Tabel 1.1'!B40</f>
        <v>42877</v>
      </c>
      <c r="N44" s="78">
        <f>'Tabel 1.1'!C40</f>
        <v>38700.716099999998</v>
      </c>
      <c r="O44" s="74"/>
    </row>
    <row r="45" spans="1:15" x14ac:dyDescent="0.3">
      <c r="A45" s="74"/>
      <c r="B45" s="74"/>
      <c r="C45" s="74"/>
      <c r="D45" s="74"/>
      <c r="E45" s="74"/>
      <c r="F45" s="74"/>
      <c r="G45" s="74"/>
      <c r="H45" s="74"/>
      <c r="I45" s="74"/>
      <c r="J45" s="74"/>
      <c r="K45" s="74"/>
      <c r="L45" s="79" t="s">
        <v>70</v>
      </c>
      <c r="M45" s="78">
        <f>'Tabel 1.1'!B41</f>
        <v>912443.09380000003</v>
      </c>
      <c r="N45" s="78">
        <f>'Tabel 1.1'!C41</f>
        <v>1073722.1763800001</v>
      </c>
      <c r="O45" s="74"/>
    </row>
    <row r="46" spans="1:15" x14ac:dyDescent="0.3">
      <c r="A46" s="74"/>
      <c r="B46" s="74"/>
      <c r="C46" s="74"/>
      <c r="D46" s="74"/>
      <c r="E46" s="74"/>
      <c r="F46" s="74"/>
      <c r="G46" s="74"/>
      <c r="H46" s="74"/>
      <c r="I46" s="74"/>
      <c r="J46" s="74"/>
      <c r="K46" s="74"/>
      <c r="L46" s="79" t="s">
        <v>75</v>
      </c>
      <c r="M46" s="78">
        <f>'Tabel 1.1'!B42</f>
        <v>2667749.4759999998</v>
      </c>
      <c r="N46" s="78">
        <f>'Tabel 1.1'!C42</f>
        <v>2762007.8890000004</v>
      </c>
      <c r="O46" s="74"/>
    </row>
    <row r="47" spans="1:15" x14ac:dyDescent="0.3">
      <c r="A47" s="74"/>
      <c r="B47" s="74"/>
      <c r="C47" s="74"/>
      <c r="D47" s="74"/>
      <c r="E47" s="74"/>
      <c r="F47" s="74"/>
      <c r="G47" s="74"/>
      <c r="H47" s="74"/>
      <c r="I47" s="74"/>
      <c r="J47" s="74"/>
      <c r="K47" s="74"/>
      <c r="L47" s="79"/>
      <c r="M47" s="78"/>
      <c r="N47" s="78"/>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M51" s="77"/>
      <c r="N51" s="77"/>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O54" s="74"/>
    </row>
    <row r="55" spans="1:15" x14ac:dyDescent="0.3">
      <c r="A55" s="74"/>
      <c r="B55" s="74"/>
      <c r="C55" s="74"/>
      <c r="D55" s="74"/>
      <c r="E55" s="74"/>
      <c r="F55" s="74"/>
      <c r="G55" s="74"/>
      <c r="H55" s="74"/>
      <c r="I55" s="74"/>
      <c r="J55" s="74"/>
      <c r="K55" s="74"/>
      <c r="O55" s="74"/>
    </row>
    <row r="56" spans="1:15" x14ac:dyDescent="0.3">
      <c r="A56" s="75" t="s">
        <v>420</v>
      </c>
      <c r="B56" s="74"/>
      <c r="C56" s="74"/>
      <c r="D56" s="74"/>
      <c r="E56" s="74"/>
      <c r="F56" s="74"/>
      <c r="G56" s="74"/>
      <c r="H56" s="74"/>
      <c r="I56" s="79"/>
      <c r="J56" s="74"/>
      <c r="K56" s="74"/>
      <c r="O56" s="74"/>
    </row>
    <row r="57" spans="1:15" x14ac:dyDescent="0.3">
      <c r="A57" s="74"/>
      <c r="B57" s="74"/>
      <c r="C57" s="74"/>
      <c r="D57" s="74"/>
      <c r="E57" s="74"/>
      <c r="F57" s="74"/>
      <c r="G57" s="74"/>
      <c r="H57" s="74"/>
      <c r="I57" s="74"/>
      <c r="J57" s="74"/>
      <c r="K57" s="74"/>
      <c r="L57" s="74" t="s">
        <v>76</v>
      </c>
      <c r="O57" s="74"/>
    </row>
    <row r="58" spans="1:15" x14ac:dyDescent="0.3">
      <c r="A58" s="74"/>
      <c r="B58" s="74"/>
      <c r="C58" s="74"/>
      <c r="D58" s="74"/>
      <c r="E58" s="74"/>
      <c r="F58" s="74"/>
      <c r="G58" s="74"/>
      <c r="H58" s="74"/>
      <c r="I58" s="74"/>
      <c r="J58" s="74"/>
      <c r="K58" s="74"/>
      <c r="L58" s="74" t="s">
        <v>0</v>
      </c>
      <c r="O58" s="74"/>
    </row>
    <row r="59" spans="1:15" x14ac:dyDescent="0.3">
      <c r="A59" s="74"/>
      <c r="B59" s="74"/>
      <c r="C59" s="74"/>
      <c r="D59" s="74"/>
      <c r="E59" s="74"/>
      <c r="F59" s="74"/>
      <c r="G59" s="74"/>
      <c r="H59" s="74"/>
      <c r="I59" s="74"/>
      <c r="J59" s="74"/>
      <c r="K59" s="74"/>
      <c r="M59" s="74">
        <v>2018</v>
      </c>
      <c r="N59" s="74">
        <v>2019</v>
      </c>
      <c r="O59" s="74"/>
    </row>
    <row r="60" spans="1:15" x14ac:dyDescent="0.3">
      <c r="A60" s="74"/>
      <c r="B60" s="74"/>
      <c r="C60" s="74"/>
      <c r="D60" s="74"/>
      <c r="E60" s="74"/>
      <c r="F60" s="74"/>
      <c r="G60" s="74"/>
      <c r="H60" s="74"/>
      <c r="I60" s="74"/>
      <c r="J60" s="74"/>
      <c r="K60" s="74"/>
      <c r="L60" s="74" t="s">
        <v>54</v>
      </c>
      <c r="M60" s="77">
        <f>'Tabel 1.1'!G9</f>
        <v>1056297.5660000001</v>
      </c>
      <c r="N60" s="77">
        <f>'Tabel 1.1'!H9</f>
        <v>1186547.58</v>
      </c>
      <c r="O60" s="74"/>
    </row>
    <row r="61" spans="1:15" x14ac:dyDescent="0.3">
      <c r="A61" s="74"/>
      <c r="B61" s="74"/>
      <c r="C61" s="74"/>
      <c r="D61" s="74"/>
      <c r="E61" s="74"/>
      <c r="F61" s="74"/>
      <c r="G61" s="74"/>
      <c r="H61" s="74"/>
      <c r="I61" s="74"/>
      <c r="J61" s="74"/>
      <c r="K61" s="74"/>
      <c r="L61" s="74" t="s">
        <v>55</v>
      </c>
      <c r="M61" s="77">
        <f>'Tabel 1.1'!G10</f>
        <v>203084238.5</v>
      </c>
      <c r="N61" s="77">
        <f>'Tabel 1.1'!H10</f>
        <v>200343540.27200001</v>
      </c>
      <c r="O61" s="74"/>
    </row>
    <row r="62" spans="1:15" x14ac:dyDescent="0.3">
      <c r="A62" s="74"/>
      <c r="B62" s="74"/>
      <c r="C62" s="74"/>
      <c r="D62" s="74"/>
      <c r="E62" s="74"/>
      <c r="F62" s="74"/>
      <c r="G62" s="74"/>
      <c r="H62" s="74"/>
      <c r="I62" s="74"/>
      <c r="J62" s="74"/>
      <c r="K62" s="74"/>
      <c r="L62" s="74" t="s">
        <v>56</v>
      </c>
      <c r="M62" s="77">
        <f>'Tabel 1.1'!G11</f>
        <v>0</v>
      </c>
      <c r="N62" s="77">
        <f>'Tabel 1.1'!H11</f>
        <v>0</v>
      </c>
      <c r="O62" s="74"/>
    </row>
    <row r="63" spans="1:15" x14ac:dyDescent="0.3">
      <c r="A63" s="74"/>
      <c r="B63" s="74"/>
      <c r="C63" s="74"/>
      <c r="D63" s="74"/>
      <c r="E63" s="74"/>
      <c r="F63" s="74"/>
      <c r="G63" s="74"/>
      <c r="H63" s="74"/>
      <c r="I63" s="74"/>
      <c r="J63" s="74"/>
      <c r="K63" s="74"/>
      <c r="L63" s="74" t="s">
        <v>57</v>
      </c>
      <c r="M63" s="77">
        <f>'Tabel 1.1'!G12</f>
        <v>1014744</v>
      </c>
      <c r="N63" s="77">
        <f>'Tabel 1.1'!H12</f>
        <v>1154102.79</v>
      </c>
      <c r="O63" s="74"/>
    </row>
    <row r="64" spans="1:15" x14ac:dyDescent="0.3">
      <c r="A64" s="74"/>
      <c r="B64" s="74"/>
      <c r="C64" s="74"/>
      <c r="D64" s="74"/>
      <c r="E64" s="74"/>
      <c r="F64" s="74"/>
      <c r="G64" s="74"/>
      <c r="H64" s="74"/>
      <c r="I64" s="74"/>
      <c r="J64" s="74"/>
      <c r="K64" s="74"/>
      <c r="L64" s="74" t="s">
        <v>59</v>
      </c>
      <c r="M64" s="77">
        <f>'Tabel 1.1'!G13</f>
        <v>0</v>
      </c>
      <c r="N64" s="77">
        <f>'Tabel 1.1'!H13</f>
        <v>0</v>
      </c>
      <c r="O64" s="74"/>
    </row>
    <row r="65" spans="1:15" x14ac:dyDescent="0.3">
      <c r="A65" s="74"/>
      <c r="B65" s="74"/>
      <c r="C65" s="74"/>
      <c r="D65" s="74"/>
      <c r="E65" s="74"/>
      <c r="F65" s="74"/>
      <c r="G65" s="74"/>
      <c r="H65" s="74"/>
      <c r="I65" s="74"/>
      <c r="J65" s="74"/>
      <c r="K65" s="74"/>
      <c r="L65" s="74" t="s">
        <v>60</v>
      </c>
      <c r="M65" s="77">
        <f>'Tabel 1.1'!G15</f>
        <v>6138522</v>
      </c>
      <c r="N65" s="77">
        <f>'Tabel 1.1'!H15</f>
        <v>6798454</v>
      </c>
      <c r="O65" s="74"/>
    </row>
    <row r="66" spans="1:15" x14ac:dyDescent="0.3">
      <c r="A66" s="74"/>
      <c r="B66" s="74"/>
      <c r="C66" s="74"/>
      <c r="D66" s="74"/>
      <c r="E66" s="74"/>
      <c r="F66" s="74"/>
      <c r="G66" s="74"/>
      <c r="H66" s="74"/>
      <c r="I66" s="74"/>
      <c r="J66" s="74"/>
      <c r="K66" s="74"/>
      <c r="L66" s="74" t="s">
        <v>61</v>
      </c>
      <c r="M66" s="77">
        <f>'Tabel 1.1'!G16</f>
        <v>23193</v>
      </c>
      <c r="N66" s="77">
        <f>'Tabel 1.1'!H16</f>
        <v>24156.061791620199</v>
      </c>
      <c r="O66" s="74"/>
    </row>
    <row r="67" spans="1:15" x14ac:dyDescent="0.3">
      <c r="A67" s="74"/>
      <c r="B67" s="74"/>
      <c r="C67" s="74"/>
      <c r="D67" s="74"/>
      <c r="E67" s="74"/>
      <c r="F67" s="74"/>
      <c r="G67" s="74"/>
      <c r="H67" s="74"/>
      <c r="I67" s="74"/>
      <c r="J67" s="74"/>
      <c r="K67" s="74"/>
      <c r="L67" s="74" t="s">
        <v>62</v>
      </c>
      <c r="M67" s="77">
        <f>'Tabel 1.1'!G17</f>
        <v>0</v>
      </c>
      <c r="N67" s="77">
        <f>'Tabel 1.1'!H17</f>
        <v>0</v>
      </c>
      <c r="O67" s="74"/>
    </row>
    <row r="68" spans="1:15" x14ac:dyDescent="0.3">
      <c r="A68" s="74"/>
      <c r="B68" s="74"/>
      <c r="C68" s="74"/>
      <c r="D68" s="74"/>
      <c r="E68" s="74"/>
      <c r="F68" s="74"/>
      <c r="G68" s="74"/>
      <c r="H68" s="74"/>
      <c r="I68" s="74"/>
      <c r="J68" s="74"/>
      <c r="K68" s="74"/>
      <c r="L68" s="74" t="s">
        <v>63</v>
      </c>
      <c r="M68" s="77">
        <f>'Tabel 1.1'!G18</f>
        <v>450711574.44376999</v>
      </c>
      <c r="N68" s="77">
        <f>'Tabel 1.1'!H18</f>
        <v>477264053.30385</v>
      </c>
      <c r="O68" s="74"/>
    </row>
    <row r="69" spans="1:15" x14ac:dyDescent="0.3">
      <c r="A69" s="74"/>
      <c r="B69" s="74"/>
      <c r="C69" s="74"/>
      <c r="D69" s="74"/>
      <c r="E69" s="74"/>
      <c r="F69" s="74"/>
      <c r="G69" s="74"/>
      <c r="H69" s="74"/>
      <c r="I69" s="74"/>
      <c r="J69" s="74"/>
      <c r="K69" s="74"/>
      <c r="L69" s="74" t="s">
        <v>64</v>
      </c>
      <c r="M69" s="77">
        <f>'Tabel 1.1'!G19</f>
        <v>1517090</v>
      </c>
      <c r="N69" s="77">
        <f>'Tabel 1.1'!H19</f>
        <v>1573553</v>
      </c>
      <c r="O69" s="74"/>
    </row>
    <row r="70" spans="1:15" x14ac:dyDescent="0.3">
      <c r="A70" s="74"/>
      <c r="B70" s="74"/>
      <c r="C70" s="74"/>
      <c r="D70" s="74"/>
      <c r="E70" s="74"/>
      <c r="F70" s="74"/>
      <c r="G70" s="74"/>
      <c r="H70" s="74"/>
      <c r="I70" s="74"/>
      <c r="J70" s="74"/>
      <c r="K70" s="74"/>
      <c r="L70" s="74" t="s">
        <v>65</v>
      </c>
      <c r="M70" s="77">
        <f>'Tabel 1.1'!G20</f>
        <v>12214.147999999999</v>
      </c>
      <c r="N70" s="77">
        <f>'Tabel 1.1'!H20</f>
        <v>23088</v>
      </c>
      <c r="O70" s="74"/>
    </row>
    <row r="71" spans="1:15" x14ac:dyDescent="0.3">
      <c r="A71" s="74"/>
      <c r="B71" s="74"/>
      <c r="C71" s="74"/>
      <c r="D71" s="74"/>
      <c r="E71" s="74"/>
      <c r="F71" s="74"/>
      <c r="G71" s="74"/>
      <c r="H71" s="74"/>
      <c r="I71" s="74"/>
      <c r="J71" s="74"/>
      <c r="K71" s="74"/>
      <c r="L71" s="74" t="s">
        <v>68</v>
      </c>
      <c r="M71" s="77">
        <f>'Tabel 1.1'!G23</f>
        <v>49831728.590089791</v>
      </c>
      <c r="N71" s="77">
        <f>'Tabel 1.1'!H23</f>
        <v>50874402.35331405</v>
      </c>
      <c r="O71" s="74"/>
    </row>
    <row r="72" spans="1:15" x14ac:dyDescent="0.3">
      <c r="A72" s="74"/>
      <c r="B72" s="74"/>
      <c r="C72" s="74"/>
      <c r="D72" s="74"/>
      <c r="E72" s="74"/>
      <c r="F72" s="74"/>
      <c r="G72" s="74"/>
      <c r="H72" s="74"/>
      <c r="I72" s="74"/>
      <c r="J72" s="74"/>
      <c r="K72" s="74"/>
      <c r="L72" s="74" t="s">
        <v>69</v>
      </c>
      <c r="M72" s="77">
        <f>'Tabel 1.1'!G24</f>
        <v>71272663</v>
      </c>
      <c r="N72" s="77">
        <f>'Tabel 1.1'!H24</f>
        <v>75420758.385900304</v>
      </c>
      <c r="O72" s="74"/>
    </row>
    <row r="73" spans="1:15" x14ac:dyDescent="0.3">
      <c r="A73" s="74"/>
      <c r="B73" s="74"/>
      <c r="C73" s="74"/>
      <c r="D73" s="74"/>
      <c r="E73" s="74"/>
      <c r="F73" s="74"/>
      <c r="G73" s="74"/>
      <c r="H73" s="74"/>
      <c r="I73" s="74"/>
      <c r="J73" s="74"/>
      <c r="K73" s="74"/>
      <c r="L73" s="74" t="s">
        <v>70</v>
      </c>
      <c r="M73" s="77">
        <f>'Tabel 1.1'!G26</f>
        <v>18998939.185520001</v>
      </c>
      <c r="N73" s="77">
        <f>'Tabel 1.1'!H26</f>
        <v>20077494.383109998</v>
      </c>
      <c r="O73" s="74"/>
    </row>
    <row r="74" spans="1:15" x14ac:dyDescent="0.3">
      <c r="A74" s="74"/>
      <c r="B74" s="74"/>
      <c r="C74" s="74"/>
      <c r="D74" s="74"/>
      <c r="E74" s="74"/>
      <c r="F74" s="74"/>
      <c r="G74" s="74"/>
      <c r="H74" s="74"/>
      <c r="I74" s="74"/>
      <c r="J74" s="74"/>
      <c r="K74" s="74"/>
      <c r="L74" s="74" t="s">
        <v>71</v>
      </c>
      <c r="M74" s="77">
        <f>'Tabel 1.1'!G27</f>
        <v>181070508.74600002</v>
      </c>
      <c r="N74" s="77">
        <f>'Tabel 1.1'!H27</f>
        <v>181276652.00800002</v>
      </c>
      <c r="O74" s="74"/>
    </row>
    <row r="75" spans="1:15" x14ac:dyDescent="0.3">
      <c r="A75" s="74"/>
      <c r="B75" s="74"/>
      <c r="C75" s="74"/>
      <c r="D75" s="74"/>
      <c r="E75" s="74"/>
      <c r="F75" s="74"/>
      <c r="G75" s="74"/>
      <c r="H75" s="74"/>
      <c r="I75" s="74"/>
      <c r="J75" s="74"/>
      <c r="K75" s="74"/>
      <c r="O75" s="74"/>
    </row>
    <row r="76" spans="1:15" x14ac:dyDescent="0.3">
      <c r="A76" s="74"/>
      <c r="B76" s="74"/>
      <c r="C76" s="74"/>
      <c r="D76" s="74"/>
      <c r="E76" s="74"/>
      <c r="F76" s="74"/>
      <c r="G76" s="74"/>
      <c r="H76" s="74"/>
      <c r="I76" s="74"/>
      <c r="J76" s="74"/>
      <c r="K76" s="74"/>
      <c r="O76" s="74"/>
    </row>
    <row r="77" spans="1:15" x14ac:dyDescent="0.3">
      <c r="A77" s="74"/>
      <c r="B77" s="74"/>
      <c r="C77" s="74"/>
      <c r="D77" s="74"/>
      <c r="E77" s="74"/>
      <c r="F77" s="74"/>
      <c r="G77" s="74"/>
      <c r="H77" s="74"/>
      <c r="I77" s="74"/>
      <c r="J77" s="74"/>
      <c r="K77" s="74"/>
      <c r="O77" s="74"/>
    </row>
    <row r="78" spans="1:15" x14ac:dyDescent="0.3">
      <c r="A78" s="74"/>
      <c r="B78" s="74"/>
      <c r="C78" s="74"/>
      <c r="D78" s="74"/>
      <c r="E78" s="74"/>
      <c r="F78" s="74"/>
      <c r="G78" s="74"/>
      <c r="H78" s="74"/>
      <c r="I78" s="74"/>
      <c r="J78" s="74"/>
      <c r="K78" s="74"/>
      <c r="O78" s="74"/>
    </row>
    <row r="79" spans="1:15" x14ac:dyDescent="0.3">
      <c r="A79" s="74"/>
      <c r="B79" s="74"/>
      <c r="C79" s="74"/>
      <c r="D79" s="74"/>
      <c r="E79" s="74"/>
      <c r="F79" s="74"/>
      <c r="G79" s="74"/>
      <c r="H79" s="74"/>
      <c r="I79" s="74"/>
      <c r="J79" s="74"/>
      <c r="K79" s="74"/>
      <c r="O79" s="74"/>
    </row>
    <row r="80" spans="1:15" x14ac:dyDescent="0.3">
      <c r="A80" s="75" t="s">
        <v>421</v>
      </c>
      <c r="B80" s="74"/>
      <c r="C80" s="74"/>
      <c r="D80" s="74"/>
      <c r="E80" s="74"/>
      <c r="F80" s="74"/>
      <c r="G80" s="74"/>
      <c r="H80" s="74"/>
      <c r="I80" s="79"/>
      <c r="J80" s="74"/>
      <c r="K80" s="74"/>
      <c r="O80" s="74"/>
    </row>
    <row r="81" spans="1:15" x14ac:dyDescent="0.3">
      <c r="B81" s="74"/>
      <c r="C81" s="74"/>
      <c r="D81" s="74"/>
      <c r="E81" s="74"/>
      <c r="F81" s="74"/>
      <c r="G81" s="74"/>
      <c r="H81" s="74"/>
      <c r="I81" s="74"/>
      <c r="J81" s="74"/>
      <c r="K81" s="74"/>
      <c r="O81" s="74"/>
    </row>
    <row r="82" spans="1:15" x14ac:dyDescent="0.3">
      <c r="A82" s="74"/>
      <c r="B82" s="74"/>
      <c r="C82" s="74"/>
      <c r="D82" s="74"/>
      <c r="E82" s="74"/>
      <c r="F82" s="74"/>
      <c r="G82" s="74"/>
      <c r="H82" s="74"/>
      <c r="I82" s="74"/>
      <c r="J82" s="74"/>
      <c r="K82" s="74"/>
      <c r="L82" s="74" t="s">
        <v>76</v>
      </c>
      <c r="O82" s="74"/>
    </row>
    <row r="83" spans="1:15" x14ac:dyDescent="0.3">
      <c r="A83" s="74"/>
      <c r="B83" s="74"/>
      <c r="C83" s="74"/>
      <c r="D83" s="74"/>
      <c r="E83" s="74"/>
      <c r="F83" s="74"/>
      <c r="G83" s="74"/>
      <c r="H83" s="74"/>
      <c r="I83" s="74"/>
      <c r="J83" s="74"/>
      <c r="K83" s="74"/>
      <c r="L83" s="74" t="s">
        <v>1</v>
      </c>
      <c r="O83" s="74"/>
    </row>
    <row r="84" spans="1:15" x14ac:dyDescent="0.3">
      <c r="A84" s="74"/>
      <c r="B84" s="74"/>
      <c r="C84" s="74"/>
      <c r="D84" s="74"/>
      <c r="E84" s="74"/>
      <c r="F84" s="74"/>
      <c r="G84" s="74"/>
      <c r="H84" s="74"/>
      <c r="I84" s="74"/>
      <c r="J84" s="74"/>
      <c r="K84" s="74"/>
      <c r="M84" s="74">
        <v>2018</v>
      </c>
      <c r="N84" s="74">
        <v>2019</v>
      </c>
      <c r="O84" s="74"/>
    </row>
    <row r="85" spans="1:15" x14ac:dyDescent="0.3">
      <c r="B85" s="74"/>
      <c r="C85" s="74"/>
      <c r="D85" s="74"/>
      <c r="E85" s="74"/>
      <c r="F85" s="74"/>
      <c r="G85" s="74"/>
      <c r="H85" s="74"/>
      <c r="I85" s="74"/>
      <c r="J85" s="74"/>
      <c r="K85" s="74"/>
      <c r="L85" s="74" t="s">
        <v>54</v>
      </c>
      <c r="M85" s="77">
        <f>'Tabel 1.1'!G33</f>
        <v>16706584.574999999</v>
      </c>
      <c r="N85" s="77">
        <f>'Tabel 1.1'!H33</f>
        <v>18231058.762000002</v>
      </c>
      <c r="O85" s="74"/>
    </row>
    <row r="86" spans="1:15" x14ac:dyDescent="0.3">
      <c r="B86" s="74"/>
      <c r="C86" s="74"/>
      <c r="D86" s="74"/>
      <c r="E86" s="74"/>
      <c r="F86" s="74"/>
      <c r="G86" s="74"/>
      <c r="H86" s="74"/>
      <c r="I86" s="74"/>
      <c r="J86" s="74"/>
      <c r="K86" s="74"/>
      <c r="L86" s="74" t="s">
        <v>55</v>
      </c>
      <c r="M86" s="77">
        <f>'Tabel 1.1'!G34</f>
        <v>74630254</v>
      </c>
      <c r="N86" s="77">
        <f>'Tabel 1.1'!H34</f>
        <v>85192428.625</v>
      </c>
      <c r="O86" s="74"/>
    </row>
    <row r="87" spans="1:15" x14ac:dyDescent="0.3">
      <c r="B87" s="74"/>
      <c r="C87" s="74"/>
      <c r="D87" s="74"/>
      <c r="E87" s="74"/>
      <c r="F87" s="74"/>
      <c r="G87" s="74"/>
      <c r="H87" s="74"/>
      <c r="I87" s="74"/>
      <c r="J87" s="74"/>
      <c r="K87" s="74"/>
      <c r="L87" s="74" t="s">
        <v>57</v>
      </c>
      <c r="M87" s="77">
        <f>'Tabel 1.1'!G35</f>
        <v>3185848</v>
      </c>
      <c r="N87" s="77">
        <f>'Tabel 1.1'!H35</f>
        <v>3631130</v>
      </c>
      <c r="O87" s="74"/>
    </row>
    <row r="88" spans="1:15" x14ac:dyDescent="0.3">
      <c r="B88" s="74"/>
      <c r="C88" s="74"/>
      <c r="D88" s="74"/>
      <c r="E88" s="74"/>
      <c r="F88" s="74"/>
      <c r="G88" s="74"/>
      <c r="H88" s="74"/>
      <c r="I88" s="74"/>
      <c r="J88" s="74"/>
      <c r="K88" s="74"/>
      <c r="L88" s="79" t="s">
        <v>60</v>
      </c>
      <c r="M88" s="77">
        <f>'Tabel 1.1'!G36</f>
        <v>22784107</v>
      </c>
      <c r="N88" s="77">
        <f>'Tabel 1.1'!H36</f>
        <v>26882141</v>
      </c>
      <c r="O88" s="74"/>
    </row>
    <row r="89" spans="1:15" x14ac:dyDescent="0.3">
      <c r="B89" s="74"/>
      <c r="C89" s="74"/>
      <c r="D89" s="74"/>
      <c r="E89" s="74"/>
      <c r="F89" s="74"/>
      <c r="G89" s="74"/>
      <c r="H89" s="74"/>
      <c r="I89" s="74"/>
      <c r="J89" s="74"/>
      <c r="K89" s="74"/>
      <c r="L89" s="74" t="s">
        <v>63</v>
      </c>
      <c r="M89" s="77">
        <f>'Tabel 1.1'!G37</f>
        <v>2344983.7411500001</v>
      </c>
      <c r="N89" s="77">
        <f>'Tabel 1.1'!H37</f>
        <v>2497218.77415</v>
      </c>
      <c r="O89" s="74"/>
    </row>
    <row r="90" spans="1:15" x14ac:dyDescent="0.3">
      <c r="B90" s="74"/>
      <c r="C90" s="74"/>
      <c r="D90" s="74"/>
      <c r="E90" s="74"/>
      <c r="F90" s="74"/>
      <c r="G90" s="74"/>
      <c r="H90" s="74"/>
      <c r="I90" s="74"/>
      <c r="J90" s="74"/>
      <c r="K90" s="74"/>
      <c r="L90" s="74" t="s">
        <v>64</v>
      </c>
      <c r="M90" s="77">
        <f>'Tabel 1.1'!G38</f>
        <v>2816074</v>
      </c>
      <c r="N90" s="77">
        <f>'Tabel 1.1'!H38</f>
        <v>3934107</v>
      </c>
      <c r="O90" s="74"/>
    </row>
    <row r="91" spans="1:15" x14ac:dyDescent="0.3">
      <c r="A91" s="74"/>
      <c r="B91" s="74"/>
      <c r="C91" s="74"/>
      <c r="D91" s="74"/>
      <c r="E91" s="74"/>
      <c r="F91" s="74"/>
      <c r="G91" s="74"/>
      <c r="H91" s="74"/>
      <c r="I91" s="74"/>
      <c r="J91" s="74"/>
      <c r="K91" s="74"/>
      <c r="L91" s="74" t="s">
        <v>68</v>
      </c>
      <c r="M91" s="77">
        <f>'Tabel 1.1'!G39</f>
        <v>58443269.995210707</v>
      </c>
      <c r="N91" s="77">
        <f>'Tabel 1.1'!H39</f>
        <v>64970069.999999896</v>
      </c>
      <c r="O91" s="74"/>
    </row>
    <row r="92" spans="1:15" ht="18.75" customHeight="1" x14ac:dyDescent="0.3">
      <c r="A92" s="74"/>
      <c r="B92" s="74"/>
      <c r="C92" s="74"/>
      <c r="D92" s="74"/>
      <c r="E92" s="74"/>
      <c r="F92" s="74"/>
      <c r="G92" s="74"/>
      <c r="H92" s="74"/>
      <c r="I92" s="74"/>
      <c r="J92" s="74"/>
      <c r="K92" s="74"/>
      <c r="L92" s="74" t="s">
        <v>74</v>
      </c>
      <c r="M92" s="77">
        <f>'Tabel 1.1'!G40</f>
        <v>2055445</v>
      </c>
      <c r="N92" s="77">
        <f>'Tabel 1.1'!H40</f>
        <v>2236863.3610899998</v>
      </c>
      <c r="O92" s="74"/>
    </row>
    <row r="93" spans="1:15" ht="18.75" customHeight="1" x14ac:dyDescent="0.3">
      <c r="A93" s="74"/>
      <c r="B93" s="74"/>
      <c r="C93" s="74"/>
      <c r="D93" s="74"/>
      <c r="E93" s="74"/>
      <c r="F93" s="74"/>
      <c r="G93" s="74"/>
      <c r="H93" s="74"/>
      <c r="I93" s="74"/>
      <c r="J93" s="74"/>
      <c r="K93" s="74"/>
      <c r="L93" s="74" t="s">
        <v>70</v>
      </c>
      <c r="M93" s="77">
        <f>'Tabel 1.1'!G41</f>
        <v>26221241.436800003</v>
      </c>
      <c r="N93" s="77">
        <f>'Tabel 1.1'!H41</f>
        <v>30793410.668050002</v>
      </c>
      <c r="O93" s="74"/>
    </row>
    <row r="94" spans="1:15" ht="18.75" customHeight="1" x14ac:dyDescent="0.3">
      <c r="A94" s="74"/>
      <c r="B94" s="74"/>
      <c r="C94" s="74"/>
      <c r="D94" s="74"/>
      <c r="E94" s="74"/>
      <c r="F94" s="74"/>
      <c r="G94" s="74"/>
      <c r="H94" s="74"/>
      <c r="I94" s="74"/>
      <c r="J94" s="74"/>
      <c r="K94" s="74"/>
      <c r="L94" s="74" t="s">
        <v>75</v>
      </c>
      <c r="M94" s="77">
        <f>'Tabel 1.1'!G42</f>
        <v>89292605.564999998</v>
      </c>
      <c r="N94" s="77">
        <f>'Tabel 1.1'!H42</f>
        <v>99882666.639999986</v>
      </c>
      <c r="O94" s="74"/>
    </row>
    <row r="95" spans="1:15" ht="18.75" customHeight="1" x14ac:dyDescent="0.3">
      <c r="A95" s="74"/>
      <c r="B95" s="74"/>
      <c r="C95" s="74"/>
      <c r="D95" s="74"/>
      <c r="E95" s="74"/>
      <c r="F95" s="74"/>
      <c r="G95" s="74"/>
      <c r="H95" s="74"/>
      <c r="I95" s="74"/>
      <c r="J95" s="74"/>
      <c r="K95" s="74"/>
      <c r="M95" s="77"/>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422</v>
      </c>
      <c r="B106" s="74"/>
      <c r="C106" s="74"/>
      <c r="D106" s="74"/>
      <c r="E106" s="74"/>
      <c r="F106" s="74"/>
      <c r="G106" s="74"/>
      <c r="H106" s="79"/>
      <c r="I106" s="74"/>
      <c r="J106" s="74"/>
      <c r="K106" s="74"/>
      <c r="O106" s="74"/>
      <c r="Q106" s="74"/>
    </row>
    <row r="107" spans="1:17" ht="18.75" customHeight="1" x14ac:dyDescent="0.3">
      <c r="A107" s="74"/>
      <c r="B107" s="74"/>
      <c r="C107" s="74"/>
      <c r="D107" s="74"/>
      <c r="E107" s="74"/>
      <c r="F107" s="74"/>
      <c r="G107" s="74"/>
      <c r="H107" s="74"/>
      <c r="I107" s="74"/>
      <c r="J107" s="74"/>
      <c r="K107" s="74"/>
      <c r="O107" s="74"/>
      <c r="Q107" s="74"/>
    </row>
    <row r="108" spans="1:17" ht="18.75" customHeight="1" x14ac:dyDescent="0.3">
      <c r="A108" s="74"/>
      <c r="B108" s="74"/>
      <c r="C108" s="74"/>
      <c r="D108" s="74"/>
      <c r="E108" s="74"/>
      <c r="F108" s="74"/>
      <c r="G108" s="74"/>
      <c r="H108" s="74"/>
      <c r="I108" s="74"/>
      <c r="J108" s="74"/>
      <c r="K108" s="74"/>
      <c r="L108" s="74" t="s">
        <v>77</v>
      </c>
      <c r="O108" s="74"/>
      <c r="Q108" s="74"/>
    </row>
    <row r="109" spans="1:17" ht="18.75" customHeight="1" x14ac:dyDescent="0.3">
      <c r="A109" s="74"/>
      <c r="B109" s="74"/>
      <c r="C109" s="74"/>
      <c r="D109" s="74"/>
      <c r="E109" s="74"/>
      <c r="F109" s="74"/>
      <c r="G109" s="74"/>
      <c r="H109" s="74"/>
      <c r="I109" s="74"/>
      <c r="J109" s="74"/>
      <c r="K109" s="74"/>
      <c r="L109" s="74" t="s">
        <v>0</v>
      </c>
      <c r="O109" s="74"/>
      <c r="Q109" s="74"/>
    </row>
    <row r="110" spans="1:17" ht="18.75" customHeight="1" x14ac:dyDescent="0.3">
      <c r="A110" s="74"/>
      <c r="B110" s="74"/>
      <c r="C110" s="74"/>
      <c r="D110" s="74"/>
      <c r="E110" s="74"/>
      <c r="F110" s="74"/>
      <c r="G110" s="74"/>
      <c r="H110" s="74"/>
      <c r="I110" s="74"/>
      <c r="J110" s="74"/>
      <c r="K110" s="74"/>
      <c r="M110" s="74">
        <v>2018</v>
      </c>
      <c r="N110" s="74">
        <v>2019</v>
      </c>
      <c r="O110" s="74"/>
      <c r="Q110" s="74"/>
    </row>
    <row r="111" spans="1:17" ht="18.75" customHeight="1" x14ac:dyDescent="0.3">
      <c r="A111" s="74"/>
      <c r="B111" s="74"/>
      <c r="C111" s="74"/>
      <c r="D111" s="74"/>
      <c r="E111" s="74"/>
      <c r="F111" s="74"/>
      <c r="G111" s="74"/>
      <c r="H111" s="74"/>
      <c r="I111" s="74"/>
      <c r="J111" s="74"/>
      <c r="K111" s="74"/>
      <c r="L111" s="74" t="s">
        <v>54</v>
      </c>
      <c r="M111"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1918.3780000000006</v>
      </c>
      <c r="N111"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-1576.8909999999996</v>
      </c>
      <c r="O111" s="74"/>
      <c r="Q111" s="74"/>
    </row>
    <row r="112" spans="1:17" ht="18.75" customHeight="1" x14ac:dyDescent="0.3">
      <c r="A112" s="74"/>
      <c r="B112" s="74"/>
      <c r="C112" s="74"/>
      <c r="D112" s="74"/>
      <c r="E112" s="74"/>
      <c r="F112" s="74"/>
      <c r="G112" s="74"/>
      <c r="H112" s="74"/>
      <c r="I112" s="74"/>
      <c r="J112" s="74"/>
      <c r="K112" s="74"/>
      <c r="L112" s="74" t="s">
        <v>55</v>
      </c>
      <c r="M112" s="77">
        <f>'DNB Livsforsikring'!B11-'DNB Livsforsikring'!B12+'DNB Livsforsikring'!B34-'DNB Livsforsikring'!B35+'DNB Livsforsikring'!B38-'DNB Livsforsikring'!B39+'DNB Livsforsikring'!B111-'DNB Livsforsikring'!B119+'DNB Livsforsikring'!B136-'DNB Livsforsikring'!B137</f>
        <v>33099</v>
      </c>
      <c r="N112" s="77">
        <f>'DNB Livsforsikring'!C11-'DNB Livsforsikring'!C12+'DNB Livsforsikring'!C34-'DNB Livsforsikring'!C35+'DNB Livsforsikring'!C38-'DNB Livsforsikring'!C39+'DNB Livsforsikring'!C111-'DNB Livsforsikring'!C119+'DNB Livsforsikring'!C136-'DNB Livsforsikring'!C137</f>
        <v>33779</v>
      </c>
      <c r="O112" s="74"/>
      <c r="Q112" s="74"/>
    </row>
    <row r="113" spans="1:17" ht="18.75" customHeight="1" x14ac:dyDescent="0.3">
      <c r="A113" s="74"/>
      <c r="B113" s="74"/>
      <c r="C113" s="74"/>
      <c r="D113" s="74"/>
      <c r="E113" s="74"/>
      <c r="F113" s="74"/>
      <c r="G113" s="74"/>
      <c r="H113" s="74"/>
      <c r="I113" s="74"/>
      <c r="J113" s="74"/>
      <c r="K113" s="74"/>
      <c r="L113" s="79" t="s">
        <v>60</v>
      </c>
      <c r="M113" s="77">
        <f>'Gjensidige Pensjon'!B11-'Gjensidige Pensjon'!B12+'Gjensidige Pensjon'!B34-'Gjensidige Pensjon'!B35+'Gjensidige Pensjon'!B38-'Gjensidige Pensjon'!B39+'Gjensidige Pensjon'!B111-'Gjensidige Pensjon'!B119+'Gjensidige Pensjon'!B136-'Gjensidige Pensjon'!B137</f>
        <v>8758</v>
      </c>
      <c r="N113" s="77">
        <f>'Gjensidige Pensjon'!C11-'Gjensidige Pensjon'!C12+'Gjensidige Pensjon'!C34-'Gjensidige Pensjon'!C35+'Gjensidige Pensjon'!C38-'Gjensidige Pensjon'!C39+'Gjensidige Pensjon'!C111-'Gjensidige Pensjon'!C119+'Gjensidige Pensjon'!C136-'Gjensidige Pensjon'!C137</f>
        <v>20554</v>
      </c>
      <c r="O113" s="74"/>
      <c r="Q113" s="74"/>
    </row>
    <row r="114" spans="1:17" ht="18.75" customHeight="1" x14ac:dyDescent="0.3">
      <c r="A114" s="74"/>
      <c r="B114" s="74"/>
      <c r="C114" s="74"/>
      <c r="D114" s="74"/>
      <c r="E114" s="74"/>
      <c r="F114" s="74"/>
      <c r="G114" s="74"/>
      <c r="H114" s="74"/>
      <c r="I114" s="74"/>
      <c r="J114" s="74"/>
      <c r="K114" s="74"/>
      <c r="L114" s="79" t="s">
        <v>63</v>
      </c>
      <c r="M114" s="77">
        <f>KLP!B11-KLP!B12+KLP!B34-KLP!B35+KLP!B38-KLP!B39+KLP!B111-KLP!B119+KLP!B136-KLP!B137</f>
        <v>-418198.02100000001</v>
      </c>
      <c r="N114" s="77">
        <f>KLP!C11-KLP!C12+KLP!C34-KLP!C35+KLP!C38-KLP!C39+KLP!C111-KLP!C119+KLP!C136-KLP!C137</f>
        <v>-248299.76699999999</v>
      </c>
      <c r="O114" s="74"/>
      <c r="Q114" s="74"/>
    </row>
    <row r="115" spans="1:17" ht="18.75" customHeight="1" x14ac:dyDescent="0.3">
      <c r="A115" s="74"/>
      <c r="B115" s="74"/>
      <c r="C115" s="74"/>
      <c r="D115" s="74"/>
      <c r="E115" s="74"/>
      <c r="F115" s="74"/>
      <c r="G115" s="74"/>
      <c r="H115" s="74"/>
      <c r="I115" s="74"/>
      <c r="J115" s="74"/>
      <c r="K115" s="74"/>
      <c r="L115" s="79" t="s">
        <v>64</v>
      </c>
      <c r="M115" s="77">
        <f>'KLP Bedriftspensjon AS'!B11-'KLP Bedriftspensjon AS'!B12+'KLP Bedriftspensjon AS'!B34-'KLP Bedriftspensjon AS'!B35+'KLP Bedriftspensjon AS'!B38-'KLP Bedriftspensjon AS'!B39+'KLP Bedriftspensjon AS'!B111-'KLP Bedriftspensjon AS'!B119+'KLP Bedriftspensjon AS'!B136-'KLP Bedriftspensjon AS'!B137</f>
        <v>163</v>
      </c>
      <c r="N115" s="77">
        <f>'KLP Bedriftspensjon AS'!C11-'KLP Bedriftspensjon AS'!C12+'KLP Bedriftspensjon AS'!C34-'KLP Bedriftspensjon AS'!C35+'KLP Bedriftspensjon AS'!C38-'KLP Bedriftspensjon AS'!C39+'KLP Bedriftspensjon AS'!C111-'KLP Bedriftspensjon AS'!C119+'KLP Bedriftspensjon AS'!C136-'KLP Bedriftspensjon AS'!C137</f>
        <v>-14</v>
      </c>
      <c r="O115" s="74"/>
      <c r="Q115" s="74"/>
    </row>
    <row r="116" spans="1:17" ht="18.75" customHeight="1" x14ac:dyDescent="0.3">
      <c r="A116" s="74"/>
      <c r="B116" s="74"/>
      <c r="C116" s="74"/>
      <c r="D116" s="74"/>
      <c r="E116" s="74"/>
      <c r="F116" s="74"/>
      <c r="G116" s="74"/>
      <c r="H116" s="74"/>
      <c r="I116" s="74"/>
      <c r="J116" s="74"/>
      <c r="K116" s="74"/>
      <c r="L116" s="74" t="s">
        <v>68</v>
      </c>
      <c r="M116" s="77">
        <f>'Nordea Liv '!B11-'Nordea Liv '!B12+'Nordea Liv '!B34-'Nordea Liv '!B35+'Nordea Liv '!B38-'Nordea Liv '!B39+'Nordea Liv '!B111-'Nordea Liv '!B119+'Nordea Liv '!B136-'Nordea Liv '!B137</f>
        <v>-45945.832359999702</v>
      </c>
      <c r="N116" s="77">
        <f>'Nordea Liv '!C11-'Nordea Liv '!C12+'Nordea Liv '!C34-'Nordea Liv '!C35+'Nordea Liv '!C38-'Nordea Liv '!C39+'Nordea Liv '!C111-'Nordea Liv '!C119+'Nordea Liv '!C136-'Nordea Liv '!C137</f>
        <v>-22302.415059999901</v>
      </c>
      <c r="O116" s="74"/>
      <c r="Q116" s="74"/>
    </row>
    <row r="117" spans="1:17" ht="18.75" customHeight="1" x14ac:dyDescent="0.3">
      <c r="A117" s="74"/>
      <c r="B117" s="74"/>
      <c r="C117" s="74"/>
      <c r="D117" s="74"/>
      <c r="E117" s="74"/>
      <c r="F117" s="74"/>
      <c r="G117" s="74"/>
      <c r="H117" s="74"/>
      <c r="I117" s="74"/>
      <c r="J117" s="74"/>
      <c r="K117" s="74"/>
      <c r="L117" s="74" t="s">
        <v>70</v>
      </c>
      <c r="M117" s="77">
        <f>'Sparebank 1'!B11-'Sparebank 1'!B12+'Sparebank 1'!B34-'Sparebank 1'!B35+'Sparebank 1'!B38-'Sparebank 1'!B39+'Sparebank 1'!B111-'Sparebank 1'!B119+'Sparebank 1'!B136-'Sparebank 1'!B137</f>
        <v>14295.352540000002</v>
      </c>
      <c r="N117" s="77">
        <f>'Sparebank 1'!C11-'Sparebank 1'!C12+'Sparebank 1'!C34-'Sparebank 1'!C35+'Sparebank 1'!C38-'Sparebank 1'!C39+'Sparebank 1'!C111-'Sparebank 1'!C119+'Sparebank 1'!C136-'Sparebank 1'!C137</f>
        <v>-5187.3273599999993</v>
      </c>
      <c r="O117" s="74"/>
    </row>
    <row r="118" spans="1:17" ht="18.75" customHeight="1" x14ac:dyDescent="0.3">
      <c r="A118" s="74"/>
      <c r="B118" s="74"/>
      <c r="C118" s="74"/>
      <c r="D118" s="74"/>
      <c r="E118" s="74"/>
      <c r="F118" s="74"/>
      <c r="G118" s="74"/>
      <c r="H118" s="74"/>
      <c r="I118" s="74"/>
      <c r="J118" s="74"/>
      <c r="K118" s="74"/>
      <c r="L118" s="74" t="s">
        <v>71</v>
      </c>
      <c r="M118"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-35442.452000000005</v>
      </c>
      <c r="N118"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-72397.951000000001</v>
      </c>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M123" s="77"/>
      <c r="N123" s="77"/>
      <c r="O123" s="74"/>
    </row>
    <row r="124" spans="1:17" x14ac:dyDescent="0.3">
      <c r="A124" s="74"/>
      <c r="B124" s="74"/>
      <c r="C124" s="74"/>
      <c r="D124" s="74"/>
      <c r="E124" s="74"/>
      <c r="F124" s="74"/>
      <c r="G124" s="74"/>
      <c r="H124" s="74"/>
      <c r="I124" s="74"/>
      <c r="J124" s="74"/>
      <c r="K124" s="74"/>
      <c r="M124" s="77"/>
      <c r="N124" s="77"/>
      <c r="O124" s="74"/>
    </row>
    <row r="125" spans="1:17" x14ac:dyDescent="0.3">
      <c r="A125" s="74"/>
      <c r="B125" s="74"/>
      <c r="C125" s="74"/>
      <c r="D125" s="74"/>
      <c r="E125" s="74"/>
      <c r="F125" s="74"/>
      <c r="G125" s="74"/>
      <c r="H125" s="74"/>
      <c r="I125" s="74"/>
      <c r="J125" s="74"/>
      <c r="K125" s="74"/>
      <c r="M125" s="77"/>
      <c r="N125" s="77"/>
      <c r="O125" s="74"/>
    </row>
    <row r="126" spans="1:17" x14ac:dyDescent="0.3">
      <c r="A126" s="74"/>
      <c r="B126" s="74"/>
      <c r="C126" s="74"/>
      <c r="D126" s="74"/>
      <c r="E126" s="74"/>
      <c r="F126" s="74"/>
      <c r="G126" s="74"/>
      <c r="H126" s="74"/>
      <c r="I126" s="74"/>
      <c r="J126" s="74"/>
      <c r="K126" s="74"/>
      <c r="M126" s="77"/>
      <c r="N126" s="77"/>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O129" s="74"/>
    </row>
    <row r="130" spans="1:15" x14ac:dyDescent="0.3">
      <c r="A130" s="75" t="s">
        <v>423</v>
      </c>
      <c r="B130" s="74"/>
      <c r="C130" s="74"/>
      <c r="D130" s="74"/>
      <c r="E130" s="74"/>
      <c r="F130" s="74"/>
      <c r="G130" s="74"/>
      <c r="H130" s="79"/>
      <c r="I130" s="74"/>
      <c r="J130" s="74"/>
      <c r="K130" s="74"/>
      <c r="O130" s="74"/>
    </row>
    <row r="131" spans="1:15" x14ac:dyDescent="0.3">
      <c r="B131" s="74"/>
      <c r="C131" s="74"/>
      <c r="D131" s="74"/>
      <c r="E131" s="74"/>
      <c r="F131" s="74"/>
      <c r="G131" s="74"/>
      <c r="H131" s="74"/>
      <c r="I131" s="74"/>
      <c r="J131" s="74"/>
      <c r="K131" s="74"/>
      <c r="O131" s="74"/>
    </row>
    <row r="132" spans="1:15" x14ac:dyDescent="0.3">
      <c r="A132" s="74"/>
      <c r="B132" s="74"/>
      <c r="C132" s="74"/>
      <c r="D132" s="74"/>
      <c r="E132" s="74"/>
      <c r="F132" s="74"/>
      <c r="G132" s="74"/>
      <c r="H132" s="74"/>
      <c r="I132" s="74"/>
      <c r="J132" s="74"/>
      <c r="K132" s="74"/>
      <c r="O132" s="74"/>
    </row>
    <row r="133" spans="1:15" x14ac:dyDescent="0.3">
      <c r="A133" s="74"/>
      <c r="B133" s="74"/>
      <c r="C133" s="74"/>
      <c r="D133" s="74"/>
      <c r="E133" s="74"/>
      <c r="F133" s="74"/>
      <c r="G133" s="74"/>
      <c r="H133" s="74"/>
      <c r="I133" s="74"/>
      <c r="J133" s="74"/>
      <c r="K133" s="74"/>
      <c r="L133" s="74" t="s">
        <v>78</v>
      </c>
      <c r="O133" s="74"/>
    </row>
    <row r="134" spans="1:15" x14ac:dyDescent="0.3">
      <c r="A134" s="74"/>
      <c r="B134" s="74"/>
      <c r="C134" s="74"/>
      <c r="D134" s="74"/>
      <c r="E134" s="74"/>
      <c r="F134" s="74"/>
      <c r="G134" s="74"/>
      <c r="H134" s="74"/>
      <c r="I134" s="74"/>
      <c r="J134" s="74"/>
      <c r="K134" s="74"/>
      <c r="L134" s="74" t="s">
        <v>1</v>
      </c>
      <c r="O134" s="74"/>
    </row>
    <row r="135" spans="1:15" x14ac:dyDescent="0.3">
      <c r="A135" s="74"/>
      <c r="B135" s="74"/>
      <c r="C135" s="74"/>
      <c r="D135" s="74"/>
      <c r="E135" s="74"/>
      <c r="F135" s="74"/>
      <c r="G135" s="74"/>
      <c r="H135" s="74"/>
      <c r="I135" s="74"/>
      <c r="J135" s="74"/>
      <c r="K135" s="74"/>
      <c r="M135" s="74">
        <v>2018</v>
      </c>
      <c r="N135" s="74">
        <v>2019</v>
      </c>
      <c r="O135" s="74"/>
    </row>
    <row r="136" spans="1:15" x14ac:dyDescent="0.3">
      <c r="A136" s="74"/>
      <c r="B136" s="74"/>
      <c r="C136" s="74"/>
      <c r="D136" s="74"/>
      <c r="E136" s="74"/>
      <c r="F136" s="74"/>
      <c r="G136" s="74"/>
      <c r="H136" s="74"/>
      <c r="I136" s="74"/>
      <c r="J136" s="74"/>
      <c r="K136" s="74"/>
      <c r="L136" s="74" t="s">
        <v>54</v>
      </c>
      <c r="M136"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-62184.46100000001</v>
      </c>
      <c r="N136"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-16045.73000000001</v>
      </c>
      <c r="O136" s="74"/>
    </row>
    <row r="137" spans="1:15" x14ac:dyDescent="0.3">
      <c r="A137" s="74"/>
      <c r="B137" s="74"/>
      <c r="C137" s="74"/>
      <c r="D137" s="74"/>
      <c r="E137" s="74"/>
      <c r="F137" s="74"/>
      <c r="G137" s="74"/>
      <c r="H137" s="74"/>
      <c r="I137" s="74"/>
      <c r="J137" s="74"/>
      <c r="K137" s="74"/>
      <c r="L137" s="74" t="s">
        <v>55</v>
      </c>
      <c r="M137" s="77">
        <f>'DNB Livsforsikring'!F11-'DNB Livsforsikring'!F12+'DNB Livsforsikring'!F34-'DNB Livsforsikring'!F35+'DNB Livsforsikring'!F38-'DNB Livsforsikring'!F39+'DNB Livsforsikring'!F111-'DNB Livsforsikring'!F119+'DNB Livsforsikring'!F136-'DNB Livsforsikring'!F137</f>
        <v>-846689</v>
      </c>
      <c r="N137" s="77">
        <f>'DNB Livsforsikring'!G11-'DNB Livsforsikring'!G12+'DNB Livsforsikring'!G34-'DNB Livsforsikring'!G35+'DNB Livsforsikring'!G38-'DNB Livsforsikring'!G39+'DNB Livsforsikring'!G111-'DNB Livsforsikring'!G119+'DNB Livsforsikring'!G136-'DNB Livsforsikring'!G137</f>
        <v>510695</v>
      </c>
      <c r="O137" s="74"/>
    </row>
    <row r="138" spans="1:15" x14ac:dyDescent="0.3">
      <c r="A138" s="74"/>
      <c r="B138" s="74"/>
      <c r="C138" s="74"/>
      <c r="D138" s="74"/>
      <c r="E138" s="74"/>
      <c r="F138" s="74"/>
      <c r="G138" s="74"/>
      <c r="H138" s="74"/>
      <c r="I138" s="74"/>
      <c r="J138" s="74"/>
      <c r="K138" s="74"/>
      <c r="L138" s="74" t="s">
        <v>57</v>
      </c>
      <c r="M138" s="77">
        <f>'Frende Livsforsikring'!F11-'Frende Livsforsikring'!F12+'Frende Livsforsikring'!F34-'Frende Livsforsikring'!F35+'Frende Livsforsikring'!F38-'Frende Livsforsikring'!F39+'Frende Livsforsikring'!F111-'Frende Livsforsikring'!F119+'Frende Livsforsikring'!F136-'Frende Livsforsikring'!F137</f>
        <v>-35262.409</v>
      </c>
      <c r="N138" s="77">
        <f>'Frende Livsforsikring'!G11-'Frende Livsforsikring'!G12+'Frende Livsforsikring'!G34-'Frende Livsforsikring'!G35+'Frende Livsforsikring'!G38-'Frende Livsforsikring'!G39+'Frende Livsforsikring'!G111-'Frende Livsforsikring'!G119+'Frende Livsforsikring'!G136-'Frende Livsforsikring'!G137</f>
        <v>13609.839</v>
      </c>
      <c r="O138" s="74"/>
    </row>
    <row r="139" spans="1:15" x14ac:dyDescent="0.3">
      <c r="A139" s="74"/>
      <c r="B139" s="74"/>
      <c r="C139" s="74"/>
      <c r="D139" s="74"/>
      <c r="E139" s="74"/>
      <c r="F139" s="74"/>
      <c r="G139" s="74"/>
      <c r="H139" s="74"/>
      <c r="I139" s="74"/>
      <c r="J139" s="74"/>
      <c r="K139" s="74"/>
      <c r="L139" s="79" t="s">
        <v>60</v>
      </c>
      <c r="M139" s="77">
        <f>'Gjensidige Pensjon'!F11-'Gjensidige Pensjon'!F12+'Gjensidige Pensjon'!F34-'Gjensidige Pensjon'!F35+'Gjensidige Pensjon'!F38-'Gjensidige Pensjon'!F39+'Gjensidige Pensjon'!F111-'Gjensidige Pensjon'!F119+'Gjensidige Pensjon'!F136-'Gjensidige Pensjon'!F137</f>
        <v>136390</v>
      </c>
      <c r="N139" s="77">
        <f>'Gjensidige Pensjon'!G11-'Gjensidige Pensjon'!G12+'Gjensidige Pensjon'!G34-'Gjensidige Pensjon'!G35+'Gjensidige Pensjon'!G38-'Gjensidige Pensjon'!G39+'Gjensidige Pensjon'!G111-'Gjensidige Pensjon'!G119+'Gjensidige Pensjon'!G136-'Gjensidige Pensjon'!G137</f>
        <v>445335</v>
      </c>
      <c r="O139" s="74"/>
    </row>
    <row r="140" spans="1:15" x14ac:dyDescent="0.3">
      <c r="A140" s="74"/>
      <c r="B140" s="74"/>
      <c r="C140" s="74"/>
      <c r="D140" s="74"/>
      <c r="E140" s="74"/>
      <c r="F140" s="74"/>
      <c r="G140" s="74"/>
      <c r="H140" s="74"/>
      <c r="I140" s="74"/>
      <c r="J140" s="74"/>
      <c r="K140" s="74"/>
      <c r="L140" s="74" t="s">
        <v>64</v>
      </c>
      <c r="M140" s="77">
        <f>'KLP Bedriftspensjon AS'!F11-'KLP Bedriftspensjon AS'!F12+'KLP Bedriftspensjon AS'!F34-'KLP Bedriftspensjon AS'!F35+'KLP Bedriftspensjon AS'!F38-'KLP Bedriftspensjon AS'!F39+'KLP Bedriftspensjon AS'!F111-'KLP Bedriftspensjon AS'!F119+'KLP Bedriftspensjon AS'!F136-'KLP Bedriftspensjon AS'!F137</f>
        <v>98497</v>
      </c>
      <c r="N140" s="77">
        <f>'KLP Bedriftspensjon AS'!G11-'KLP Bedriftspensjon AS'!G12+'KLP Bedriftspensjon AS'!G34-'KLP Bedriftspensjon AS'!G35+'KLP Bedriftspensjon AS'!G38-'KLP Bedriftspensjon AS'!G39+'KLP Bedriftspensjon AS'!G111-'KLP Bedriftspensjon AS'!G119+'KLP Bedriftspensjon AS'!G136-'KLP Bedriftspensjon AS'!G137</f>
        <v>173001</v>
      </c>
      <c r="O140" s="74"/>
    </row>
    <row r="141" spans="1:15" x14ac:dyDescent="0.3">
      <c r="A141" s="74"/>
      <c r="B141" s="74"/>
      <c r="C141" s="74"/>
      <c r="D141" s="74"/>
      <c r="E141" s="74"/>
      <c r="F141" s="74"/>
      <c r="G141" s="74"/>
      <c r="H141" s="74"/>
      <c r="I141" s="74"/>
      <c r="J141" s="74"/>
      <c r="K141" s="74"/>
      <c r="L141" s="74" t="s">
        <v>68</v>
      </c>
      <c r="M141" s="77">
        <f>'Nordea Liv '!F11-'Nordea Liv '!F12+'Nordea Liv '!F34-'Nordea Liv '!F35+'Nordea Liv '!F38-'Nordea Liv '!F39+'Nordea Liv '!F111-'Nordea Liv '!F119+'Nordea Liv '!F136-'Nordea Liv '!F137</f>
        <v>-60654.12293000007</v>
      </c>
      <c r="N141" s="77">
        <f>'Nordea Liv '!G11-'Nordea Liv '!G12+'Nordea Liv '!G34-'Nordea Liv '!G35+'Nordea Liv '!G38-'Nordea Liv '!G39+'Nordea Liv '!G111-'Nordea Liv '!G119+'Nordea Liv '!G136-'Nordea Liv '!G137</f>
        <v>7302.415059999912</v>
      </c>
      <c r="O141" s="74"/>
    </row>
    <row r="142" spans="1:15" x14ac:dyDescent="0.3">
      <c r="A142" s="74"/>
      <c r="B142" s="74"/>
      <c r="C142" s="74"/>
      <c r="D142" s="74"/>
      <c r="E142" s="74"/>
      <c r="F142" s="74"/>
      <c r="G142" s="74"/>
      <c r="H142" s="74"/>
      <c r="I142" s="74"/>
      <c r="J142" s="74"/>
      <c r="K142" s="74"/>
      <c r="L142" s="74" t="s">
        <v>74</v>
      </c>
      <c r="M142" s="77">
        <f>'SHB Liv'!F11-'SHB Liv'!F12+'SHB Liv'!F34-'SHB Liv'!F35+'SHB Liv'!F38-'SHB Liv'!F39+'SHB Liv'!F111-'SHB Liv'!F119+'SHB Liv'!F136-'SHB Liv'!F137</f>
        <v>41666</v>
      </c>
      <c r="N142" s="77">
        <f>'SHB Liv'!G11-'SHB Liv'!G12+'SHB Liv'!G34-'SHB Liv'!G35+'SHB Liv'!G38-'SHB Liv'!G39+'SHB Liv'!G111-'SHB Liv'!G119+'SHB Liv'!G136-'SHB Liv'!G137</f>
        <v>18484.602370000001</v>
      </c>
      <c r="O142" s="74"/>
    </row>
    <row r="143" spans="1:15" x14ac:dyDescent="0.3">
      <c r="A143" s="74"/>
      <c r="B143" s="74"/>
      <c r="C143" s="74"/>
      <c r="D143" s="74"/>
      <c r="E143" s="74"/>
      <c r="F143" s="74"/>
      <c r="G143" s="74"/>
      <c r="H143" s="74"/>
      <c r="I143" s="74"/>
      <c r="J143" s="74"/>
      <c r="K143" s="74"/>
      <c r="L143" s="74" t="s">
        <v>70</v>
      </c>
      <c r="M143" s="77">
        <f>'Sparebank 1'!F11-'Sparebank 1'!F12+'Sparebank 1'!F34-'Sparebank 1'!F35+'Sparebank 1'!F38-'Sparebank 1'!F39+'Sparebank 1'!F111-'Sparebank 1'!F119+'Sparebank 1'!F136-'Sparebank 1'!F137</f>
        <v>977355.9649599999</v>
      </c>
      <c r="N143" s="77">
        <f>'Sparebank 1'!G11-'Sparebank 1'!G12+'Sparebank 1'!G34-'Sparebank 1'!G35+'Sparebank 1'!G38-'Sparebank 1'!G39+'Sparebank 1'!G111-'Sparebank 1'!G119+'Sparebank 1'!G136-'Sparebank 1'!G137</f>
        <v>160465.41979000001</v>
      </c>
      <c r="O143" s="74"/>
    </row>
    <row r="144" spans="1:15" x14ac:dyDescent="0.3">
      <c r="A144" s="74"/>
      <c r="B144" s="74"/>
      <c r="C144" s="74"/>
      <c r="D144" s="74"/>
      <c r="E144" s="74"/>
      <c r="F144" s="74"/>
      <c r="G144" s="74"/>
      <c r="H144" s="74"/>
      <c r="I144" s="74"/>
      <c r="J144" s="74"/>
      <c r="K144" s="74"/>
      <c r="L144" s="74" t="s">
        <v>75</v>
      </c>
      <c r="M144"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-498335.65299999993</v>
      </c>
      <c r="N144"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-1365161.726</v>
      </c>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Q63"/>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56" customWidth="1"/>
    <col min="2" max="43" width="11.7109375" style="456" customWidth="1"/>
    <col min="44" max="16384" width="11.42578125" style="456"/>
  </cols>
  <sheetData>
    <row r="1" spans="1:43" ht="20.25" x14ac:dyDescent="0.3">
      <c r="A1" s="454" t="s">
        <v>291</v>
      </c>
      <c r="B1" s="422" t="s">
        <v>52</v>
      </c>
      <c r="C1" s="455"/>
      <c r="D1" s="455"/>
      <c r="E1" s="455"/>
      <c r="F1" s="455"/>
      <c r="G1" s="455"/>
      <c r="H1" s="455"/>
      <c r="I1" s="455"/>
      <c r="J1" s="455"/>
    </row>
    <row r="2" spans="1:43" ht="20.25" x14ac:dyDescent="0.3">
      <c r="A2" s="454" t="s">
        <v>262</v>
      </c>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row>
    <row r="3" spans="1:43" ht="18.75" x14ac:dyDescent="0.3">
      <c r="A3" s="458" t="s">
        <v>292</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row>
    <row r="4" spans="1:43" ht="18.75" customHeight="1" x14ac:dyDescent="0.25">
      <c r="A4" s="428" t="s">
        <v>413</v>
      </c>
      <c r="B4" s="460"/>
      <c r="C4" s="460"/>
      <c r="D4" s="461"/>
      <c r="E4" s="462"/>
      <c r="F4" s="460"/>
      <c r="G4" s="461"/>
      <c r="H4" s="462"/>
      <c r="I4" s="460"/>
      <c r="J4" s="461"/>
      <c r="K4" s="463"/>
      <c r="L4" s="463"/>
      <c r="M4" s="463"/>
      <c r="N4" s="464"/>
      <c r="O4" s="463"/>
      <c r="P4" s="465"/>
      <c r="Q4" s="464"/>
      <c r="R4" s="463"/>
      <c r="S4" s="465"/>
      <c r="T4" s="464"/>
      <c r="U4" s="463"/>
      <c r="V4" s="465"/>
      <c r="W4" s="464"/>
      <c r="X4" s="463"/>
      <c r="Y4" s="465"/>
      <c r="Z4" s="464"/>
      <c r="AA4" s="463"/>
      <c r="AB4" s="465"/>
      <c r="AC4" s="464"/>
      <c r="AD4" s="463"/>
      <c r="AE4" s="465"/>
      <c r="AF4" s="464"/>
      <c r="AG4" s="463"/>
      <c r="AH4" s="465"/>
      <c r="AI4" s="464"/>
      <c r="AJ4" s="463"/>
      <c r="AK4" s="465"/>
      <c r="AL4" s="466"/>
      <c r="AM4" s="467"/>
      <c r="AN4" s="468"/>
      <c r="AO4" s="464"/>
      <c r="AP4" s="463"/>
      <c r="AQ4" s="469"/>
    </row>
    <row r="5" spans="1:43" ht="18.75" customHeight="1" x14ac:dyDescent="0.3">
      <c r="A5" s="470" t="s">
        <v>106</v>
      </c>
      <c r="B5" s="689" t="s">
        <v>180</v>
      </c>
      <c r="C5" s="690"/>
      <c r="D5" s="691"/>
      <c r="E5" s="689" t="s">
        <v>181</v>
      </c>
      <c r="F5" s="690"/>
      <c r="G5" s="691"/>
      <c r="H5" s="689" t="s">
        <v>182</v>
      </c>
      <c r="I5" s="690"/>
      <c r="J5" s="691"/>
      <c r="K5" s="689" t="s">
        <v>183</v>
      </c>
      <c r="L5" s="690"/>
      <c r="M5" s="691"/>
      <c r="N5" s="689" t="s">
        <v>184</v>
      </c>
      <c r="O5" s="690"/>
      <c r="P5" s="691"/>
      <c r="Q5" s="689"/>
      <c r="R5" s="690"/>
      <c r="S5" s="691"/>
      <c r="T5" s="689" t="s">
        <v>63</v>
      </c>
      <c r="U5" s="690"/>
      <c r="V5" s="691"/>
      <c r="W5" s="592"/>
      <c r="X5" s="593"/>
      <c r="Y5" s="594"/>
      <c r="Z5" s="689" t="s">
        <v>185</v>
      </c>
      <c r="AA5" s="690"/>
      <c r="AB5" s="691"/>
      <c r="AC5" s="575"/>
      <c r="AD5" s="576"/>
      <c r="AE5" s="577"/>
      <c r="AF5" s="689"/>
      <c r="AG5" s="690"/>
      <c r="AH5" s="691"/>
      <c r="AI5" s="689" t="s">
        <v>75</v>
      </c>
      <c r="AJ5" s="690"/>
      <c r="AK5" s="691"/>
      <c r="AL5" s="692" t="s">
        <v>2</v>
      </c>
      <c r="AM5" s="693"/>
      <c r="AN5" s="694"/>
      <c r="AO5" s="689" t="s">
        <v>293</v>
      </c>
      <c r="AP5" s="690"/>
      <c r="AQ5" s="691"/>
    </row>
    <row r="6" spans="1:43" ht="21" customHeight="1" x14ac:dyDescent="0.3">
      <c r="A6" s="471"/>
      <c r="B6" s="695" t="s">
        <v>186</v>
      </c>
      <c r="C6" s="696"/>
      <c r="D6" s="697"/>
      <c r="E6" s="695" t="s">
        <v>187</v>
      </c>
      <c r="F6" s="696"/>
      <c r="G6" s="697"/>
      <c r="H6" s="695" t="s">
        <v>187</v>
      </c>
      <c r="I6" s="696"/>
      <c r="J6" s="697"/>
      <c r="K6" s="695" t="s">
        <v>188</v>
      </c>
      <c r="L6" s="696"/>
      <c r="M6" s="697"/>
      <c r="N6" s="695" t="s">
        <v>93</v>
      </c>
      <c r="O6" s="696"/>
      <c r="P6" s="697"/>
      <c r="Q6" s="695" t="s">
        <v>63</v>
      </c>
      <c r="R6" s="696"/>
      <c r="S6" s="697"/>
      <c r="T6" s="695" t="s">
        <v>189</v>
      </c>
      <c r="U6" s="696"/>
      <c r="V6" s="697"/>
      <c r="W6" s="695" t="s">
        <v>68</v>
      </c>
      <c r="X6" s="696"/>
      <c r="Y6" s="697"/>
      <c r="Z6" s="695" t="s">
        <v>186</v>
      </c>
      <c r="AA6" s="696"/>
      <c r="AB6" s="697"/>
      <c r="AC6" s="695" t="s">
        <v>74</v>
      </c>
      <c r="AD6" s="696"/>
      <c r="AE6" s="697"/>
      <c r="AF6" s="695" t="s">
        <v>70</v>
      </c>
      <c r="AG6" s="696"/>
      <c r="AH6" s="697"/>
      <c r="AI6" s="695" t="s">
        <v>187</v>
      </c>
      <c r="AJ6" s="696"/>
      <c r="AK6" s="697"/>
      <c r="AL6" s="698" t="s">
        <v>294</v>
      </c>
      <c r="AM6" s="699"/>
      <c r="AN6" s="700"/>
      <c r="AO6" s="695" t="s">
        <v>295</v>
      </c>
      <c r="AP6" s="696"/>
      <c r="AQ6" s="697"/>
    </row>
    <row r="7" spans="1:43" ht="18.75" customHeight="1" x14ac:dyDescent="0.3">
      <c r="A7" s="471"/>
      <c r="B7" s="470"/>
      <c r="C7" s="470"/>
      <c r="D7" s="472" t="s">
        <v>83</v>
      </c>
      <c r="E7" s="470"/>
      <c r="F7" s="470"/>
      <c r="G7" s="472" t="s">
        <v>83</v>
      </c>
      <c r="H7" s="470"/>
      <c r="I7" s="470"/>
      <c r="J7" s="472" t="s">
        <v>83</v>
      </c>
      <c r="K7" s="470"/>
      <c r="L7" s="470"/>
      <c r="M7" s="472" t="s">
        <v>83</v>
      </c>
      <c r="N7" s="470"/>
      <c r="O7" s="470"/>
      <c r="P7" s="472" t="s">
        <v>83</v>
      </c>
      <c r="Q7" s="470"/>
      <c r="R7" s="470"/>
      <c r="S7" s="472" t="s">
        <v>83</v>
      </c>
      <c r="T7" s="470"/>
      <c r="U7" s="470"/>
      <c r="V7" s="472" t="s">
        <v>83</v>
      </c>
      <c r="W7" s="470"/>
      <c r="X7" s="470"/>
      <c r="Y7" s="472" t="s">
        <v>83</v>
      </c>
      <c r="Z7" s="470"/>
      <c r="AA7" s="470"/>
      <c r="AB7" s="472" t="s">
        <v>83</v>
      </c>
      <c r="AC7" s="470"/>
      <c r="AD7" s="470"/>
      <c r="AE7" s="472" t="s">
        <v>83</v>
      </c>
      <c r="AF7" s="470"/>
      <c r="AG7" s="470"/>
      <c r="AH7" s="472" t="s">
        <v>83</v>
      </c>
      <c r="AI7" s="470"/>
      <c r="AJ7" s="470"/>
      <c r="AK7" s="472" t="s">
        <v>83</v>
      </c>
      <c r="AL7" s="470"/>
      <c r="AM7" s="470"/>
      <c r="AN7" s="472" t="s">
        <v>83</v>
      </c>
      <c r="AO7" s="470"/>
      <c r="AP7" s="470"/>
      <c r="AQ7" s="472" t="s">
        <v>83</v>
      </c>
    </row>
    <row r="8" spans="1:43" s="538" customFormat="1" ht="18.75" customHeight="1" x14ac:dyDescent="0.25">
      <c r="A8" s="652" t="s">
        <v>296</v>
      </c>
      <c r="B8" s="651">
        <v>2018</v>
      </c>
      <c r="C8" s="651">
        <v>2019</v>
      </c>
      <c r="D8" s="473" t="s">
        <v>85</v>
      </c>
      <c r="E8" s="651">
        <v>2018</v>
      </c>
      <c r="F8" s="651">
        <v>2019</v>
      </c>
      <c r="G8" s="473" t="s">
        <v>85</v>
      </c>
      <c r="H8" s="651">
        <v>2018</v>
      </c>
      <c r="I8" s="651">
        <v>2019</v>
      </c>
      <c r="J8" s="473" t="s">
        <v>85</v>
      </c>
      <c r="K8" s="651">
        <v>2018</v>
      </c>
      <c r="L8" s="651">
        <v>2019</v>
      </c>
      <c r="M8" s="473" t="s">
        <v>85</v>
      </c>
      <c r="N8" s="651">
        <v>2018</v>
      </c>
      <c r="O8" s="651">
        <v>2019</v>
      </c>
      <c r="P8" s="473" t="s">
        <v>85</v>
      </c>
      <c r="Q8" s="651">
        <v>2018</v>
      </c>
      <c r="R8" s="651">
        <v>2019</v>
      </c>
      <c r="S8" s="473" t="s">
        <v>85</v>
      </c>
      <c r="T8" s="651">
        <v>2018</v>
      </c>
      <c r="U8" s="651">
        <v>2019</v>
      </c>
      <c r="V8" s="473" t="s">
        <v>85</v>
      </c>
      <c r="W8" s="651">
        <v>2018</v>
      </c>
      <c r="X8" s="651">
        <v>2019</v>
      </c>
      <c r="Y8" s="473" t="s">
        <v>85</v>
      </c>
      <c r="Z8" s="651">
        <v>2018</v>
      </c>
      <c r="AA8" s="651">
        <v>2019</v>
      </c>
      <c r="AB8" s="473" t="s">
        <v>85</v>
      </c>
      <c r="AC8" s="651">
        <v>2018</v>
      </c>
      <c r="AD8" s="651">
        <v>2019</v>
      </c>
      <c r="AE8" s="473" t="s">
        <v>85</v>
      </c>
      <c r="AF8" s="651">
        <v>2018</v>
      </c>
      <c r="AG8" s="651">
        <v>2019</v>
      </c>
      <c r="AH8" s="473" t="s">
        <v>85</v>
      </c>
      <c r="AI8" s="651">
        <v>2018</v>
      </c>
      <c r="AJ8" s="651">
        <v>2019</v>
      </c>
      <c r="AK8" s="473" t="s">
        <v>85</v>
      </c>
      <c r="AL8" s="651">
        <v>2018</v>
      </c>
      <c r="AM8" s="651">
        <v>2019</v>
      </c>
      <c r="AN8" s="473" t="s">
        <v>85</v>
      </c>
      <c r="AO8" s="651">
        <v>2018</v>
      </c>
      <c r="AP8" s="651">
        <v>2019</v>
      </c>
      <c r="AQ8" s="473" t="s">
        <v>85</v>
      </c>
    </row>
    <row r="9" spans="1:43" ht="18.75" customHeight="1" x14ac:dyDescent="0.3">
      <c r="A9" s="471" t="s">
        <v>297</v>
      </c>
      <c r="B9" s="581"/>
      <c r="C9" s="553"/>
      <c r="D9" s="475"/>
      <c r="E9" s="581"/>
      <c r="F9" s="553"/>
      <c r="G9" s="475"/>
      <c r="H9" s="581"/>
      <c r="I9" s="553"/>
      <c r="J9" s="475"/>
      <c r="K9" s="581"/>
      <c r="L9" s="553"/>
      <c r="M9" s="474"/>
      <c r="N9" s="476"/>
      <c r="O9" s="477"/>
      <c r="P9" s="475"/>
      <c r="Q9" s="591"/>
      <c r="R9" s="556"/>
      <c r="S9" s="475"/>
      <c r="T9" s="581"/>
      <c r="U9" s="553"/>
      <c r="V9" s="475"/>
      <c r="W9" s="581"/>
      <c r="X9" s="553"/>
      <c r="Y9" s="475"/>
      <c r="Z9" s="591"/>
      <c r="AA9" s="556"/>
      <c r="AB9" s="475"/>
      <c r="AC9" s="581"/>
      <c r="AD9" s="553"/>
      <c r="AE9" s="475"/>
      <c r="AF9" s="559"/>
      <c r="AG9" s="553"/>
      <c r="AH9" s="475"/>
      <c r="AI9" s="581"/>
      <c r="AJ9" s="553"/>
      <c r="AK9" s="475"/>
      <c r="AL9" s="475"/>
      <c r="AM9" s="475"/>
      <c r="AN9" s="475"/>
      <c r="AO9" s="478"/>
      <c r="AP9" s="478"/>
      <c r="AQ9" s="478"/>
    </row>
    <row r="10" spans="1:43" s="457" customFormat="1" ht="18.75" customHeight="1" x14ac:dyDescent="0.3">
      <c r="A10" s="479" t="s">
        <v>298</v>
      </c>
      <c r="B10" s="379"/>
      <c r="C10" s="376"/>
      <c r="D10" s="481"/>
      <c r="E10" s="379"/>
      <c r="F10" s="376"/>
      <c r="G10" s="481"/>
      <c r="H10" s="379"/>
      <c r="I10" s="376"/>
      <c r="J10" s="481"/>
      <c r="K10" s="379"/>
      <c r="L10" s="376"/>
      <c r="M10" s="480"/>
      <c r="N10" s="482"/>
      <c r="O10" s="483"/>
      <c r="P10" s="481"/>
      <c r="Q10" s="400"/>
      <c r="R10" s="330"/>
      <c r="S10" s="481"/>
      <c r="T10" s="379"/>
      <c r="U10" s="376"/>
      <c r="V10" s="481"/>
      <c r="W10" s="379"/>
      <c r="X10" s="376"/>
      <c r="Y10" s="481"/>
      <c r="Z10" s="400"/>
      <c r="AA10" s="330"/>
      <c r="AB10" s="481"/>
      <c r="AC10" s="379"/>
      <c r="AD10" s="376"/>
      <c r="AE10" s="481"/>
      <c r="AF10" s="560"/>
      <c r="AG10" s="376"/>
      <c r="AH10" s="481"/>
      <c r="AI10" s="379"/>
      <c r="AJ10" s="376"/>
      <c r="AK10" s="481"/>
      <c r="AL10" s="481"/>
      <c r="AM10" s="481"/>
      <c r="AN10" s="481"/>
      <c r="AO10" s="484"/>
      <c r="AP10" s="484"/>
      <c r="AQ10" s="484"/>
    </row>
    <row r="11" spans="1:43" s="457" customFormat="1" ht="18.75" customHeight="1" x14ac:dyDescent="0.3">
      <c r="A11" s="479" t="s">
        <v>299</v>
      </c>
      <c r="B11" s="400">
        <v>618.07600000000002</v>
      </c>
      <c r="C11" s="330">
        <v>612.87300000000005</v>
      </c>
      <c r="D11" s="481">
        <f t="shared" ref="D11:D16" si="0">IF(B11=0, "    ---- ", IF(ABS(ROUND(100/B11*C11-100,1))&lt;999,ROUND(100/B11*C11-100,1),IF(ROUND(100/B11*C11-100,1)&gt;999,999,-999)))</f>
        <v>-0.8</v>
      </c>
      <c r="E11" s="400">
        <v>3968.8449999999998</v>
      </c>
      <c r="F11" s="330">
        <v>4444.2820000000002</v>
      </c>
      <c r="G11" s="481">
        <f t="shared" ref="G11:G17" si="1">IF(E11=0, "    ---- ", IF(ABS(ROUND(100/E11*F11-100,1))&lt;999,ROUND(100/E11*F11-100,1),IF(ROUND(100/E11*F11-100,1)&gt;999,999,-999)))</f>
        <v>12</v>
      </c>
      <c r="H11" s="400">
        <v>634.774</v>
      </c>
      <c r="I11" s="330">
        <v>681.75199999999995</v>
      </c>
      <c r="J11" s="481">
        <f t="shared" ref="J11:J17" si="2">IF(H11=0, "    ---- ", IF(ABS(ROUND(100/H11*I11-100,1))&lt;999,ROUND(100/H11*I11-100,1),IF(ROUND(100/H11*I11-100,1)&gt;999,999,-999)))</f>
        <v>7.4</v>
      </c>
      <c r="K11" s="400">
        <v>860.1</v>
      </c>
      <c r="L11" s="330">
        <v>983.1</v>
      </c>
      <c r="M11" s="481">
        <f t="shared" ref="M11:M16" si="3">IF(K11=0, "    ---- ", IF(ABS(ROUND(100/K11*L11-100,1))&lt;999,ROUND(100/K11*L11-100,1),IF(ROUND(100/K11*L11-100,1)&gt;999,999,-999)))</f>
        <v>14.3</v>
      </c>
      <c r="N11" s="400">
        <v>10</v>
      </c>
      <c r="O11" s="330">
        <v>9.1994593499999997</v>
      </c>
      <c r="P11" s="481">
        <f>IF(N11=0, "    ---- ", IF(ABS(ROUND(100/N11*O11-100,1))&lt;999,ROUND(100/N11*O11-100,1),IF(ROUND(100/N11*O11-100,1)&gt;999,999,-999)))</f>
        <v>-8</v>
      </c>
      <c r="Q11" s="400">
        <v>6328.29821412</v>
      </c>
      <c r="R11" s="330">
        <v>6704.7773302200003</v>
      </c>
      <c r="S11" s="481">
        <f t="shared" ref="S11:S17" si="4">IF(Q11=0, "    ---- ", IF(ABS(ROUND(100/Q11*R11-100,1))&lt;999,ROUND(100/Q11*R11-100,1),IF(ROUND(100/Q11*R11-100,1)&gt;999,999,-999)))</f>
        <v>5.9</v>
      </c>
      <c r="T11" s="400">
        <v>129.19999999999999</v>
      </c>
      <c r="U11" s="330">
        <v>159.30000000000001</v>
      </c>
      <c r="V11" s="481">
        <f t="shared" ref="V11:V30" si="5">IF(T11=0, "    ---- ", IF(ABS(ROUND(100/T11*U11-100,1))&lt;999,ROUND(100/T11*U11-100,1),IF(ROUND(100/T11*U11-100,1)&gt;999,999,-999)))</f>
        <v>23.3</v>
      </c>
      <c r="W11" s="400">
        <v>2998.4</v>
      </c>
      <c r="X11" s="330">
        <v>3768</v>
      </c>
      <c r="Y11" s="481">
        <f t="shared" ref="Y11:Y17" si="6">IF(W11=0, "    ---- ", IF(ABS(ROUND(100/W11*X11-100,1))&lt;999,ROUND(100/W11*X11-100,1),IF(ROUND(100/W11*X11-100,1)&gt;999,999,-999)))</f>
        <v>25.7</v>
      </c>
      <c r="Z11" s="400">
        <v>745</v>
      </c>
      <c r="AA11" s="330">
        <v>993</v>
      </c>
      <c r="AB11" s="481">
        <f t="shared" ref="AB11:AB17" si="7">IF(Z11=0, "    ---- ", IF(ABS(ROUND(100/Z11*AA11-100,1))&lt;999,ROUND(100/Z11*AA11-100,1),IF(ROUND(100/Z11*AA11-100,1)&gt;999,999,-999)))</f>
        <v>33.299999999999997</v>
      </c>
      <c r="AC11" s="400">
        <v>42</v>
      </c>
      <c r="AD11" s="330">
        <v>38.700716100000001</v>
      </c>
      <c r="AE11" s="481">
        <f t="shared" ref="AE11:AE16" si="8">IF(AC11=0, "    ---- ", IF(ABS(ROUND(100/AC11*AD11-100,1))&lt;999,ROUND(100/AC11*AD11-100,1),IF(ROUND(100/AC11*AD11-100,1)&gt;999,999,-999)))</f>
        <v>-7.9</v>
      </c>
      <c r="AF11" s="561">
        <v>1814.3265683599993</v>
      </c>
      <c r="AG11" s="330">
        <v>2055.4184447399998</v>
      </c>
      <c r="AH11" s="481">
        <f t="shared" ref="AH11:AH17" si="9">IF(AF11=0, "    ---- ", IF(ABS(ROUND(100/AF11*AG11-100,1))&lt;999,ROUND(100/AF11*AG11-100,1),IF(ROUND(100/AF11*AG11-100,1)&gt;999,999,-999)))</f>
        <v>13.3</v>
      </c>
      <c r="AI11" s="400">
        <v>5078</v>
      </c>
      <c r="AJ11" s="330">
        <v>5055</v>
      </c>
      <c r="AK11" s="481">
        <f t="shared" ref="AK11:AK17" si="10">IF(AI11=0, "    ---- ", IF(ABS(ROUND(100/AI11*AJ11-100,1))&lt;999,ROUND(100/AI11*AJ11-100,1),IF(ROUND(100/AI11*AJ11-100,1)&gt;999,999,-999)))</f>
        <v>-0.5</v>
      </c>
      <c r="AL11" s="481">
        <f>B11+E11+H11+K11+Q11+T11+W11+Z11+AF11+AI11</f>
        <v>23175.019782480002</v>
      </c>
      <c r="AM11" s="481">
        <f>C11+F11+I11+L11+R11+U11+X11+AA11+AG11+AJ11</f>
        <v>25457.502774960001</v>
      </c>
      <c r="AN11" s="481">
        <f t="shared" ref="AN11:AN45" si="11">IF(AL11=0, "    ---- ", IF(ABS(ROUND(100/AL11*AM11-100,1))&lt;999,ROUND(100/AL11*AM11-100,1),IF(ROUND(100/AL11*AM11-100,1)&gt;999,999,-999)))</f>
        <v>9.8000000000000007</v>
      </c>
      <c r="AO11" s="485">
        <f>+B11+E11+H11+K11+N11+Q11+T11+W11+Z11+AC11+AF11+AI11</f>
        <v>23227.019782480002</v>
      </c>
      <c r="AP11" s="485">
        <f>+C11+F11+I11+L11+O11+R11+U11+X11+AA11+AD11+AG11+AJ11</f>
        <v>25505.40295041</v>
      </c>
      <c r="AQ11" s="481">
        <f t="shared" ref="AQ11:AQ17" si="12">IF(AO11=0, "    ---- ", IF(ABS(ROUND(100/AO11*AP11-100,1))&lt;999,ROUND(100/AO11*AP11-100,1),IF(ROUND(100/AO11*AP11-100,1)&gt;999,999,-999)))</f>
        <v>9.8000000000000007</v>
      </c>
    </row>
    <row r="12" spans="1:43" s="457" customFormat="1" ht="18.75" customHeight="1" x14ac:dyDescent="0.3">
      <c r="A12" s="479" t="s">
        <v>300</v>
      </c>
      <c r="B12" s="400">
        <v>-22.314</v>
      </c>
      <c r="C12" s="330">
        <v>-26.122</v>
      </c>
      <c r="D12" s="481">
        <f t="shared" si="0"/>
        <v>17.100000000000001</v>
      </c>
      <c r="E12" s="400">
        <v>-109.68899999999999</v>
      </c>
      <c r="F12" s="330">
        <v>-103.92</v>
      </c>
      <c r="G12" s="481">
        <f t="shared" si="1"/>
        <v>-5.3</v>
      </c>
      <c r="H12" s="400">
        <v>-14.903</v>
      </c>
      <c r="I12" s="330">
        <v>-0.32300000000000001</v>
      </c>
      <c r="J12" s="481">
        <f t="shared" si="2"/>
        <v>-97.8</v>
      </c>
      <c r="K12" s="400">
        <v>-6.3</v>
      </c>
      <c r="L12" s="330">
        <v>-18.2</v>
      </c>
      <c r="M12" s="481">
        <f t="shared" si="3"/>
        <v>188.9</v>
      </c>
      <c r="N12" s="400"/>
      <c r="O12" s="330"/>
      <c r="P12" s="481"/>
      <c r="Q12" s="400"/>
      <c r="R12" s="330">
        <v>0</v>
      </c>
      <c r="S12" s="481" t="str">
        <f t="shared" si="4"/>
        <v xml:space="preserve">    ---- </v>
      </c>
      <c r="T12" s="400"/>
      <c r="U12" s="330"/>
      <c r="V12" s="481" t="str">
        <f t="shared" si="5"/>
        <v xml:space="preserve">    ---- </v>
      </c>
      <c r="W12" s="400">
        <v>-23</v>
      </c>
      <c r="X12" s="330">
        <v>-21</v>
      </c>
      <c r="Y12" s="481">
        <f t="shared" si="6"/>
        <v>-8.6999999999999993</v>
      </c>
      <c r="Z12" s="400">
        <v>-0.4</v>
      </c>
      <c r="AA12" s="330"/>
      <c r="AB12" s="481"/>
      <c r="AC12" s="400"/>
      <c r="AD12" s="330"/>
      <c r="AE12" s="481"/>
      <c r="AF12" s="561">
        <v>-51.609000000000002</v>
      </c>
      <c r="AG12" s="330">
        <v>-47.363999999999997</v>
      </c>
      <c r="AH12" s="481">
        <f t="shared" si="9"/>
        <v>-8.1999999999999993</v>
      </c>
      <c r="AI12" s="400">
        <v>-5</v>
      </c>
      <c r="AJ12" s="330">
        <v>-5</v>
      </c>
      <c r="AK12" s="481">
        <f t="shared" si="10"/>
        <v>0</v>
      </c>
      <c r="AL12" s="481">
        <f t="shared" ref="AL12:AM17" si="13">B12+E12+H12+K12+Q12+T12+W12+Z12+AF12+AI12</f>
        <v>-233.215</v>
      </c>
      <c r="AM12" s="481">
        <f t="shared" si="13"/>
        <v>-221.929</v>
      </c>
      <c r="AN12" s="481">
        <f t="shared" si="11"/>
        <v>-4.8</v>
      </c>
      <c r="AO12" s="485">
        <f t="shared" ref="AO12:AP17" si="14">+B12+E12+H12+K12+N12+Q12+T12+W12+Z12+AC12+AF12+AI12</f>
        <v>-233.215</v>
      </c>
      <c r="AP12" s="485">
        <f t="shared" si="14"/>
        <v>-221.929</v>
      </c>
      <c r="AQ12" s="481">
        <f t="shared" si="12"/>
        <v>-4.8</v>
      </c>
    </row>
    <row r="13" spans="1:43" s="457" customFormat="1" ht="18.75" customHeight="1" x14ac:dyDescent="0.3">
      <c r="A13" s="479" t="s">
        <v>301</v>
      </c>
      <c r="B13" s="400">
        <v>233.535</v>
      </c>
      <c r="C13" s="330">
        <v>135.733</v>
      </c>
      <c r="D13" s="481">
        <f t="shared" si="0"/>
        <v>-41.9</v>
      </c>
      <c r="E13" s="400">
        <v>1126.3040000000001</v>
      </c>
      <c r="F13" s="330">
        <v>1376.864</v>
      </c>
      <c r="G13" s="481">
        <f t="shared" si="1"/>
        <v>22.2</v>
      </c>
      <c r="H13" s="400">
        <v>12.609</v>
      </c>
      <c r="I13" s="330">
        <v>30.405999999999999</v>
      </c>
      <c r="J13" s="481">
        <f t="shared" si="2"/>
        <v>141.1</v>
      </c>
      <c r="K13" s="400">
        <v>531.1</v>
      </c>
      <c r="L13" s="330">
        <v>928.3</v>
      </c>
      <c r="M13" s="481">
        <f t="shared" si="3"/>
        <v>74.8</v>
      </c>
      <c r="N13" s="400"/>
      <c r="O13" s="330"/>
      <c r="P13" s="481"/>
      <c r="Q13" s="400">
        <v>5.3019790000000002</v>
      </c>
      <c r="R13" s="330">
        <v>0</v>
      </c>
      <c r="S13" s="481">
        <f t="shared" si="4"/>
        <v>-100</v>
      </c>
      <c r="T13" s="400">
        <v>118.4</v>
      </c>
      <c r="U13" s="330">
        <v>202.1</v>
      </c>
      <c r="V13" s="481">
        <f t="shared" si="5"/>
        <v>70.7</v>
      </c>
      <c r="W13" s="400">
        <v>1319</v>
      </c>
      <c r="X13" s="330">
        <v>703</v>
      </c>
      <c r="Y13" s="481">
        <f t="shared" si="6"/>
        <v>-46.7</v>
      </c>
      <c r="Z13" s="400">
        <v>319</v>
      </c>
      <c r="AA13" s="330">
        <v>106</v>
      </c>
      <c r="AB13" s="481"/>
      <c r="AC13" s="400">
        <v>43</v>
      </c>
      <c r="AD13" s="330">
        <v>24.283002</v>
      </c>
      <c r="AE13" s="481">
        <f t="shared" si="8"/>
        <v>-43.5</v>
      </c>
      <c r="AF13" s="561">
        <v>1133.7787320099999</v>
      </c>
      <c r="AG13" s="330">
        <v>483.99856396999996</v>
      </c>
      <c r="AH13" s="481">
        <f t="shared" si="9"/>
        <v>-57.3</v>
      </c>
      <c r="AI13" s="400">
        <v>483</v>
      </c>
      <c r="AJ13" s="330">
        <v>611</v>
      </c>
      <c r="AK13" s="481">
        <f t="shared" si="10"/>
        <v>26.5</v>
      </c>
      <c r="AL13" s="481">
        <f t="shared" si="13"/>
        <v>5282.0287110099998</v>
      </c>
      <c r="AM13" s="481">
        <f t="shared" si="13"/>
        <v>4577.4015639699992</v>
      </c>
      <c r="AN13" s="481">
        <f t="shared" si="11"/>
        <v>-13.3</v>
      </c>
      <c r="AO13" s="485">
        <f t="shared" si="14"/>
        <v>5325.0287110099998</v>
      </c>
      <c r="AP13" s="485">
        <f t="shared" si="14"/>
        <v>4601.6845659699993</v>
      </c>
      <c r="AQ13" s="481">
        <f t="shared" si="12"/>
        <v>-13.6</v>
      </c>
    </row>
    <row r="14" spans="1:43" s="457" customFormat="1" ht="18.75" customHeight="1" x14ac:dyDescent="0.3">
      <c r="A14" s="479" t="s">
        <v>302</v>
      </c>
      <c r="B14" s="598">
        <v>829.29700000000003</v>
      </c>
      <c r="C14" s="558">
        <f>SUM(C11:C13)</f>
        <v>722.48400000000015</v>
      </c>
      <c r="D14" s="481">
        <f t="shared" si="0"/>
        <v>-12.9</v>
      </c>
      <c r="E14" s="379">
        <v>4985.46</v>
      </c>
      <c r="F14" s="376">
        <f>SUM(F11:F13)</f>
        <v>5717.2260000000006</v>
      </c>
      <c r="G14" s="481">
        <f t="shared" si="1"/>
        <v>14.7</v>
      </c>
      <c r="H14" s="379">
        <v>632.48</v>
      </c>
      <c r="I14" s="376">
        <f>SUM(I11:I13)</f>
        <v>711.83499999999992</v>
      </c>
      <c r="J14" s="481">
        <f t="shared" si="2"/>
        <v>12.5</v>
      </c>
      <c r="K14" s="379">
        <v>1384.9</v>
      </c>
      <c r="L14" s="376">
        <f>SUM(L11:L13)</f>
        <v>1893.1999999999998</v>
      </c>
      <c r="M14" s="481">
        <f t="shared" si="3"/>
        <v>36.700000000000003</v>
      </c>
      <c r="N14" s="379">
        <v>10</v>
      </c>
      <c r="O14" s="376">
        <f>SUM(O11:O13)</f>
        <v>9.1994593499999997</v>
      </c>
      <c r="P14" s="481">
        <f>IF(N14=0, "    ---- ", IF(ABS(ROUND(100/N14*O14-100,1))&lt;999,ROUND(100/N14*O14-100,1),IF(ROUND(100/N14*O14-100,1)&gt;999,999,-999)))</f>
        <v>-8</v>
      </c>
      <c r="Q14" s="379">
        <v>6333.6001931199999</v>
      </c>
      <c r="R14" s="376">
        <f>SUM(R11:R13)</f>
        <v>6704.7773302200003</v>
      </c>
      <c r="S14" s="481">
        <f t="shared" si="4"/>
        <v>5.9</v>
      </c>
      <c r="T14" s="379">
        <v>247.6</v>
      </c>
      <c r="U14" s="376">
        <f>SUM(U11:U13)</f>
        <v>361.4</v>
      </c>
      <c r="V14" s="481">
        <f t="shared" si="5"/>
        <v>46</v>
      </c>
      <c r="W14" s="379">
        <v>4294.3999999999996</v>
      </c>
      <c r="X14" s="376">
        <f>SUM(X11:X13)</f>
        <v>4450</v>
      </c>
      <c r="Y14" s="481">
        <f t="shared" si="6"/>
        <v>3.6</v>
      </c>
      <c r="Z14" s="379">
        <v>1063.5999999999999</v>
      </c>
      <c r="AA14" s="376">
        <f>SUM(AA11:AA13)</f>
        <v>1099</v>
      </c>
      <c r="AB14" s="481">
        <f t="shared" si="7"/>
        <v>3.3</v>
      </c>
      <c r="AC14" s="379">
        <v>85</v>
      </c>
      <c r="AD14" s="376">
        <f>SUM(AD11:AD13)</f>
        <v>62.983718100000004</v>
      </c>
      <c r="AE14" s="481">
        <f t="shared" si="8"/>
        <v>-25.9</v>
      </c>
      <c r="AF14" s="560">
        <v>2896.4963003699995</v>
      </c>
      <c r="AG14" s="376">
        <v>2492.0530087099996</v>
      </c>
      <c r="AH14" s="481">
        <f t="shared" si="9"/>
        <v>-14</v>
      </c>
      <c r="AI14" s="379">
        <v>5556</v>
      </c>
      <c r="AJ14" s="376">
        <f>SUM(AJ11:AJ13)</f>
        <v>5661</v>
      </c>
      <c r="AK14" s="481">
        <f t="shared" si="10"/>
        <v>1.9</v>
      </c>
      <c r="AL14" s="481">
        <f t="shared" si="13"/>
        <v>28223.833493489998</v>
      </c>
      <c r="AM14" s="481">
        <f t="shared" si="13"/>
        <v>29812.975338930002</v>
      </c>
      <c r="AN14" s="481">
        <f t="shared" si="11"/>
        <v>5.6</v>
      </c>
      <c r="AO14" s="485">
        <f t="shared" si="14"/>
        <v>28318.833493489998</v>
      </c>
      <c r="AP14" s="485">
        <f t="shared" si="14"/>
        <v>29885.158516380005</v>
      </c>
      <c r="AQ14" s="481">
        <f t="shared" si="12"/>
        <v>5.5</v>
      </c>
    </row>
    <row r="15" spans="1:43" s="457" customFormat="1" ht="18.75" customHeight="1" x14ac:dyDescent="0.3">
      <c r="A15" s="479" t="s">
        <v>303</v>
      </c>
      <c r="B15" s="395">
        <v>0.30199999999999999</v>
      </c>
      <c r="C15" s="393">
        <v>18.084</v>
      </c>
      <c r="D15" s="481">
        <f t="shared" si="0"/>
        <v>999</v>
      </c>
      <c r="E15" s="395">
        <v>1122.9010000000001</v>
      </c>
      <c r="F15" s="393">
        <v>4110.4870000000001</v>
      </c>
      <c r="G15" s="481">
        <f t="shared" si="1"/>
        <v>266.10000000000002</v>
      </c>
      <c r="H15" s="600">
        <v>2.1579999999999999</v>
      </c>
      <c r="I15" s="557">
        <v>23.048999999999999</v>
      </c>
      <c r="J15" s="481">
        <f t="shared" si="2"/>
        <v>968.1</v>
      </c>
      <c r="K15" s="395">
        <v>59</v>
      </c>
      <c r="L15" s="393">
        <v>82.7</v>
      </c>
      <c r="M15" s="481">
        <f t="shared" si="3"/>
        <v>40.200000000000003</v>
      </c>
      <c r="N15" s="590"/>
      <c r="O15" s="555"/>
      <c r="P15" s="481"/>
      <c r="Q15" s="395">
        <v>-2044.3980332200001</v>
      </c>
      <c r="R15" s="393">
        <v>15626.196864209998</v>
      </c>
      <c r="S15" s="481">
        <f t="shared" si="4"/>
        <v>-864.3</v>
      </c>
      <c r="T15" s="395">
        <v>6.1</v>
      </c>
      <c r="U15" s="393">
        <v>19.5</v>
      </c>
      <c r="V15" s="481">
        <f t="shared" si="5"/>
        <v>219.7</v>
      </c>
      <c r="W15" s="395">
        <v>293</v>
      </c>
      <c r="X15" s="393">
        <v>808</v>
      </c>
      <c r="Y15" s="481">
        <f t="shared" si="6"/>
        <v>175.8</v>
      </c>
      <c r="Z15" s="395">
        <v>483</v>
      </c>
      <c r="AA15" s="393">
        <v>3077</v>
      </c>
      <c r="AB15" s="481">
        <f t="shared" si="7"/>
        <v>537.1</v>
      </c>
      <c r="AC15" s="590"/>
      <c r="AD15" s="555"/>
      <c r="AE15" s="481"/>
      <c r="AF15" s="487">
        <v>7.2930922999999996</v>
      </c>
      <c r="AG15" s="488">
        <v>553.08141620000049</v>
      </c>
      <c r="AH15" s="481">
        <f t="shared" si="9"/>
        <v>999</v>
      </c>
      <c r="AI15" s="395">
        <v>438</v>
      </c>
      <c r="AJ15" s="393">
        <v>3479</v>
      </c>
      <c r="AK15" s="481">
        <f t="shared" si="10"/>
        <v>694.3</v>
      </c>
      <c r="AL15" s="481">
        <f t="shared" si="13"/>
        <v>367.3560590799998</v>
      </c>
      <c r="AM15" s="481">
        <f t="shared" si="13"/>
        <v>27797.098280409995</v>
      </c>
      <c r="AN15" s="481">
        <f t="shared" si="11"/>
        <v>999</v>
      </c>
      <c r="AO15" s="485">
        <f t="shared" si="14"/>
        <v>367.3560590799998</v>
      </c>
      <c r="AP15" s="485">
        <f t="shared" si="14"/>
        <v>27797.098280409995</v>
      </c>
      <c r="AQ15" s="481">
        <f t="shared" si="12"/>
        <v>999</v>
      </c>
    </row>
    <row r="16" spans="1:43" s="457" customFormat="1" ht="18.75" customHeight="1" x14ac:dyDescent="0.3">
      <c r="A16" s="479" t="s">
        <v>304</v>
      </c>
      <c r="B16" s="395">
        <v>-525.37599999999998</v>
      </c>
      <c r="C16" s="393">
        <v>1100.787</v>
      </c>
      <c r="D16" s="481">
        <f t="shared" si="0"/>
        <v>-309.5</v>
      </c>
      <c r="E16" s="395">
        <v>-1104.521</v>
      </c>
      <c r="F16" s="393">
        <v>5394.5969999999998</v>
      </c>
      <c r="G16" s="481">
        <f t="shared" si="1"/>
        <v>-588.4</v>
      </c>
      <c r="H16" s="600">
        <v>-112.17700000000001</v>
      </c>
      <c r="I16" s="557">
        <v>202.155</v>
      </c>
      <c r="J16" s="481">
        <f t="shared" si="2"/>
        <v>-280.2</v>
      </c>
      <c r="K16" s="395">
        <v>-598.70000000000005</v>
      </c>
      <c r="L16" s="393">
        <v>1688</v>
      </c>
      <c r="M16" s="480">
        <f t="shared" si="3"/>
        <v>-381.9</v>
      </c>
      <c r="N16" s="590"/>
      <c r="O16" s="555"/>
      <c r="P16" s="489"/>
      <c r="Q16" s="395">
        <v>-21.331661309999998</v>
      </c>
      <c r="R16" s="393">
        <v>88.96463304000001</v>
      </c>
      <c r="S16" s="489">
        <f t="shared" si="4"/>
        <v>-517.1</v>
      </c>
      <c r="T16" s="395">
        <v>-72</v>
      </c>
      <c r="U16" s="393">
        <v>255.4</v>
      </c>
      <c r="V16" s="489">
        <f t="shared" si="5"/>
        <v>-454.7</v>
      </c>
      <c r="W16" s="395">
        <v>-1636.4</v>
      </c>
      <c r="X16" s="393">
        <v>3768</v>
      </c>
      <c r="Y16" s="481">
        <f t="shared" si="6"/>
        <v>-330.3</v>
      </c>
      <c r="Z16" s="395"/>
      <c r="AA16" s="393"/>
      <c r="AB16" s="481"/>
      <c r="AC16" s="590">
        <v>-73</v>
      </c>
      <c r="AD16" s="555">
        <v>170</v>
      </c>
      <c r="AE16" s="481">
        <f t="shared" si="8"/>
        <v>-332.9</v>
      </c>
      <c r="AF16" s="487">
        <v>-452.24791173</v>
      </c>
      <c r="AG16" s="488">
        <v>2152.79855004</v>
      </c>
      <c r="AH16" s="481">
        <f t="shared" si="9"/>
        <v>-576</v>
      </c>
      <c r="AI16" s="395">
        <v>-1359</v>
      </c>
      <c r="AJ16" s="393">
        <v>6242</v>
      </c>
      <c r="AK16" s="481">
        <f t="shared" si="10"/>
        <v>-559.29999999999995</v>
      </c>
      <c r="AL16" s="481">
        <f t="shared" si="13"/>
        <v>-5881.7535730400004</v>
      </c>
      <c r="AM16" s="481">
        <f t="shared" si="13"/>
        <v>20892.70218308</v>
      </c>
      <c r="AN16" s="481">
        <f t="shared" si="11"/>
        <v>-455.2</v>
      </c>
      <c r="AO16" s="485">
        <f t="shared" si="14"/>
        <v>-5954.7535730400004</v>
      </c>
      <c r="AP16" s="485">
        <f t="shared" si="14"/>
        <v>21062.70218308</v>
      </c>
      <c r="AQ16" s="481">
        <f t="shared" si="12"/>
        <v>-453.7</v>
      </c>
    </row>
    <row r="17" spans="1:43" s="457" customFormat="1" ht="18.75" customHeight="1" x14ac:dyDescent="0.3">
      <c r="A17" s="479" t="s">
        <v>305</v>
      </c>
      <c r="B17" s="395"/>
      <c r="C17" s="393"/>
      <c r="D17" s="481"/>
      <c r="E17" s="395">
        <v>4.7670000000000003</v>
      </c>
      <c r="F17" s="393">
        <v>21.917000000000002</v>
      </c>
      <c r="G17" s="481">
        <f t="shared" si="1"/>
        <v>359.8</v>
      </c>
      <c r="H17" s="600">
        <v>3.0950000000000002</v>
      </c>
      <c r="I17" s="557">
        <v>3.3119999999999998</v>
      </c>
      <c r="J17" s="481">
        <f t="shared" si="2"/>
        <v>7</v>
      </c>
      <c r="K17" s="395">
        <v>34.5</v>
      </c>
      <c r="L17" s="393">
        <v>38.700000000000003</v>
      </c>
      <c r="M17" s="481"/>
      <c r="N17" s="590"/>
      <c r="O17" s="555"/>
      <c r="P17" s="481"/>
      <c r="Q17" s="395">
        <v>256.157466</v>
      </c>
      <c r="R17" s="393">
        <v>279.57005099999998</v>
      </c>
      <c r="S17" s="481">
        <f t="shared" si="4"/>
        <v>9.1</v>
      </c>
      <c r="T17" s="395">
        <v>0.8</v>
      </c>
      <c r="U17" s="393">
        <v>1.9</v>
      </c>
      <c r="V17" s="481">
        <f t="shared" si="5"/>
        <v>137.5</v>
      </c>
      <c r="W17" s="395">
        <v>34</v>
      </c>
      <c r="X17" s="393">
        <v>37</v>
      </c>
      <c r="Y17" s="481">
        <f t="shared" si="6"/>
        <v>8.8000000000000007</v>
      </c>
      <c r="Z17" s="395">
        <v>52</v>
      </c>
      <c r="AA17" s="393">
        <v>-8</v>
      </c>
      <c r="AB17" s="481">
        <f t="shared" si="7"/>
        <v>-115.4</v>
      </c>
      <c r="AC17" s="590"/>
      <c r="AD17" s="555"/>
      <c r="AE17" s="481"/>
      <c r="AF17" s="487">
        <v>33.565983810000006</v>
      </c>
      <c r="AG17" s="488">
        <v>50.370622620000006</v>
      </c>
      <c r="AH17" s="481">
        <f t="shared" si="9"/>
        <v>50.1</v>
      </c>
      <c r="AI17" s="395">
        <v>144</v>
      </c>
      <c r="AJ17" s="393">
        <v>172</v>
      </c>
      <c r="AK17" s="481">
        <f t="shared" si="10"/>
        <v>19.399999999999999</v>
      </c>
      <c r="AL17" s="481">
        <f t="shared" si="13"/>
        <v>562.88544981000007</v>
      </c>
      <c r="AM17" s="481">
        <f t="shared" si="13"/>
        <v>596.76967362000005</v>
      </c>
      <c r="AN17" s="481">
        <f t="shared" si="11"/>
        <v>6</v>
      </c>
      <c r="AO17" s="485">
        <f t="shared" si="14"/>
        <v>562.88544981000007</v>
      </c>
      <c r="AP17" s="485">
        <f t="shared" si="14"/>
        <v>596.76967362000005</v>
      </c>
      <c r="AQ17" s="481">
        <f t="shared" si="12"/>
        <v>6</v>
      </c>
    </row>
    <row r="18" spans="1:43" s="457" customFormat="1" ht="18.75" customHeight="1" x14ac:dyDescent="0.3">
      <c r="A18" s="479" t="s">
        <v>306</v>
      </c>
      <c r="B18" s="395"/>
      <c r="C18" s="393"/>
      <c r="D18" s="481"/>
      <c r="E18" s="395"/>
      <c r="F18" s="393"/>
      <c r="G18" s="481"/>
      <c r="H18" s="600"/>
      <c r="I18" s="557"/>
      <c r="J18" s="481"/>
      <c r="K18" s="395"/>
      <c r="L18" s="393"/>
      <c r="M18" s="480"/>
      <c r="N18" s="590"/>
      <c r="O18" s="555"/>
      <c r="P18" s="481"/>
      <c r="Q18" s="395"/>
      <c r="R18" s="393"/>
      <c r="S18" s="481"/>
      <c r="T18" s="395"/>
      <c r="U18" s="393"/>
      <c r="V18" s="481"/>
      <c r="W18" s="490"/>
      <c r="X18" s="491"/>
      <c r="Y18" s="481"/>
      <c r="Z18" s="395"/>
      <c r="AA18" s="393"/>
      <c r="AB18" s="481"/>
      <c r="AC18" s="590"/>
      <c r="AD18" s="555"/>
      <c r="AE18" s="481"/>
      <c r="AF18" s="487"/>
      <c r="AG18" s="488"/>
      <c r="AH18" s="481"/>
      <c r="AI18" s="395"/>
      <c r="AJ18" s="393"/>
      <c r="AK18" s="481"/>
      <c r="AL18" s="481"/>
      <c r="AM18" s="481"/>
      <c r="AN18" s="481"/>
      <c r="AO18" s="492"/>
      <c r="AP18" s="492"/>
      <c r="AQ18" s="484"/>
    </row>
    <row r="19" spans="1:43" s="457" customFormat="1" ht="18.75" customHeight="1" x14ac:dyDescent="0.3">
      <c r="A19" s="479" t="s">
        <v>307</v>
      </c>
      <c r="B19" s="379">
        <v>-150.53799999999998</v>
      </c>
      <c r="C19" s="376">
        <f>-201.946+11.947</f>
        <v>-189.999</v>
      </c>
      <c r="D19" s="481">
        <f>IF(B19=0, "    ---- ", IF(ABS(ROUND(100/B19*C19-100,1))&lt;999,ROUND(100/B19*C19-100,1),IF(ROUND(100/B19*C19-100,1)&gt;999,999,-999)))</f>
        <v>26.2</v>
      </c>
      <c r="E19" s="379">
        <v>-3706.6019999999999</v>
      </c>
      <c r="F19" s="376">
        <v>-3424.6350000000002</v>
      </c>
      <c r="G19" s="481">
        <f>IF(E19=0, "    ---- ", IF(ABS(ROUND(100/E19*F19-100,1))&lt;999,ROUND(100/E19*F19-100,1),IF(ROUND(100/E19*F19-100,1)&gt;999,999,-999)))</f>
        <v>-7.6</v>
      </c>
      <c r="H19" s="379">
        <v>-27.027999999999999</v>
      </c>
      <c r="I19" s="376">
        <v>-33.856999999999999</v>
      </c>
      <c r="J19" s="481">
        <f>IF(H19=0, "    ---- ", IF(ABS(ROUND(100/H19*I19-100,1))&lt;999,ROUND(100/H19*I19-100,1),IF(ROUND(100/H19*I19-100,1)&gt;999,999,-999)))</f>
        <v>25.3</v>
      </c>
      <c r="K19" s="379">
        <v>-130.5</v>
      </c>
      <c r="L19" s="376">
        <f>-148.1+2.1</f>
        <v>-146</v>
      </c>
      <c r="M19" s="481">
        <f>IF(K19=0, "    ---- ", IF(ABS(ROUND(100/K19*L19-100,1))&lt;999,ROUND(100/K19*L19-100,1),IF(ROUND(100/K19*L19-100,1)&gt;999,999,-999)))</f>
        <v>11.9</v>
      </c>
      <c r="N19" s="379">
        <v>-3</v>
      </c>
      <c r="O19" s="376">
        <v>-3.0152519999999998</v>
      </c>
      <c r="P19" s="481">
        <f>IF(N19=0, "    ---- ", IF(ABS(ROUND(100/N19*O19-100,1))&lt;999,ROUND(100/N19*O19-100,1),IF(ROUND(100/N19*O19-100,1)&gt;999,999,-999)))</f>
        <v>0.5</v>
      </c>
      <c r="Q19" s="379">
        <v>-4420.90211</v>
      </c>
      <c r="R19" s="376">
        <v>-4773.5894319999998</v>
      </c>
      <c r="S19" s="481">
        <f>IF(Q19=0, "    ---- ", IF(ABS(ROUND(100/Q19*R19-100,1))&lt;999,ROUND(100/Q19*R19-100,1),IF(ROUND(100/Q19*R19-100,1)&gt;999,999,-999)))</f>
        <v>8</v>
      </c>
      <c r="T19" s="379">
        <v>-20.100000000000001</v>
      </c>
      <c r="U19" s="376">
        <v>-21</v>
      </c>
      <c r="V19" s="481">
        <f t="shared" si="5"/>
        <v>4.5</v>
      </c>
      <c r="W19" s="379">
        <v>-1229</v>
      </c>
      <c r="X19" s="376">
        <v>-1353</v>
      </c>
      <c r="Y19" s="481">
        <f>IF(W19=0, "    ---- ", IF(ABS(ROUND(100/W19*X19-100,1))&lt;999,ROUND(100/W19*X19-100,1),IF(ROUND(100/W19*X19-100,1)&gt;999,999,-999)))</f>
        <v>10.1</v>
      </c>
      <c r="Z19" s="379">
        <v>-682</v>
      </c>
      <c r="AA19" s="376">
        <v>-725</v>
      </c>
      <c r="AB19" s="481">
        <f>IF(Z19=0, "    ---- ", IF(ABS(ROUND(100/Z19*AA19-100,1))&lt;999,ROUND(100/Z19*AA19-100,1),IF(ROUND(100/Z19*AA19-100,1)&gt;999,999,-999)))</f>
        <v>6.3</v>
      </c>
      <c r="AC19" s="379">
        <v>-35</v>
      </c>
      <c r="AD19" s="376">
        <v>-64.360110590000005</v>
      </c>
      <c r="AE19" s="481">
        <f>IF(AC19=0, "    ---- ", IF(ABS(ROUND(100/AC19*AD19-100,1))&lt;999,ROUND(100/AC19*AD19-100,1),IF(ROUND(100/AC19*AD19-100,1)&gt;999,999,-999)))</f>
        <v>83.9</v>
      </c>
      <c r="AF19" s="493">
        <v>-578.35014191000016</v>
      </c>
      <c r="AG19" s="494">
        <v>-605.71963634999975</v>
      </c>
      <c r="AH19" s="481">
        <f>IF(AF19=0, "    ---- ", IF(ABS(ROUND(100/AF19*AG19-100,1))&lt;999,ROUND(100/AF19*AG19-100,1),IF(ROUND(100/AF19*AG19-100,1)&gt;999,999,-999)))</f>
        <v>4.7</v>
      </c>
      <c r="AI19" s="379">
        <v>-2797</v>
      </c>
      <c r="AJ19" s="376">
        <f>-3556+4</f>
        <v>-3552</v>
      </c>
      <c r="AK19" s="481">
        <f>IF(AI19=0, "    ---- ", IF(ABS(ROUND(100/AI19*AJ19-100,1))&lt;999,ROUND(100/AI19*AJ19-100,1),IF(ROUND(100/AI19*AJ19-100,1)&gt;999,999,-999)))</f>
        <v>27</v>
      </c>
      <c r="AL19" s="481">
        <f t="shared" ref="AL19:AM21" si="15">B19+E19+H19+K19+Q19+T19+W19+Z19+AF19+AI19</f>
        <v>-13742.02025191</v>
      </c>
      <c r="AM19" s="481">
        <f t="shared" si="15"/>
        <v>-14824.800068349999</v>
      </c>
      <c r="AN19" s="481">
        <f t="shared" si="11"/>
        <v>7.9</v>
      </c>
      <c r="AO19" s="485">
        <f t="shared" ref="AO19:AP21" si="16">+B19+E19+H19+K19+N19+Q19+T19+W19+Z19+AC19+AF19+AI19</f>
        <v>-13780.02025191</v>
      </c>
      <c r="AP19" s="485">
        <f t="shared" si="16"/>
        <v>-14892.175430939998</v>
      </c>
      <c r="AQ19" s="481">
        <f>IF(AO19=0, "    ---- ", IF(ABS(ROUND(100/AO19*AP19-100,1))&lt;999,ROUND(100/AO19*AP19-100,1),IF(ROUND(100/AO19*AP19-100,1)&gt;999,999,-999)))</f>
        <v>8.1</v>
      </c>
    </row>
    <row r="20" spans="1:43" s="457" customFormat="1" ht="18.75" customHeight="1" x14ac:dyDescent="0.3">
      <c r="A20" s="479" t="s">
        <v>369</v>
      </c>
      <c r="B20" s="400">
        <v>-293.80099999999999</v>
      </c>
      <c r="C20" s="330">
        <v>-153.35499999999999</v>
      </c>
      <c r="D20" s="481">
        <f>IF(B20=0, "    ---- ", IF(ABS(ROUND(100/B20*C20-100,1))&lt;999,ROUND(100/B20*C20-100,1),IF(ROUND(100/B20*C20-100,1)&gt;999,999,-999)))</f>
        <v>-47.8</v>
      </c>
      <c r="E20" s="400">
        <v>-1952.827</v>
      </c>
      <c r="F20" s="330">
        <v>-835.29</v>
      </c>
      <c r="G20" s="481">
        <f>IF(E20=0, "    ---- ", IF(ABS(ROUND(100/E20*F20-100,1))&lt;999,ROUND(100/E20*F20-100,1),IF(ROUND(100/E20*F20-100,1)&gt;999,999,-999)))</f>
        <v>-57.2</v>
      </c>
      <c r="H20" s="400">
        <v>-49.261000000000003</v>
      </c>
      <c r="I20" s="330">
        <v>-16.97</v>
      </c>
      <c r="J20" s="481">
        <f>IF(H20=0, "    ---- ", IF(ABS(ROUND(100/H20*I20-100,1))&lt;999,ROUND(100/H20*I20-100,1),IF(ROUND(100/H20*I20-100,1)&gt;999,999,-999)))</f>
        <v>-65.599999999999994</v>
      </c>
      <c r="K20" s="400">
        <v>-385.9</v>
      </c>
      <c r="L20" s="330">
        <v>-469.6</v>
      </c>
      <c r="M20" s="481">
        <f>IF(K20=0, "    ---- ", IF(ABS(ROUND(100/K20*L20-100,1))&lt;999,ROUND(100/K20*L20-100,1),IF(ROUND(100/K20*L20-100,1)&gt;999,999,-999)))</f>
        <v>21.7</v>
      </c>
      <c r="N20" s="400"/>
      <c r="O20" s="330"/>
      <c r="P20" s="481"/>
      <c r="Q20" s="400">
        <v>-423.5</v>
      </c>
      <c r="R20" s="330">
        <v>-248.299767</v>
      </c>
      <c r="S20" s="481">
        <f>IF(Q20=0, "    ---- ", IF(ABS(ROUND(100/Q20*R20-100,1))&lt;999,ROUND(100/Q20*R20-100,1),IF(ROUND(100/Q20*R20-100,1)&gt;999,999,-999)))</f>
        <v>-41.4</v>
      </c>
      <c r="T20" s="400">
        <v>-19.7</v>
      </c>
      <c r="U20" s="330">
        <v>-29.1</v>
      </c>
      <c r="V20" s="481">
        <f t="shared" si="5"/>
        <v>47.7</v>
      </c>
      <c r="W20" s="495">
        <v>-1425.6</v>
      </c>
      <c r="X20" s="496">
        <v>-718</v>
      </c>
      <c r="Y20" s="481">
        <f>IF(W20=0, "    ---- ", IF(ABS(ROUND(100/W20*X20-100,1))&lt;999,ROUND(100/W20*X20-100,1),IF(ROUND(100/W20*X20-100,1)&gt;999,999,-999)))</f>
        <v>-49.6</v>
      </c>
      <c r="Z20" s="495"/>
      <c r="AA20" s="496"/>
      <c r="AB20" s="481"/>
      <c r="AC20" s="400">
        <v>-1</v>
      </c>
      <c r="AD20" s="330">
        <v>-5.7983996299999996</v>
      </c>
      <c r="AE20" s="481">
        <f>IF(AC20=0, "    ---- ", IF(ABS(ROUND(100/AC20*AD20-100,1))&lt;999,ROUND(100/AC20*AD20-100,1),IF(ROUND(100/AC20*AD20-100,1)&gt;999,999,-999)))</f>
        <v>479.8</v>
      </c>
      <c r="AF20" s="495">
        <v>-142.12769751000002</v>
      </c>
      <c r="AG20" s="496">
        <v>-328.72047253999995</v>
      </c>
      <c r="AH20" s="481">
        <f>IF(AF20=0, "    ---- ", IF(ABS(ROUND(100/AF20*AG20-100,1))&lt;999,ROUND(100/AF20*AG20-100,1),IF(ROUND(100/AF20*AG20-100,1)&gt;999,999,-999)))</f>
        <v>131.30000000000001</v>
      </c>
      <c r="AI20" s="400">
        <v>-999</v>
      </c>
      <c r="AJ20" s="330">
        <v>-2066</v>
      </c>
      <c r="AK20" s="481">
        <f>IF(AI20=0, "    ---- ", IF(ABS(ROUND(100/AI20*AJ20-100,1))&lt;999,ROUND(100/AI20*AJ20-100,1),IF(ROUND(100/AI20*AJ20-100,1)&gt;999,999,-999)))</f>
        <v>106.8</v>
      </c>
      <c r="AL20" s="481">
        <f t="shared" si="15"/>
        <v>-5691.7166975099999</v>
      </c>
      <c r="AM20" s="481">
        <f t="shared" si="15"/>
        <v>-4865.3352395399997</v>
      </c>
      <c r="AN20" s="481">
        <f t="shared" si="11"/>
        <v>-14.5</v>
      </c>
      <c r="AO20" s="485">
        <f t="shared" si="16"/>
        <v>-5692.7166975099999</v>
      </c>
      <c r="AP20" s="485">
        <f t="shared" si="16"/>
        <v>-4871.1336391699997</v>
      </c>
      <c r="AQ20" s="481">
        <f>IF(AO20=0, "    ---- ", IF(ABS(ROUND(100/AO20*AP20-100,1))&lt;999,ROUND(100/AO20*AP20-100,1),IF(ROUND(100/AO20*AP20-100,1)&gt;999,999,-999)))</f>
        <v>-14.4</v>
      </c>
    </row>
    <row r="21" spans="1:43" s="457" customFormat="1" ht="18.75" customHeight="1" x14ac:dyDescent="0.3">
      <c r="A21" s="479" t="s">
        <v>308</v>
      </c>
      <c r="B21" s="598">
        <v>-444.33899999999994</v>
      </c>
      <c r="C21" s="376">
        <f>SUM(C19:C20)</f>
        <v>-343.35399999999998</v>
      </c>
      <c r="D21" s="481">
        <f>IF(B21=0, "    ---- ", IF(ABS(ROUND(100/B21*C21-100,1))&lt;999,ROUND(100/B21*C21-100,1),IF(ROUND(100/B21*C21-100,1)&gt;999,999,-999)))</f>
        <v>-22.7</v>
      </c>
      <c r="E21" s="379">
        <v>-5659.4290000000001</v>
      </c>
      <c r="F21" s="376">
        <f>SUM(F19:F20)</f>
        <v>-4259.9250000000002</v>
      </c>
      <c r="G21" s="481">
        <f>IF(E21=0, "    ---- ", IF(ABS(ROUND(100/E21*F21-100,1))&lt;999,ROUND(100/E21*F21-100,1),IF(ROUND(100/E21*F21-100,1)&gt;999,999,-999)))</f>
        <v>-24.7</v>
      </c>
      <c r="H21" s="379">
        <v>-76.289000000000001</v>
      </c>
      <c r="I21" s="376">
        <f>SUM(I19:I20)</f>
        <v>-50.826999999999998</v>
      </c>
      <c r="J21" s="481">
        <f>IF(H21=0, "    ---- ", IF(ABS(ROUND(100/H21*I21-100,1))&lt;999,ROUND(100/H21*I21-100,1),IF(ROUND(100/H21*I21-100,1)&gt;999,999,-999)))</f>
        <v>-33.4</v>
      </c>
      <c r="K21" s="379">
        <v>-516.4</v>
      </c>
      <c r="L21" s="376">
        <f>SUM(L19:L20)</f>
        <v>-615.6</v>
      </c>
      <c r="M21" s="481">
        <f>IF(K21=0, "    ---- ", IF(ABS(ROUND(100/K21*L21-100,1))&lt;999,ROUND(100/K21*L21-100,1),IF(ROUND(100/K21*L21-100,1)&gt;999,999,-999)))</f>
        <v>19.2</v>
      </c>
      <c r="N21" s="379">
        <v>-3</v>
      </c>
      <c r="O21" s="376">
        <f>SUM(O19:O20)</f>
        <v>-3.0152519999999998</v>
      </c>
      <c r="P21" s="481">
        <f>IF(N21=0, "    ---- ", IF(ABS(ROUND(100/N21*O21-100,1))&lt;999,ROUND(100/N21*O21-100,1),IF(ROUND(100/N21*O21-100,1)&gt;999,999,-999)))</f>
        <v>0.5</v>
      </c>
      <c r="Q21" s="379">
        <v>-4844.40211</v>
      </c>
      <c r="R21" s="376">
        <f>SUM(R19:R20)</f>
        <v>-5021.8891990000002</v>
      </c>
      <c r="S21" s="481">
        <f>IF(Q21=0, "    ---- ", IF(ABS(ROUND(100/Q21*R21-100,1))&lt;999,ROUND(100/Q21*R21-100,1),IF(ROUND(100/Q21*R21-100,1)&gt;999,999,-999)))</f>
        <v>3.7</v>
      </c>
      <c r="T21" s="379">
        <v>-39.799999999999997</v>
      </c>
      <c r="U21" s="376">
        <f>SUM(U19:U20)</f>
        <v>-50.1</v>
      </c>
      <c r="V21" s="481">
        <f t="shared" si="5"/>
        <v>25.9</v>
      </c>
      <c r="W21" s="379">
        <v>-2654.6</v>
      </c>
      <c r="X21" s="376">
        <f>SUM(X19:X20)</f>
        <v>-2071</v>
      </c>
      <c r="Y21" s="481">
        <f>IF(W21=0, "    ---- ", IF(ABS(ROUND(100/W21*X21-100,1))&lt;999,ROUND(100/W21*X21-100,1),IF(ROUND(100/W21*X21-100,1)&gt;999,999,-999)))</f>
        <v>-22</v>
      </c>
      <c r="Z21" s="379">
        <v>-682</v>
      </c>
      <c r="AA21" s="376">
        <f>SUM(AA19:AA20)</f>
        <v>-725</v>
      </c>
      <c r="AB21" s="481">
        <f>IF(Z21=0, "    ---- ", IF(ABS(ROUND(100/Z21*AA21-100,1))&lt;999,ROUND(100/Z21*AA21-100,1),IF(ROUND(100/Z21*AA21-100,1)&gt;999,999,-999)))</f>
        <v>6.3</v>
      </c>
      <c r="AC21" s="379">
        <v>-36</v>
      </c>
      <c r="AD21" s="376">
        <f>SUM(AD19:AD20)</f>
        <v>-70.158510220000011</v>
      </c>
      <c r="AE21" s="481">
        <f>IF(AC21=0, "    ---- ", IF(ABS(ROUND(100/AC21*AD21-100,1))&lt;999,ROUND(100/AC21*AD21-100,1),IF(ROUND(100/AC21*AD21-100,1)&gt;999,999,-999)))</f>
        <v>94.9</v>
      </c>
      <c r="AF21" s="560">
        <v>-720.47783942000024</v>
      </c>
      <c r="AG21" s="376">
        <v>-934.44010888999969</v>
      </c>
      <c r="AH21" s="481">
        <f>IF(AF21=0, "    ---- ", IF(ABS(ROUND(100/AF21*AG21-100,1))&lt;999,ROUND(100/AF21*AG21-100,1),IF(ROUND(100/AF21*AG21-100,1)&gt;999,999,-999)))</f>
        <v>29.7</v>
      </c>
      <c r="AI21" s="379">
        <v>-3796</v>
      </c>
      <c r="AJ21" s="376">
        <f>SUM(AJ19:AJ20)</f>
        <v>-5618</v>
      </c>
      <c r="AK21" s="481">
        <f>IF(AI21=0, "    ---- ", IF(ABS(ROUND(100/AI21*AJ21-100,1))&lt;999,ROUND(100/AI21*AJ21-100,1),IF(ROUND(100/AI21*AJ21-100,1)&gt;999,999,-999)))</f>
        <v>48</v>
      </c>
      <c r="AL21" s="481">
        <f t="shared" si="15"/>
        <v>-19433.736949419999</v>
      </c>
      <c r="AM21" s="481">
        <f t="shared" si="15"/>
        <v>-19690.135307889999</v>
      </c>
      <c r="AN21" s="481">
        <f t="shared" si="11"/>
        <v>1.3</v>
      </c>
      <c r="AO21" s="485">
        <f t="shared" si="16"/>
        <v>-19472.736949419999</v>
      </c>
      <c r="AP21" s="485">
        <f t="shared" si="16"/>
        <v>-19763.309070110001</v>
      </c>
      <c r="AQ21" s="481">
        <f>IF(AO21=0, "    ---- ", IF(ABS(ROUND(100/AO21*AP21-100,1))&lt;999,ROUND(100/AO21*AP21-100,1),IF(ROUND(100/AO21*AP21-100,1)&gt;999,999,-999)))</f>
        <v>1.5</v>
      </c>
    </row>
    <row r="22" spans="1:43" s="457" customFormat="1" ht="18.75" customHeight="1" x14ac:dyDescent="0.3">
      <c r="A22" s="479" t="s">
        <v>309</v>
      </c>
      <c r="B22" s="395"/>
      <c r="C22" s="393"/>
      <c r="D22" s="481"/>
      <c r="E22" s="395"/>
      <c r="F22" s="393"/>
      <c r="G22" s="481"/>
      <c r="H22" s="590"/>
      <c r="I22" s="555"/>
      <c r="J22" s="481"/>
      <c r="K22" s="395"/>
      <c r="L22" s="393"/>
      <c r="M22" s="481"/>
      <c r="N22" s="590"/>
      <c r="O22" s="555"/>
      <c r="P22" s="481"/>
      <c r="Q22" s="395"/>
      <c r="R22" s="393"/>
      <c r="S22" s="481"/>
      <c r="T22" s="590"/>
      <c r="U22" s="555"/>
      <c r="V22" s="481"/>
      <c r="W22" s="590"/>
      <c r="X22" s="555"/>
      <c r="Y22" s="481"/>
      <c r="Z22" s="590"/>
      <c r="AA22" s="555"/>
      <c r="AB22" s="481"/>
      <c r="AC22" s="590"/>
      <c r="AD22" s="555"/>
      <c r="AE22" s="481"/>
      <c r="AF22" s="569"/>
      <c r="AG22" s="555"/>
      <c r="AH22" s="481"/>
      <c r="AI22" s="395"/>
      <c r="AJ22" s="393"/>
      <c r="AK22" s="481"/>
      <c r="AL22" s="481"/>
      <c r="AM22" s="481"/>
      <c r="AN22" s="481"/>
      <c r="AO22" s="481"/>
      <c r="AP22" s="481"/>
      <c r="AQ22" s="481"/>
    </row>
    <row r="23" spans="1:43" s="457" customFormat="1" ht="18.75" customHeight="1" x14ac:dyDescent="0.3">
      <c r="A23" s="479" t="s">
        <v>310</v>
      </c>
      <c r="B23" s="400">
        <v>-31.34</v>
      </c>
      <c r="C23" s="330">
        <f>-28.052+1.084</f>
        <v>-26.968</v>
      </c>
      <c r="D23" s="481">
        <f t="shared" ref="D23:D29" si="17">IF(B23=0, "    ---- ", IF(ABS(ROUND(100/B23*C23-100,1))&lt;999,ROUND(100/B23*C23-100,1),IF(ROUND(100/B23*C23-100,1)&gt;999,999,-999)))</f>
        <v>-14</v>
      </c>
      <c r="E23" s="400">
        <v>443.52499999999998</v>
      </c>
      <c r="F23" s="330">
        <v>236.08600000000001</v>
      </c>
      <c r="G23" s="481">
        <f t="shared" ref="G23:G29" si="18">IF(E23=0, "    ---- ", IF(ABS(ROUND(100/E23*F23-100,1))&lt;999,ROUND(100/E23*F23-100,1),IF(ROUND(100/E23*F23-100,1)&gt;999,999,-999)))</f>
        <v>-46.8</v>
      </c>
      <c r="H23" s="400">
        <v>-431.53899999999999</v>
      </c>
      <c r="I23" s="330">
        <v>-486.55599999999998</v>
      </c>
      <c r="J23" s="481">
        <f>IF(H23=0, "    ---- ", IF(ABS(ROUND(100/H23*I23-100,1))&lt;999,ROUND(100/H23*I23-100,1),IF(ROUND(100/H23*I23-100,1)&gt;999,999,-999)))</f>
        <v>12.7</v>
      </c>
      <c r="K23" s="400">
        <v>-157.19999999999999</v>
      </c>
      <c r="L23" s="330">
        <f>-178.5+15.3</f>
        <v>-163.19999999999999</v>
      </c>
      <c r="M23" s="481">
        <f t="shared" ref="M23:M31" si="19">IF(K23=0, "    ---- ", IF(ABS(ROUND(100/K23*L23-100,1))&lt;999,ROUND(100/K23*L23-100,1),IF(ROUND(100/K23*L23-100,1)&gt;999,999,-999)))</f>
        <v>3.8</v>
      </c>
      <c r="N23" s="400">
        <v>7</v>
      </c>
      <c r="O23" s="330">
        <v>1.0167539999999999</v>
      </c>
      <c r="P23" s="481"/>
      <c r="Q23" s="400">
        <v>-3368.0149948099997</v>
      </c>
      <c r="R23" s="330">
        <v>-3619.4776255100001</v>
      </c>
      <c r="S23" s="481">
        <f t="shared" ref="S23:S30" si="20">IF(Q23=0, "    ---- ", IF(ABS(ROUND(100/Q23*R23-100,1))&lt;999,ROUND(100/Q23*R23-100,1),IF(ROUND(100/Q23*R23-100,1)&gt;999,999,-999)))</f>
        <v>7.5</v>
      </c>
      <c r="T23" s="400">
        <v>-9.8000000000000007</v>
      </c>
      <c r="U23" s="330">
        <v>-9.6999999999999993</v>
      </c>
      <c r="V23" s="481">
        <f t="shared" si="5"/>
        <v>-1</v>
      </c>
      <c r="W23" s="400">
        <v>-342</v>
      </c>
      <c r="X23" s="330">
        <v>-295</v>
      </c>
      <c r="Y23" s="481">
        <f t="shared" ref="Y23:Y29" si="21">IF(W23=0, "    ---- ", IF(ABS(ROUND(100/W23*X23-100,1))&lt;999,ROUND(100/W23*X23-100,1),IF(ROUND(100/W23*X23-100,1)&gt;999,999,-999)))</f>
        <v>-13.7</v>
      </c>
      <c r="Z23" s="400">
        <v>-666</v>
      </c>
      <c r="AA23" s="330">
        <v>-650</v>
      </c>
      <c r="AB23" s="481">
        <f t="shared" ref="AB23:AB29" si="22">IF(Z23=0, "    ---- ", IF(ABS(ROUND(100/Z23*AA23-100,1))&lt;999,ROUND(100/Z23*AA23-100,1),IF(ROUND(100/Z23*AA23-100,1)&gt;999,999,-999)))</f>
        <v>-2.4</v>
      </c>
      <c r="AC23" s="400"/>
      <c r="AD23" s="330"/>
      <c r="AE23" s="481"/>
      <c r="AF23" s="561">
        <v>-323.11077058000006</v>
      </c>
      <c r="AG23" s="330">
        <v>-387.47608656000006</v>
      </c>
      <c r="AH23" s="481">
        <f t="shared" ref="AH23:AH29" si="23">IF(AF23=0, "    ---- ", IF(ABS(ROUND(100/AF23*AG23-100,1))&lt;999,ROUND(100/AF23*AG23-100,1),IF(ROUND(100/AF23*AG23-100,1)&gt;999,999,-999)))</f>
        <v>19.899999999999999</v>
      </c>
      <c r="AI23" s="400">
        <v>-811</v>
      </c>
      <c r="AJ23" s="330">
        <v>-711</v>
      </c>
      <c r="AK23" s="481">
        <f t="shared" ref="AK23:AK29" si="24">IF(AI23=0, "    ---- ", IF(ABS(ROUND(100/AI23*AJ23-100,1))&lt;999,ROUND(100/AI23*AJ23-100,1),IF(ROUND(100/AI23*AJ23-100,1)&gt;999,999,-999)))</f>
        <v>-12.3</v>
      </c>
      <c r="AL23" s="481">
        <f t="shared" ref="AL23:AM33" si="25">B23+E23+H23+K23+Q23+T23+W23+Z23+AF23+AI23</f>
        <v>-5696.4797653900005</v>
      </c>
      <c r="AM23" s="481">
        <f t="shared" si="25"/>
        <v>-6113.2917120700004</v>
      </c>
      <c r="AN23" s="481">
        <f t="shared" si="11"/>
        <v>7.3</v>
      </c>
      <c r="AO23" s="481"/>
      <c r="AP23" s="481"/>
      <c r="AQ23" s="481"/>
    </row>
    <row r="24" spans="1:43" s="457" customFormat="1" ht="18.75" customHeight="1" x14ac:dyDescent="0.3">
      <c r="A24" s="479" t="s">
        <v>311</v>
      </c>
      <c r="B24" s="400"/>
      <c r="C24" s="330"/>
      <c r="D24" s="481"/>
      <c r="E24" s="400">
        <v>-10.222</v>
      </c>
      <c r="F24" s="330">
        <v>0.66600000000000004</v>
      </c>
      <c r="G24" s="481">
        <f t="shared" si="18"/>
        <v>-106.5</v>
      </c>
      <c r="H24" s="400"/>
      <c r="I24" s="330"/>
      <c r="J24" s="481" t="str">
        <f>IF(H24=0, "    ---- ", IF(ABS(ROUND(100/H24*I24-100,1))&lt;999,ROUND(100/H24*I24-100,1),IF(ROUND(100/H24*I24-100,1)&gt;999,999,-999)))</f>
        <v xml:space="preserve">    ---- </v>
      </c>
      <c r="K24" s="400">
        <v>-0.8</v>
      </c>
      <c r="L24" s="330">
        <v>-1.3</v>
      </c>
      <c r="M24" s="481">
        <f t="shared" si="19"/>
        <v>62.5</v>
      </c>
      <c r="N24" s="400"/>
      <c r="O24" s="330"/>
      <c r="P24" s="481"/>
      <c r="Q24" s="400"/>
      <c r="R24" s="330">
        <v>0</v>
      </c>
      <c r="S24" s="481" t="str">
        <f t="shared" si="20"/>
        <v xml:space="preserve">    ---- </v>
      </c>
      <c r="T24" s="400"/>
      <c r="U24" s="330"/>
      <c r="V24" s="481" t="str">
        <f t="shared" si="5"/>
        <v xml:space="preserve">    ---- </v>
      </c>
      <c r="W24" s="400">
        <v>5</v>
      </c>
      <c r="X24" s="330">
        <v>14</v>
      </c>
      <c r="Y24" s="481">
        <f t="shared" si="21"/>
        <v>180</v>
      </c>
      <c r="Z24" s="400"/>
      <c r="AA24" s="330"/>
      <c r="AB24" s="481" t="str">
        <f t="shared" si="22"/>
        <v xml:space="preserve">    ---- </v>
      </c>
      <c r="AC24" s="400"/>
      <c r="AD24" s="330"/>
      <c r="AE24" s="481"/>
      <c r="AF24" s="561">
        <v>1.9546650699999999</v>
      </c>
      <c r="AG24" s="330">
        <v>1.8899579100000001</v>
      </c>
      <c r="AH24" s="481">
        <f t="shared" si="23"/>
        <v>-3.3</v>
      </c>
      <c r="AI24" s="400">
        <v>20</v>
      </c>
      <c r="AJ24" s="330">
        <v>29</v>
      </c>
      <c r="AK24" s="481">
        <f t="shared" si="24"/>
        <v>45</v>
      </c>
      <c r="AL24" s="481">
        <f t="shared" si="25"/>
        <v>15.932665069999999</v>
      </c>
      <c r="AM24" s="481">
        <f t="shared" si="25"/>
        <v>44.255957909999999</v>
      </c>
      <c r="AN24" s="481">
        <f t="shared" si="11"/>
        <v>177.8</v>
      </c>
      <c r="AO24" s="481"/>
      <c r="AP24" s="481"/>
      <c r="AQ24" s="481"/>
    </row>
    <row r="25" spans="1:43" s="457" customFormat="1" ht="18.75" customHeight="1" x14ac:dyDescent="0.3">
      <c r="A25" s="479" t="s">
        <v>312</v>
      </c>
      <c r="B25" s="400">
        <v>5.8689999999999998</v>
      </c>
      <c r="C25" s="330">
        <v>-13.138</v>
      </c>
      <c r="D25" s="481">
        <f t="shared" si="17"/>
        <v>-323.89999999999998</v>
      </c>
      <c r="E25" s="400">
        <v>1104.559</v>
      </c>
      <c r="F25" s="330">
        <v>-2190.5349999999999</v>
      </c>
      <c r="G25" s="481">
        <f t="shared" si="18"/>
        <v>-298.3</v>
      </c>
      <c r="H25" s="400"/>
      <c r="I25" s="330">
        <v>-3.7639999999999998</v>
      </c>
      <c r="J25" s="481"/>
      <c r="K25" s="400">
        <v>45.1</v>
      </c>
      <c r="L25" s="330">
        <v>-9.5</v>
      </c>
      <c r="M25" s="481">
        <f t="shared" si="19"/>
        <v>-121.1</v>
      </c>
      <c r="N25" s="400"/>
      <c r="O25" s="330"/>
      <c r="P25" s="481"/>
      <c r="Q25" s="400">
        <v>7621.2432319999998</v>
      </c>
      <c r="R25" s="330">
        <v>-10874.720142</v>
      </c>
      <c r="S25" s="481">
        <f t="shared" si="20"/>
        <v>-242.7</v>
      </c>
      <c r="T25" s="400">
        <v>16.2</v>
      </c>
      <c r="U25" s="330">
        <v>-5.2</v>
      </c>
      <c r="V25" s="481">
        <f t="shared" si="5"/>
        <v>-132.1</v>
      </c>
      <c r="W25" s="400">
        <v>249</v>
      </c>
      <c r="X25" s="330">
        <v>-539</v>
      </c>
      <c r="Y25" s="481">
        <f t="shared" si="21"/>
        <v>-316.5</v>
      </c>
      <c r="Z25" s="400">
        <v>413</v>
      </c>
      <c r="AA25" s="330">
        <v>-2866</v>
      </c>
      <c r="AB25" s="481">
        <f t="shared" si="22"/>
        <v>-793.9</v>
      </c>
      <c r="AC25" s="400"/>
      <c r="AD25" s="330"/>
      <c r="AE25" s="481"/>
      <c r="AF25" s="561">
        <v>286.21856102999999</v>
      </c>
      <c r="AG25" s="330">
        <v>-402.39179236000001</v>
      </c>
      <c r="AH25" s="481">
        <f t="shared" si="23"/>
        <v>-240.6</v>
      </c>
      <c r="AI25" s="400">
        <v>1394</v>
      </c>
      <c r="AJ25" s="330">
        <v>-2067</v>
      </c>
      <c r="AK25" s="481">
        <f t="shared" si="24"/>
        <v>-248.3</v>
      </c>
      <c r="AL25" s="481">
        <f t="shared" si="25"/>
        <v>11135.18979303</v>
      </c>
      <c r="AM25" s="481">
        <f t="shared" si="25"/>
        <v>-18971.248934359999</v>
      </c>
      <c r="AN25" s="481">
        <f t="shared" si="11"/>
        <v>-270.39999999999998</v>
      </c>
      <c r="AO25" s="481"/>
      <c r="AP25" s="481"/>
      <c r="AQ25" s="481"/>
    </row>
    <row r="26" spans="1:43" s="457" customFormat="1" ht="18.75" customHeight="1" x14ac:dyDescent="0.3">
      <c r="A26" s="479" t="s">
        <v>313</v>
      </c>
      <c r="B26" s="400"/>
      <c r="C26" s="330"/>
      <c r="D26" s="481"/>
      <c r="E26" s="400">
        <v>-4.9909999999999997</v>
      </c>
      <c r="F26" s="330">
        <v>-4.0010000000000003</v>
      </c>
      <c r="G26" s="481">
        <f t="shared" si="18"/>
        <v>-19.8</v>
      </c>
      <c r="H26" s="400"/>
      <c r="I26" s="330"/>
      <c r="J26" s="481"/>
      <c r="K26" s="400">
        <v>1</v>
      </c>
      <c r="L26" s="330">
        <v>1.6</v>
      </c>
      <c r="M26" s="481"/>
      <c r="N26" s="400"/>
      <c r="O26" s="330"/>
      <c r="P26" s="481"/>
      <c r="Q26" s="400">
        <v>-75.489672999999996</v>
      </c>
      <c r="R26" s="330">
        <v>-61.361365999999997</v>
      </c>
      <c r="S26" s="481">
        <f t="shared" si="20"/>
        <v>-18.7</v>
      </c>
      <c r="T26" s="400">
        <v>-0.1</v>
      </c>
      <c r="U26" s="330">
        <v>-0.1</v>
      </c>
      <c r="V26" s="481">
        <f t="shared" si="5"/>
        <v>0</v>
      </c>
      <c r="W26" s="400">
        <v>-0.6</v>
      </c>
      <c r="X26" s="330">
        <v>-1</v>
      </c>
      <c r="Y26" s="481">
        <f t="shared" si="21"/>
        <v>66.7</v>
      </c>
      <c r="Z26" s="400">
        <v>-13</v>
      </c>
      <c r="AA26" s="330">
        <v>-16</v>
      </c>
      <c r="AB26" s="481">
        <f t="shared" si="22"/>
        <v>23.1</v>
      </c>
      <c r="AC26" s="400"/>
      <c r="AD26" s="330"/>
      <c r="AE26" s="481"/>
      <c r="AF26" s="561">
        <v>-0.95761700000000005</v>
      </c>
      <c r="AG26" s="330">
        <v>-0.76754699999999998</v>
      </c>
      <c r="AH26" s="481">
        <f t="shared" si="23"/>
        <v>-19.8</v>
      </c>
      <c r="AI26" s="400"/>
      <c r="AJ26" s="330"/>
      <c r="AK26" s="481" t="str">
        <f t="shared" si="24"/>
        <v xml:space="preserve">    ---- </v>
      </c>
      <c r="AL26" s="481">
        <f t="shared" si="25"/>
        <v>-94.138289999999984</v>
      </c>
      <c r="AM26" s="481">
        <f t="shared" si="25"/>
        <v>-81.629913000000002</v>
      </c>
      <c r="AN26" s="481">
        <f t="shared" si="11"/>
        <v>-13.3</v>
      </c>
      <c r="AO26" s="481"/>
      <c r="AP26" s="481"/>
      <c r="AQ26" s="481"/>
    </row>
    <row r="27" spans="1:43" s="457" customFormat="1" ht="18.75" customHeight="1" x14ac:dyDescent="0.3">
      <c r="A27" s="479" t="s">
        <v>314</v>
      </c>
      <c r="B27" s="400">
        <v>-0.73399999999999999</v>
      </c>
      <c r="C27" s="330">
        <v>-0.83799999999999997</v>
      </c>
      <c r="D27" s="481">
        <f t="shared" si="17"/>
        <v>14.2</v>
      </c>
      <c r="E27" s="400">
        <v>-206.49700000000001</v>
      </c>
      <c r="F27" s="330">
        <v>-237.78899999999999</v>
      </c>
      <c r="G27" s="481">
        <f t="shared" si="18"/>
        <v>15.2</v>
      </c>
      <c r="H27" s="400">
        <v>-0.59299999999999997</v>
      </c>
      <c r="I27" s="330">
        <v>-1.425</v>
      </c>
      <c r="J27" s="481">
        <f>IF(H27=0, "    ---- ", IF(ABS(ROUND(100/H27*I27-100,1))&lt;999,ROUND(100/H27*I27-100,1),IF(ROUND(100/H27*I27-100,1)&gt;999,999,-999)))</f>
        <v>140.30000000000001</v>
      </c>
      <c r="K27" s="400"/>
      <c r="L27" s="330"/>
      <c r="M27" s="481"/>
      <c r="N27" s="400"/>
      <c r="O27" s="330"/>
      <c r="P27" s="481"/>
      <c r="Q27" s="400"/>
      <c r="R27" s="330"/>
      <c r="S27" s="481"/>
      <c r="T27" s="400"/>
      <c r="U27" s="330"/>
      <c r="V27" s="481"/>
      <c r="W27" s="400"/>
      <c r="X27" s="330">
        <v>0</v>
      </c>
      <c r="Y27" s="481" t="str">
        <f t="shared" si="21"/>
        <v xml:space="preserve">    ---- </v>
      </c>
      <c r="Z27" s="400">
        <v>-2</v>
      </c>
      <c r="AA27" s="330">
        <v>-1</v>
      </c>
      <c r="AB27" s="481"/>
      <c r="AC27" s="400"/>
      <c r="AD27" s="330"/>
      <c r="AE27" s="481"/>
      <c r="AF27" s="561"/>
      <c r="AG27" s="330">
        <v>0</v>
      </c>
      <c r="AH27" s="481" t="str">
        <f t="shared" si="23"/>
        <v xml:space="preserve">    ---- </v>
      </c>
      <c r="AI27" s="400">
        <v>8</v>
      </c>
      <c r="AJ27" s="330">
        <v>-16</v>
      </c>
      <c r="AK27" s="481">
        <f t="shared" si="24"/>
        <v>-300</v>
      </c>
      <c r="AL27" s="481">
        <f t="shared" si="25"/>
        <v>-201.82400000000001</v>
      </c>
      <c r="AM27" s="481">
        <f t="shared" si="25"/>
        <v>-257.05200000000002</v>
      </c>
      <c r="AN27" s="481">
        <f t="shared" si="11"/>
        <v>27.4</v>
      </c>
      <c r="AO27" s="481"/>
      <c r="AP27" s="481"/>
      <c r="AQ27" s="481"/>
    </row>
    <row r="28" spans="1:43" s="457" customFormat="1" ht="18.75" customHeight="1" x14ac:dyDescent="0.3">
      <c r="A28" s="479" t="s">
        <v>315</v>
      </c>
      <c r="B28" s="400"/>
      <c r="C28" s="330"/>
      <c r="D28" s="481"/>
      <c r="E28" s="400">
        <v>12.930999999999999</v>
      </c>
      <c r="F28" s="330">
        <v>2.8980000000000001</v>
      </c>
      <c r="G28" s="481">
        <f t="shared" si="18"/>
        <v>-77.599999999999994</v>
      </c>
      <c r="H28" s="400"/>
      <c r="I28" s="330"/>
      <c r="J28" s="481"/>
      <c r="K28" s="400"/>
      <c r="L28" s="330"/>
      <c r="M28" s="481" t="str">
        <f t="shared" si="19"/>
        <v xml:space="preserve">    ---- </v>
      </c>
      <c r="N28" s="400"/>
      <c r="O28" s="330"/>
      <c r="P28" s="481"/>
      <c r="Q28" s="400"/>
      <c r="R28" s="330">
        <v>0</v>
      </c>
      <c r="S28" s="481" t="str">
        <f t="shared" si="20"/>
        <v xml:space="preserve">    ---- </v>
      </c>
      <c r="T28" s="400"/>
      <c r="U28" s="330"/>
      <c r="V28" s="481" t="str">
        <f t="shared" si="5"/>
        <v xml:space="preserve">    ---- </v>
      </c>
      <c r="W28" s="400">
        <v>1</v>
      </c>
      <c r="X28" s="330">
        <v>0</v>
      </c>
      <c r="Y28" s="481">
        <f t="shared" si="21"/>
        <v>-100</v>
      </c>
      <c r="Z28" s="400"/>
      <c r="AA28" s="330"/>
      <c r="AB28" s="481"/>
      <c r="AC28" s="400"/>
      <c r="AD28" s="330"/>
      <c r="AE28" s="481"/>
      <c r="AF28" s="561"/>
      <c r="AG28" s="330">
        <v>0</v>
      </c>
      <c r="AH28" s="481" t="str">
        <f t="shared" si="23"/>
        <v xml:space="preserve">    ---- </v>
      </c>
      <c r="AI28" s="400">
        <v>-4</v>
      </c>
      <c r="AJ28" s="330">
        <v>-3.3</v>
      </c>
      <c r="AK28" s="481">
        <f t="shared" si="24"/>
        <v>-17.5</v>
      </c>
      <c r="AL28" s="481">
        <f t="shared" si="25"/>
        <v>9.9309999999999992</v>
      </c>
      <c r="AM28" s="481">
        <f t="shared" si="25"/>
        <v>-0.40199999999999969</v>
      </c>
      <c r="AN28" s="481">
        <f t="shared" si="11"/>
        <v>-104</v>
      </c>
      <c r="AO28" s="481"/>
      <c r="AP28" s="481"/>
      <c r="AQ28" s="481"/>
    </row>
    <row r="29" spans="1:43" s="457" customFormat="1" ht="18.75" customHeight="1" x14ac:dyDescent="0.3">
      <c r="A29" s="479" t="s">
        <v>316</v>
      </c>
      <c r="B29" s="400">
        <v>-26.204999999999998</v>
      </c>
      <c r="C29" s="330">
        <f>SUM(C23:C28)</f>
        <v>-40.944000000000003</v>
      </c>
      <c r="D29" s="481">
        <f t="shared" si="17"/>
        <v>56.2</v>
      </c>
      <c r="E29" s="379">
        <v>1339.3050000000001</v>
      </c>
      <c r="F29" s="330">
        <f>SUM(F23:F28)</f>
        <v>-2192.6749999999997</v>
      </c>
      <c r="G29" s="481">
        <f t="shared" si="18"/>
        <v>-263.7</v>
      </c>
      <c r="H29" s="400">
        <v>-432.13200000000001</v>
      </c>
      <c r="I29" s="330">
        <f>SUM(I23:I28)</f>
        <v>-491.745</v>
      </c>
      <c r="J29" s="481">
        <f>IF(H29=0, "    ---- ", IF(ABS(ROUND(100/H29*I29-100,1))&lt;999,ROUND(100/H29*I29-100,1),IF(ROUND(100/H29*I29-100,1)&gt;999,999,-999)))</f>
        <v>13.8</v>
      </c>
      <c r="K29" s="400">
        <v>-111.9</v>
      </c>
      <c r="L29" s="330">
        <f>SUM(L23:L28)</f>
        <v>-172.4</v>
      </c>
      <c r="M29" s="481">
        <f t="shared" si="19"/>
        <v>54.1</v>
      </c>
      <c r="N29" s="400">
        <v>7</v>
      </c>
      <c r="O29" s="330">
        <f>SUM(O23:O28)</f>
        <v>1.0167539999999999</v>
      </c>
      <c r="P29" s="481"/>
      <c r="Q29" s="400">
        <v>4177.73856419</v>
      </c>
      <c r="R29" s="330">
        <f>SUM(R23:R28)</f>
        <v>-14555.55913351</v>
      </c>
      <c r="S29" s="481">
        <f t="shared" si="20"/>
        <v>-448.4</v>
      </c>
      <c r="T29" s="400">
        <v>6.2999999999999989</v>
      </c>
      <c r="U29" s="330">
        <f>SUM(U23:U28)</f>
        <v>-14.999999999999998</v>
      </c>
      <c r="V29" s="481">
        <f t="shared" si="5"/>
        <v>-338.1</v>
      </c>
      <c r="W29" s="400">
        <v>-87.6</v>
      </c>
      <c r="X29" s="330">
        <f>SUM(X23:X28)</f>
        <v>-821</v>
      </c>
      <c r="Y29" s="481">
        <f t="shared" si="21"/>
        <v>837.2</v>
      </c>
      <c r="Z29" s="400">
        <v>-268</v>
      </c>
      <c r="AA29" s="330">
        <f>SUM(AA23:AA28)</f>
        <v>-3533</v>
      </c>
      <c r="AB29" s="481">
        <f t="shared" si="22"/>
        <v>999</v>
      </c>
      <c r="AC29" s="400">
        <v>0</v>
      </c>
      <c r="AD29" s="330">
        <f>SUM(AD23:AD28)</f>
        <v>0</v>
      </c>
      <c r="AE29" s="481"/>
      <c r="AF29" s="561">
        <v>-35.895161480000098</v>
      </c>
      <c r="AG29" s="330">
        <v>-788.74546801000008</v>
      </c>
      <c r="AH29" s="481">
        <f t="shared" si="23"/>
        <v>999</v>
      </c>
      <c r="AI29" s="400">
        <v>607</v>
      </c>
      <c r="AJ29" s="330">
        <f>SUM(AJ23:AJ28)</f>
        <v>-2768.3</v>
      </c>
      <c r="AK29" s="481">
        <f t="shared" si="24"/>
        <v>-556.1</v>
      </c>
      <c r="AL29" s="481">
        <f t="shared" si="25"/>
        <v>5168.6114027100002</v>
      </c>
      <c r="AM29" s="481">
        <f t="shared" si="25"/>
        <v>-25379.36860152</v>
      </c>
      <c r="AN29" s="481">
        <f t="shared" si="11"/>
        <v>-591</v>
      </c>
      <c r="AO29" s="481"/>
      <c r="AP29" s="481"/>
      <c r="AQ29" s="481"/>
    </row>
    <row r="30" spans="1:43" s="457" customFormat="1" ht="18.75" customHeight="1" x14ac:dyDescent="0.3">
      <c r="A30" s="479" t="s">
        <v>317</v>
      </c>
      <c r="B30" s="400">
        <v>238.35499999999999</v>
      </c>
      <c r="C30" s="330">
        <v>-1395.953</v>
      </c>
      <c r="D30" s="481">
        <f>IF(B30=0, "    ---- ", IF(ABS(ROUND(100/B30*C30-100,1))&lt;999,ROUND(100/B30*C30-100,1),IF(ROUND(100/B30*C30-100,1)&gt;999,999,-999)))</f>
        <v>-685.7</v>
      </c>
      <c r="E30" s="400">
        <v>615.5</v>
      </c>
      <c r="F30" s="330">
        <v>-7787.4260000000004</v>
      </c>
      <c r="G30" s="481">
        <f>IF(E30=0, "    ---- ", IF(ABS(ROUND(100/E30*F30-100,1))&lt;999,ROUND(100/E30*F30-100,1),IF(ROUND(100/E30*F30-100,1)&gt;999,999,-999)))</f>
        <v>-999</v>
      </c>
      <c r="H30" s="400">
        <v>65.573999999999998</v>
      </c>
      <c r="I30" s="330">
        <v>-303.95600000000002</v>
      </c>
      <c r="J30" s="481"/>
      <c r="K30" s="400">
        <v>-102.6</v>
      </c>
      <c r="L30" s="330">
        <v>-2779.3</v>
      </c>
      <c r="M30" s="481">
        <f t="shared" si="19"/>
        <v>999</v>
      </c>
      <c r="N30" s="400"/>
      <c r="O30" s="330"/>
      <c r="P30" s="481"/>
      <c r="Q30" s="400">
        <v>-5.8303940000000001</v>
      </c>
      <c r="R30" s="330">
        <v>-3.5343149999999999</v>
      </c>
      <c r="S30" s="481">
        <f t="shared" si="20"/>
        <v>-39.4</v>
      </c>
      <c r="T30" s="400">
        <v>-128.6</v>
      </c>
      <c r="U30" s="330">
        <v>-557.1</v>
      </c>
      <c r="V30" s="481">
        <f t="shared" si="5"/>
        <v>333.2</v>
      </c>
      <c r="W30" s="400">
        <v>200.4</v>
      </c>
      <c r="X30" s="330">
        <v>-5932</v>
      </c>
      <c r="Y30" s="481">
        <f>IF(W30=0, "    ---- ", IF(ABS(ROUND(100/W30*X30-100,1))&lt;999,ROUND(100/W30*X30-100,1),IF(ROUND(100/W30*X30-100,1)&gt;999,999,-999)))</f>
        <v>-999</v>
      </c>
      <c r="Z30" s="400"/>
      <c r="AA30" s="330"/>
      <c r="AB30" s="481"/>
      <c r="AC30" s="400">
        <v>26</v>
      </c>
      <c r="AD30" s="330">
        <v>-160.34534092000001</v>
      </c>
      <c r="AE30" s="481">
        <f>IF(AC30=0, "    ---- ", IF(ABS(ROUND(100/AC30*AD30-100,1))&lt;999,ROUND(100/AC30*AD30-100,1),IF(ROUND(100/AC30*AD30-100,1)&gt;999,999,-999)))</f>
        <v>-716.7</v>
      </c>
      <c r="AF30" s="561">
        <v>-1202.4700605900002</v>
      </c>
      <c r="AG30" s="330">
        <v>-3173.6325099400005</v>
      </c>
      <c r="AH30" s="481">
        <f>IF(AF30=0, "    ---- ", IF(ABS(ROUND(100/AF30*AG30-100,1))&lt;999,ROUND(100/AF30*AG30-100,1),IF(ROUND(100/AF30*AG30-100,1)&gt;999,999,-999)))</f>
        <v>163.9</v>
      </c>
      <c r="AI30" s="400">
        <v>-407</v>
      </c>
      <c r="AJ30" s="330">
        <v>-6491</v>
      </c>
      <c r="AK30" s="481">
        <f>IF(AI30=0, "    ---- ", IF(ABS(ROUND(100/AI30*AJ30-100,1))&lt;999,ROUND(100/AI30*AJ30-100,1),IF(ROUND(100/AI30*AJ30-100,1)&gt;999,999,-999)))</f>
        <v>999</v>
      </c>
      <c r="AL30" s="481">
        <f t="shared" si="25"/>
        <v>-726.67145459000028</v>
      </c>
      <c r="AM30" s="481">
        <f t="shared" si="25"/>
        <v>-28423.901824940007</v>
      </c>
      <c r="AN30" s="481">
        <f t="shared" si="11"/>
        <v>999</v>
      </c>
      <c r="AO30" s="481"/>
      <c r="AP30" s="481"/>
      <c r="AQ30" s="481"/>
    </row>
    <row r="31" spans="1:43" s="457" customFormat="1" ht="18.75" customHeight="1" x14ac:dyDescent="0.3">
      <c r="A31" s="479" t="s">
        <v>318</v>
      </c>
      <c r="B31" s="400">
        <v>-1.8560000000000001</v>
      </c>
      <c r="C31" s="330">
        <v>0</v>
      </c>
      <c r="D31" s="481">
        <f>IF(B31=0, "    ---- ", IF(ABS(ROUND(100/B31*C31-100,1))&lt;999,ROUND(100/B31*C31-100,1),IF(ROUND(100/B31*C31-100,1)&gt;999,999,-999)))</f>
        <v>-100</v>
      </c>
      <c r="E31" s="400">
        <v>-719.36199999999997</v>
      </c>
      <c r="F31" s="330">
        <v>-470.07100000000003</v>
      </c>
      <c r="G31" s="481">
        <f>IF(E31=0, "    ---- ", IF(ABS(ROUND(100/E31*F31-100,1))&lt;999,ROUND(100/E31*F31-100,1),IF(ROUND(100/E31*F31-100,1)&gt;999,999,-999)))</f>
        <v>-34.700000000000003</v>
      </c>
      <c r="H31" s="400"/>
      <c r="I31" s="330"/>
      <c r="J31" s="481"/>
      <c r="K31" s="400">
        <v>-57</v>
      </c>
      <c r="L31" s="330">
        <v>-20.3</v>
      </c>
      <c r="M31" s="481">
        <f t="shared" si="19"/>
        <v>-64.400000000000006</v>
      </c>
      <c r="N31" s="400"/>
      <c r="O31" s="330"/>
      <c r="P31" s="481"/>
      <c r="Q31" s="400">
        <v>-2975.8521009999999</v>
      </c>
      <c r="R31" s="330">
        <v>-2169.1382319999998</v>
      </c>
      <c r="S31" s="481">
        <f>IF(Q31=0, "    ---- ", IF(ABS(ROUND(100/Q31*R31-100,1))&lt;999,ROUND(100/Q31*R31-100,1),IF(ROUND(100/Q31*R31-100,1)&gt;999,999,-999)))</f>
        <v>-27.1</v>
      </c>
      <c r="T31" s="400">
        <v>-10.9</v>
      </c>
      <c r="U31" s="330">
        <v>-4</v>
      </c>
      <c r="V31" s="481"/>
      <c r="W31" s="400">
        <v>-138</v>
      </c>
      <c r="X31" s="330">
        <v>-8</v>
      </c>
      <c r="Y31" s="481">
        <f>IF(W31=0, "    ---- ", IF(ABS(ROUND(100/W31*X31-100,1))&lt;999,ROUND(100/W31*X31-100,1),IF(ROUND(100/W31*X31-100,1)&gt;999,999,-999)))</f>
        <v>-94.2</v>
      </c>
      <c r="Z31" s="400">
        <v>-482</v>
      </c>
      <c r="AA31" s="330">
        <v>-50</v>
      </c>
      <c r="AB31" s="481">
        <f>IF(Z31=0, "    ---- ", IF(ABS(ROUND(100/Z31*AA31-100,1))&lt;999,ROUND(100/Z31*AA31-100,1),IF(ROUND(100/Z31*AA31-100,1)&gt;999,999,-999)))</f>
        <v>-89.6</v>
      </c>
      <c r="AC31" s="400"/>
      <c r="AD31" s="330"/>
      <c r="AE31" s="481"/>
      <c r="AF31" s="561">
        <v>-129.67287098</v>
      </c>
      <c r="AG31" s="330">
        <v>-8.28133856</v>
      </c>
      <c r="AH31" s="481">
        <f>IF(AF31=0, "    ---- ", IF(ABS(ROUND(100/AF31*AG31-100,1))&lt;999,ROUND(100/AF31*AG31-100,1),IF(ROUND(100/AF31*AG31-100,1)&gt;999,999,-999)))</f>
        <v>-93.6</v>
      </c>
      <c r="AI31" s="400">
        <v>-403</v>
      </c>
      <c r="AJ31" s="330">
        <v>-136</v>
      </c>
      <c r="AK31" s="481">
        <f>IF(AI31=0, "    ---- ", IF(ABS(ROUND(100/AI31*AJ31-100,1))&lt;999,ROUND(100/AI31*AJ31-100,1),IF(ROUND(100/AI31*AJ31-100,1)&gt;999,999,-999)))</f>
        <v>-66.3</v>
      </c>
      <c r="AL31" s="481">
        <f t="shared" si="25"/>
        <v>-4917.6429719799999</v>
      </c>
      <c r="AM31" s="481">
        <f t="shared" si="25"/>
        <v>-2865.7905705600001</v>
      </c>
      <c r="AN31" s="481">
        <f t="shared" si="11"/>
        <v>-41.7</v>
      </c>
      <c r="AO31" s="481"/>
      <c r="AP31" s="481"/>
      <c r="AQ31" s="481"/>
    </row>
    <row r="32" spans="1:43" s="457" customFormat="1" ht="18.75" customHeight="1" x14ac:dyDescent="0.3">
      <c r="A32" s="479" t="s">
        <v>319</v>
      </c>
      <c r="B32" s="400">
        <v>-54.707999999999998</v>
      </c>
      <c r="C32" s="330">
        <v>-51.517000000000003</v>
      </c>
      <c r="D32" s="481">
        <f>IF(B32=0, "    ---- ", IF(ABS(ROUND(100/B32*C32-100,1))&lt;999,ROUND(100/B32*C32-100,1),IF(ROUND(100/B32*C32-100,1)&gt;999,999,-999)))</f>
        <v>-5.8</v>
      </c>
      <c r="E32" s="400">
        <v>-313.029</v>
      </c>
      <c r="F32" s="330">
        <v>-302.44799999999998</v>
      </c>
      <c r="G32" s="481">
        <f>IF(E32=0, "    ---- ", IF(ABS(ROUND(100/E32*F32-100,1))&lt;999,ROUND(100/E32*F32-100,1),IF(ROUND(100/E32*F32-100,1)&gt;999,999,-999)))</f>
        <v>-3.4</v>
      </c>
      <c r="H32" s="400">
        <v>-64.822000000000003</v>
      </c>
      <c r="I32" s="330">
        <v>-66.055000000000007</v>
      </c>
      <c r="J32" s="481">
        <f>IF(H32=0, "    ---- ", IF(ABS(ROUND(100/H32*I32-100,1))&lt;999,ROUND(100/H32*I32-100,1),IF(ROUND(100/H32*I32-100,1)&gt;999,999,-999)))</f>
        <v>1.9</v>
      </c>
      <c r="K32" s="400">
        <v>-59.8</v>
      </c>
      <c r="L32" s="330">
        <v>-63</v>
      </c>
      <c r="M32" s="481">
        <f>IF(K32=0, "    ---- ", IF(ABS(ROUND(100/K32*L32-100,1))&lt;999,ROUND(100/K32*L32-100,1),IF(ROUND(100/K32*L32-100,1)&gt;999,999,-999)))</f>
        <v>5.4</v>
      </c>
      <c r="N32" s="400">
        <v>-4</v>
      </c>
      <c r="O32" s="330">
        <v>-2.93510647</v>
      </c>
      <c r="P32" s="481">
        <f>IF(N32=0, "    ---- ", IF(ABS(ROUND(100/N32*O32-100,1))&lt;999,ROUND(100/N32*O32-100,1),IF(ROUND(100/N32*O32-100,1)&gt;999,999,-999)))</f>
        <v>-26.6</v>
      </c>
      <c r="Q32" s="400">
        <v>-256.00247483999999</v>
      </c>
      <c r="R32" s="330">
        <v>-267.38172422000002</v>
      </c>
      <c r="S32" s="481">
        <f>IF(Q32=0, "    ---- ", IF(ABS(ROUND(100/Q32*R32-100,1))&lt;999,ROUND(100/Q32*R32-100,1),IF(ROUND(100/Q32*R32-100,1)&gt;999,999,-999)))</f>
        <v>4.4000000000000004</v>
      </c>
      <c r="T32" s="400">
        <v>-17.7</v>
      </c>
      <c r="U32" s="330">
        <v>-17.100000000000001</v>
      </c>
      <c r="V32" s="481">
        <f>IF(T32=0, "    ---- ", IF(ABS(ROUND(100/T32*U32-100,1))&lt;999,ROUND(100/T32*U32-100,1),IF(ROUND(100/T32*U32-100,1)&gt;999,999,-999)))</f>
        <v>-3.4</v>
      </c>
      <c r="W32" s="400">
        <v>-166</v>
      </c>
      <c r="X32" s="330">
        <v>-161.39999999999998</v>
      </c>
      <c r="Y32" s="481">
        <f>IF(W32=0, "    ---- ", IF(ABS(ROUND(100/W32*X32-100,1))&lt;999,ROUND(100/W32*X32-100,1),IF(ROUND(100/W32*X32-100,1)&gt;999,999,-999)))</f>
        <v>-2.8</v>
      </c>
      <c r="Z32" s="400"/>
      <c r="AA32" s="330"/>
      <c r="AB32" s="481" t="str">
        <f>IF(Z32=0, "    ---- ", IF(ABS(ROUND(100/Z32*AA32-100,1))&lt;999,ROUND(100/Z32*AA32-100,1),IF(ROUND(100/Z32*AA32-100,1)&gt;999,999,-999)))</f>
        <v xml:space="preserve">    ---- </v>
      </c>
      <c r="AC32" s="400"/>
      <c r="AD32" s="483">
        <v>1</v>
      </c>
      <c r="AE32" s="481" t="str">
        <f>IF(AC32=0, "    ---- ", IF(ABS(ROUND(100/AC32*AD32-100,1))&lt;999,ROUND(100/AC32*AD32-100,1),IF(ROUND(100/AC32*AD32-100,1)&gt;999,999,-999)))</f>
        <v xml:space="preserve">    ---- </v>
      </c>
      <c r="AF32" s="561">
        <v>-261.02587715200008</v>
      </c>
      <c r="AG32" s="330">
        <v>-269.55611616160019</v>
      </c>
      <c r="AH32" s="481">
        <f>IF(AF32=0, "    ---- ", IF(ABS(ROUND(100/AF32*AG32-100,1))&lt;999,ROUND(100/AF32*AG32-100,1),IF(ROUND(100/AF32*AG32-100,1)&gt;999,999,-999)))</f>
        <v>3.3</v>
      </c>
      <c r="AI32" s="400">
        <v>-349</v>
      </c>
      <c r="AJ32" s="330">
        <v>-343.4</v>
      </c>
      <c r="AK32" s="481">
        <f>IF(AI32=0, "    ---- ", IF(ABS(ROUND(100/AI32*AJ32-100,1))&lt;999,ROUND(100/AI32*AJ32-100,1),IF(ROUND(100/AI32*AJ32-100,1)&gt;999,999,-999)))</f>
        <v>-1.6</v>
      </c>
      <c r="AL32" s="481">
        <f t="shared" si="25"/>
        <v>-1542.0873519920001</v>
      </c>
      <c r="AM32" s="481">
        <f t="shared" si="25"/>
        <v>-1541.8578403816</v>
      </c>
      <c r="AN32" s="481">
        <f t="shared" si="11"/>
        <v>0</v>
      </c>
      <c r="AO32" s="481"/>
      <c r="AP32" s="481"/>
      <c r="AQ32" s="481"/>
    </row>
    <row r="33" spans="1:43" s="497" customFormat="1" ht="18.75" customHeight="1" x14ac:dyDescent="0.3">
      <c r="A33" s="479" t="s">
        <v>320</v>
      </c>
      <c r="B33" s="391"/>
      <c r="C33" s="389"/>
      <c r="D33" s="485"/>
      <c r="E33" s="391">
        <v>-0.60699999999999998</v>
      </c>
      <c r="F33" s="389">
        <v>-14.997</v>
      </c>
      <c r="G33" s="485">
        <f>IF(E33=0, "    ---- ", IF(ABS(ROUND(100/E33*F33-100,1))&lt;999,ROUND(100/E33*F33-100,1),IF(ROUND(100/E33*F33-100,1)&gt;999,999,-999)))</f>
        <v>999</v>
      </c>
      <c r="H33" s="391"/>
      <c r="I33" s="389"/>
      <c r="J33" s="485"/>
      <c r="K33" s="391"/>
      <c r="L33" s="389"/>
      <c r="M33" s="485"/>
      <c r="N33" s="391"/>
      <c r="O33" s="389"/>
      <c r="P33" s="485"/>
      <c r="Q33" s="391">
        <v>-255.71471700000001</v>
      </c>
      <c r="R33" s="389">
        <v>-276.45621</v>
      </c>
      <c r="S33" s="485">
        <f>IF(Q33=0, "    ---- ", IF(ABS(ROUND(100/Q33*R33-100,1))&lt;999,ROUND(100/Q33*R33-100,1),IF(ROUND(100/Q33*R33-100,1)&gt;999,999,-999)))</f>
        <v>8.1</v>
      </c>
      <c r="T33" s="391">
        <v>-0.7</v>
      </c>
      <c r="U33" s="389">
        <v>-1.5</v>
      </c>
      <c r="V33" s="485">
        <f>IF(T33=0, "    ---- ", IF(ABS(ROUND(100/T33*U33-100,1))&lt;999,ROUND(100/T33*U33-100,1),IF(ROUND(100/T33*U33-100,1)&gt;999,999,-999)))</f>
        <v>114.3</v>
      </c>
      <c r="W33" s="391">
        <v>-2.6680023400000001</v>
      </c>
      <c r="X33" s="389">
        <v>-6.4</v>
      </c>
      <c r="Y33" s="485">
        <f>IF(W33=0, "    ---- ", IF(ABS(ROUND(100/W33*X33-100,1))&lt;999,ROUND(100/W33*X33-100,1),IF(ROUND(100/W33*X33-100,1)&gt;999,999,-999)))</f>
        <v>139.9</v>
      </c>
      <c r="Z33" s="391">
        <v>-43</v>
      </c>
      <c r="AA33" s="389">
        <v>-41</v>
      </c>
      <c r="AB33" s="485"/>
      <c r="AC33" s="391"/>
      <c r="AD33" s="389"/>
      <c r="AE33" s="485"/>
      <c r="AF33" s="562">
        <v>-1.8225845900000002</v>
      </c>
      <c r="AG33" s="389">
        <v>-2.0629559</v>
      </c>
      <c r="AH33" s="485">
        <f>IF(AF33=0, "    ---- ", IF(ABS(ROUND(100/AF33*AG33-100,1))&lt;999,ROUND(100/AF33*AG33-100,1),IF(ROUND(100/AF33*AG33-100,1)&gt;999,999,-999)))</f>
        <v>13.2</v>
      </c>
      <c r="AI33" s="391">
        <v>-47</v>
      </c>
      <c r="AJ33" s="389">
        <v>-65.400000000000006</v>
      </c>
      <c r="AK33" s="485">
        <f>IF(AI33=0, "    ---- ", IF(ABS(ROUND(100/AI33*AJ33-100,1))&lt;999,ROUND(100/AI33*AJ33-100,1),IF(ROUND(100/AI33*AJ33-100,1)&gt;999,999,-999)))</f>
        <v>39.1</v>
      </c>
      <c r="AL33" s="481">
        <f t="shared" si="25"/>
        <v>-351.51230393000003</v>
      </c>
      <c r="AM33" s="481">
        <f t="shared" si="25"/>
        <v>-407.81616589999999</v>
      </c>
      <c r="AN33" s="485">
        <f t="shared" si="11"/>
        <v>16</v>
      </c>
      <c r="AO33" s="485"/>
      <c r="AP33" s="485"/>
      <c r="AQ33" s="485"/>
    </row>
    <row r="34" spans="1:43" s="500" customFormat="1" ht="18.75" customHeight="1" x14ac:dyDescent="0.3">
      <c r="A34" s="498" t="s">
        <v>321</v>
      </c>
      <c r="B34" s="582">
        <v>15.470000000000141</v>
      </c>
      <c r="C34" s="554">
        <f>SUM(C14+C15+C16+C17+C21+C29+C30+C31+C32+C33)</f>
        <v>9.5870000000000388</v>
      </c>
      <c r="D34" s="499">
        <f>IF(B34=0, "    ---- ", IF(ABS(ROUND(100/B34*C34-100,1))&lt;999,ROUND(100/B34*C34-100,1),IF(ROUND(100/B34*C34-100,1)&gt;999,999,-999)))</f>
        <v>-38</v>
      </c>
      <c r="E34" s="599">
        <v>270.98499999999996</v>
      </c>
      <c r="F34" s="554">
        <f>SUM(F14+F15+F16+F17+F21+F29+F30+F31+F32+F33)</f>
        <v>216.685</v>
      </c>
      <c r="G34" s="499">
        <f>IF(E34=0, "    ---- ", IF(ABS(ROUND(100/E34*F34-100,1))&lt;999,ROUND(100/E34*F34-100,1),IF(ROUND(100/E34*F34-100,1)&gt;999,999,-999)))</f>
        <v>-20</v>
      </c>
      <c r="H34" s="582">
        <v>17.887000000000043</v>
      </c>
      <c r="I34" s="554">
        <f>SUM(I14+I15+I16+I17+I21+I29+I30+I31+I32+I33)</f>
        <v>27.767999999999859</v>
      </c>
      <c r="J34" s="499">
        <f>IF(H34=0, "    ---- ", IF(ABS(ROUND(100/H34*I34-100,1))&lt;999,ROUND(100/H34*I34-100,1),IF(ROUND(100/H34*I34-100,1)&gt;999,999,-999)))</f>
        <v>55.2</v>
      </c>
      <c r="K34" s="582">
        <v>32.000000000000071</v>
      </c>
      <c r="L34" s="554">
        <f>SUM(L14+L15+L16+L17+L21+L29+L30+L31+L32+L33)</f>
        <v>51.999999999999275</v>
      </c>
      <c r="M34" s="499">
        <f>IF(K34=0, "    ---- ", IF(ABS(ROUND(100/K34*L34-100,1))&lt;999,ROUND(100/K34*L34-100,1),IF(ROUND(100/K34*L34-100,1)&gt;999,999,-999)))</f>
        <v>62.5</v>
      </c>
      <c r="N34" s="582">
        <v>10</v>
      </c>
      <c r="O34" s="554">
        <f>SUM(O14+O15+O16+O17+O21+O29+O30+O31+O32+O33)</f>
        <v>4.2658548799999991</v>
      </c>
      <c r="P34" s="499">
        <f>IF(N34=0, "    ---- ", IF(ABS(ROUND(100/N34*O34-100,1))&lt;999,ROUND(100/N34*O34-100,1),IF(ROUND(100/N34*O34-100,1)&gt;999,999,-999)))</f>
        <v>-57.3</v>
      </c>
      <c r="Q34" s="582">
        <v>363.96473194000004</v>
      </c>
      <c r="R34" s="554">
        <f>SUM(R14+R15+R16+R17+R21+R29+R30+R31+R32+R33)</f>
        <v>405.55006473999407</v>
      </c>
      <c r="S34" s="499">
        <f>IF(Q34=0, "    ---- ", IF(ABS(ROUND(100/Q34*R34-100,1))&lt;999,ROUND(100/Q34*R34-100,1),IF(ROUND(100/Q34*R34-100,1)&gt;999,999,-999)))</f>
        <v>11.4</v>
      </c>
      <c r="T34" s="582">
        <v>-8.8999999999999932</v>
      </c>
      <c r="U34" s="554">
        <f>SUM(U14+U15+U16+U17+U21+U29+U30+U31+U32+U33)</f>
        <v>-6.6000000000001151</v>
      </c>
      <c r="V34" s="499">
        <f>IF(T34=0, "    ---- ", IF(ABS(ROUND(100/T34*U34-100,1))&lt;999,ROUND(100/T34*U34-100,1),IF(ROUND(100/T34*U34-100,1)&gt;999,999,-999)))</f>
        <v>-25.8</v>
      </c>
      <c r="W34" s="582">
        <v>136.53199766000034</v>
      </c>
      <c r="X34" s="554">
        <f>SUM(X14+X15+X16+X17+X21+X29+X30+X31+X32+X33)</f>
        <v>63.200000000000024</v>
      </c>
      <c r="Y34" s="499">
        <f>IF(W34=0, "    ---- ", IF(ABS(ROUND(100/W34*X34-100,1))&lt;999,ROUND(100/W34*X34-100,1),IF(ROUND(100/W34*X34-100,1)&gt;999,999,-999)))</f>
        <v>-53.7</v>
      </c>
      <c r="Z34" s="582">
        <v>123.59999999999991</v>
      </c>
      <c r="AA34" s="554">
        <f>SUM(AA14+AA15+AA16+AA17+AA21+AA29+AA30+AA31+AA32+AA33)</f>
        <v>-181</v>
      </c>
      <c r="AB34" s="499">
        <f>IF(Z34=0, "    ---- ", IF(ABS(ROUND(100/Z34*AA34-100,1))&lt;999,ROUND(100/Z34*AA34-100,1),IF(ROUND(100/Z34*AA34-100,1)&gt;999,999,-999)))</f>
        <v>-246.4</v>
      </c>
      <c r="AC34" s="582">
        <v>2</v>
      </c>
      <c r="AD34" s="554">
        <f>SUM(AD14+AD15+AD16+AD17+AD21+AD29+AD30+AD31+AD32+AD33)</f>
        <v>3.4798669599999812</v>
      </c>
      <c r="AE34" s="499">
        <f>IF(AC34=0, "    ---- ", IF(ABS(ROUND(100/AC34*AD34-100,1))&lt;999,ROUND(100/AC34*AD34-100,1),IF(ROUND(100/AC34*AD34-100,1)&gt;999,999,-999)))</f>
        <v>74</v>
      </c>
      <c r="AF34" s="563">
        <v>133.74307053799893</v>
      </c>
      <c r="AG34" s="554">
        <v>71.585100108400255</v>
      </c>
      <c r="AH34" s="499">
        <f>IF(AF34=0, "    ---- ", IF(ABS(ROUND(100/AF34*AG34-100,1))&lt;999,ROUND(100/AF34*AG34-100,1),IF(ROUND(100/AF34*AG34-100,1)&gt;999,999,-999)))</f>
        <v>-46.5</v>
      </c>
      <c r="AI34" s="582">
        <v>384</v>
      </c>
      <c r="AJ34" s="554">
        <f>SUM(AJ14+AJ15+AJ16+AJ17+AJ21+AJ29+AJ30+AJ31+AJ32+AJ33)</f>
        <v>131.89999999999984</v>
      </c>
      <c r="AK34" s="499">
        <f>IF(AI34=0, "    ---- ", IF(ABS(ROUND(100/AI34*AJ34-100,1))&lt;999,ROUND(100/AI34*AJ34-100,1),IF(ROUND(100/AI34*AJ34-100,1)&gt;999,999,-999)))</f>
        <v>-65.7</v>
      </c>
      <c r="AL34" s="499">
        <f>B34+E34+H34+K34+Q34+T34+W34+Z34+AF34+AI34</f>
        <v>1469.2818001379994</v>
      </c>
      <c r="AM34" s="499">
        <f>C34+F34+I34+L34+R34+U34+X34+AA34+AG34+AJ34</f>
        <v>790.67516484839336</v>
      </c>
      <c r="AN34" s="499">
        <f t="shared" si="11"/>
        <v>-46.2</v>
      </c>
      <c r="AO34" s="499"/>
      <c r="AP34" s="499"/>
      <c r="AQ34" s="499"/>
    </row>
    <row r="35" spans="1:43" s="500" customFormat="1" ht="18.75" customHeight="1" x14ac:dyDescent="0.3">
      <c r="A35" s="501"/>
      <c r="B35" s="502"/>
      <c r="C35" s="503"/>
      <c r="D35" s="504"/>
      <c r="E35" s="502"/>
      <c r="F35" s="503"/>
      <c r="G35" s="504"/>
      <c r="H35" s="502"/>
      <c r="I35" s="503"/>
      <c r="J35" s="504"/>
      <c r="K35" s="502"/>
      <c r="L35" s="503"/>
      <c r="M35" s="504"/>
      <c r="N35" s="502"/>
      <c r="O35" s="503"/>
      <c r="P35" s="504"/>
      <c r="Q35" s="502"/>
      <c r="R35" s="503"/>
      <c r="S35" s="504"/>
      <c r="T35" s="502"/>
      <c r="U35" s="503"/>
      <c r="V35" s="504"/>
      <c r="W35" s="502"/>
      <c r="X35" s="503"/>
      <c r="Y35" s="504"/>
      <c r="Z35" s="502"/>
      <c r="AA35" s="503"/>
      <c r="AB35" s="504"/>
      <c r="AC35" s="502"/>
      <c r="AD35" s="503"/>
      <c r="AE35" s="504"/>
      <c r="AF35" s="502"/>
      <c r="AG35" s="503"/>
      <c r="AH35" s="505"/>
      <c r="AI35" s="502"/>
      <c r="AJ35" s="503"/>
      <c r="AK35" s="505"/>
      <c r="AL35" s="505"/>
      <c r="AM35" s="505"/>
      <c r="AN35" s="505"/>
      <c r="AO35" s="506"/>
      <c r="AP35" s="507"/>
      <c r="AQ35" s="508"/>
    </row>
    <row r="36" spans="1:43" s="500" customFormat="1" ht="18.75" customHeight="1" x14ac:dyDescent="0.3">
      <c r="A36" s="471" t="s">
        <v>322</v>
      </c>
      <c r="B36" s="502"/>
      <c r="C36" s="503"/>
      <c r="D36" s="504"/>
      <c r="E36" s="502"/>
      <c r="F36" s="503"/>
      <c r="G36" s="504"/>
      <c r="H36" s="502"/>
      <c r="I36" s="503"/>
      <c r="J36" s="504"/>
      <c r="K36" s="502"/>
      <c r="L36" s="503"/>
      <c r="M36" s="504"/>
      <c r="N36" s="502"/>
      <c r="O36" s="503"/>
      <c r="P36" s="504"/>
      <c r="Q36" s="502"/>
      <c r="R36" s="503"/>
      <c r="S36" s="504"/>
      <c r="T36" s="502"/>
      <c r="U36" s="503"/>
      <c r="V36" s="504"/>
      <c r="W36" s="502"/>
      <c r="X36" s="503"/>
      <c r="Y36" s="504"/>
      <c r="Z36" s="502"/>
      <c r="AA36" s="503"/>
      <c r="AB36" s="504"/>
      <c r="AC36" s="502"/>
      <c r="AD36" s="503"/>
      <c r="AE36" s="504"/>
      <c r="AF36" s="502"/>
      <c r="AG36" s="503"/>
      <c r="AH36" s="504"/>
      <c r="AI36" s="502"/>
      <c r="AJ36" s="503"/>
      <c r="AK36" s="504"/>
      <c r="AL36" s="504"/>
      <c r="AM36" s="504"/>
      <c r="AN36" s="504"/>
      <c r="AO36" s="509"/>
      <c r="AP36" s="510"/>
      <c r="AQ36" s="511"/>
    </row>
    <row r="37" spans="1:43" s="513" customFormat="1" ht="18.75" customHeight="1" x14ac:dyDescent="0.3">
      <c r="A37" s="479" t="s">
        <v>323</v>
      </c>
      <c r="B37" s="482">
        <v>0.47399999999999998</v>
      </c>
      <c r="C37" s="483">
        <v>2.1680000000000001</v>
      </c>
      <c r="D37" s="481">
        <f t="shared" ref="D37:D43" si="26">IF(B37=0, "    ---- ", IF(ABS(ROUND(100/B37*C37-100,1))&lt;999,ROUND(100/B37*C37-100,1),IF(ROUND(100/B37*C37-100,1)&gt;999,999,-999)))</f>
        <v>357.4</v>
      </c>
      <c r="E37" s="482">
        <v>144.97300000000001</v>
      </c>
      <c r="F37" s="483">
        <v>349.37</v>
      </c>
      <c r="G37" s="481">
        <f t="shared" ref="G37:G44" si="27">IF(E37=0, "    ---- ", IF(ABS(ROUND(100/E37*F37-100,1))&lt;999,ROUND(100/E37*F37-100,1),IF(ROUND(100/E37*F37-100,1)&gt;999,999,-999)))</f>
        <v>141</v>
      </c>
      <c r="H37" s="482">
        <v>0.85699999999999998</v>
      </c>
      <c r="I37" s="483">
        <v>3.7250000000000001</v>
      </c>
      <c r="J37" s="481">
        <f t="shared" ref="J37:J43" si="28">IF(H37=0, "    ---- ", IF(ABS(ROUND(100/H37*I37-100,1))&lt;999,ROUND(100/H37*I37-100,1),IF(ROUND(100/H37*I37-100,1)&gt;999,999,-999)))</f>
        <v>334.7</v>
      </c>
      <c r="K37" s="482">
        <v>2.6</v>
      </c>
      <c r="L37" s="483">
        <v>4.4000000000000004</v>
      </c>
      <c r="M37" s="481">
        <f t="shared" ref="M37:M44" si="29">IF(K37=0, "    ---- ", IF(ABS(ROUND(100/K37*L37-100,1))&lt;999,ROUND(100/K37*L37-100,1),IF(ROUND(100/K37*L37-100,1)&gt;999,999,-999)))</f>
        <v>69.2</v>
      </c>
      <c r="N37" s="482">
        <v>1</v>
      </c>
      <c r="O37" s="483">
        <v>0.48208643000000001</v>
      </c>
      <c r="P37" s="481">
        <f t="shared" ref="P37:P43" si="30">IF(N37=0, "    ---- ", IF(ABS(ROUND(100/N37*O37-100,1))&lt;999,ROUND(100/N37*O37-100,1),IF(ROUND(100/N37*O37-100,1)&gt;999,999,-999)))</f>
        <v>-51.8</v>
      </c>
      <c r="Q37" s="482">
        <v>525.57141158000002</v>
      </c>
      <c r="R37" s="483">
        <v>487.76300175</v>
      </c>
      <c r="S37" s="481">
        <f t="shared" ref="S37:S44" si="31">IF(Q37=0, "    ---- ", IF(ABS(ROUND(100/Q37*R37-100,1))&lt;999,ROUND(100/Q37*R37-100,1),IF(ROUND(100/Q37*R37-100,1)&gt;999,999,-999)))</f>
        <v>-7.2</v>
      </c>
      <c r="T37" s="482">
        <v>0.1</v>
      </c>
      <c r="U37" s="483">
        <v>4.9000000000000004</v>
      </c>
      <c r="V37" s="481">
        <f t="shared" ref="V37:V44" si="32">IF(T37=0, "    ---- ", IF(ABS(ROUND(100/T37*U37-100,1))&lt;999,ROUND(100/T37*U37-100,1),IF(ROUND(100/T37*U37-100,1)&gt;999,999,-999)))</f>
        <v>999</v>
      </c>
      <c r="W37" s="482">
        <v>-2.2000000000000002</v>
      </c>
      <c r="X37" s="483">
        <v>25</v>
      </c>
      <c r="Y37" s="481">
        <f t="shared" ref="Y37:Y44" si="33">IF(W37=0, "    ---- ", IF(ABS(ROUND(100/W37*X37-100,1))&lt;999,ROUND(100/W37*X37-100,1),IF(ROUND(100/W37*X37-100,1)&gt;999,999,-999)))</f>
        <v>-999</v>
      </c>
      <c r="Z37" s="482">
        <v>37</v>
      </c>
      <c r="AA37" s="483">
        <v>216</v>
      </c>
      <c r="AB37" s="481">
        <f t="shared" ref="AB37:AB43" si="34">IF(Z37=0, "    ---- ", IF(ABS(ROUND(100/Z37*AA37-100,1))&lt;999,ROUND(100/Z37*AA37-100,1),IF(ROUND(100/Z37*AA37-100,1)&gt;999,999,-999)))</f>
        <v>483.8</v>
      </c>
      <c r="AC37" s="482"/>
      <c r="AD37" s="483"/>
      <c r="AE37" s="481"/>
      <c r="AF37" s="482">
        <v>9.5184683700000008</v>
      </c>
      <c r="AG37" s="483">
        <v>58.01875932999998</v>
      </c>
      <c r="AH37" s="481">
        <f t="shared" ref="AH37:AH44" si="35">IF(AF37=0, "    ---- ", IF(ABS(ROUND(100/AF37*AG37-100,1))&lt;999,ROUND(100/AF37*AG37-100,1),IF(ROUND(100/AF37*AG37-100,1)&gt;999,999,-999)))</f>
        <v>509.5</v>
      </c>
      <c r="AI37" s="482">
        <v>24</v>
      </c>
      <c r="AJ37" s="483">
        <v>189</v>
      </c>
      <c r="AK37" s="481">
        <f t="shared" ref="AK37:AK44" si="36">IF(AI37=0, "    ---- ", IF(ABS(ROUND(100/AI37*AJ37-100,1))&lt;999,ROUND(100/AI37*AJ37-100,1),IF(ROUND(100/AI37*AJ37-100,1)&gt;999,999,-999)))</f>
        <v>687.5</v>
      </c>
      <c r="AL37" s="481">
        <f>B37+E37+H37+K37+Q37+T37+W37+Z37+AF37+AI37</f>
        <v>742.89387995000004</v>
      </c>
      <c r="AM37" s="481">
        <f>C37+F37+I37+L37+R37+U37+X37+AA37+AG37+AJ37</f>
        <v>1340.3447610800001</v>
      </c>
      <c r="AN37" s="481">
        <f t="shared" si="11"/>
        <v>80.400000000000006</v>
      </c>
      <c r="AO37" s="484"/>
      <c r="AP37" s="512"/>
      <c r="AQ37" s="486"/>
    </row>
    <row r="38" spans="1:43" s="513" customFormat="1" ht="18.75" customHeight="1" x14ac:dyDescent="0.3">
      <c r="A38" s="479" t="s">
        <v>324</v>
      </c>
      <c r="B38" s="482"/>
      <c r="C38" s="483"/>
      <c r="D38" s="481"/>
      <c r="E38" s="482">
        <v>3.74</v>
      </c>
      <c r="F38" s="483">
        <v>2.91</v>
      </c>
      <c r="G38" s="481">
        <f t="shared" si="27"/>
        <v>-22.2</v>
      </c>
      <c r="H38" s="482">
        <v>1.0999999999999999E-2</v>
      </c>
      <c r="I38" s="483">
        <v>1.4E-2</v>
      </c>
      <c r="J38" s="481">
        <f t="shared" si="28"/>
        <v>27.3</v>
      </c>
      <c r="K38" s="482"/>
      <c r="L38" s="483"/>
      <c r="M38" s="481" t="str">
        <f t="shared" si="29"/>
        <v xml:space="preserve">    ---- </v>
      </c>
      <c r="N38" s="482"/>
      <c r="O38" s="483"/>
      <c r="P38" s="481"/>
      <c r="Q38" s="482">
        <v>1.39101151</v>
      </c>
      <c r="R38" s="483">
        <v>2.8994321899999997</v>
      </c>
      <c r="S38" s="481">
        <f t="shared" si="31"/>
        <v>108.4</v>
      </c>
      <c r="T38" s="482">
        <v>0.4</v>
      </c>
      <c r="U38" s="483">
        <v>1.1000000000000001</v>
      </c>
      <c r="V38" s="481">
        <f t="shared" si="32"/>
        <v>175</v>
      </c>
      <c r="W38" s="482">
        <v>6</v>
      </c>
      <c r="X38" s="483">
        <v>4</v>
      </c>
      <c r="Y38" s="481">
        <f t="shared" si="33"/>
        <v>-33.299999999999997</v>
      </c>
      <c r="Z38" s="482">
        <v>2</v>
      </c>
      <c r="AA38" s="483">
        <v>1</v>
      </c>
      <c r="AB38" s="481">
        <f t="shared" si="34"/>
        <v>-50</v>
      </c>
      <c r="AC38" s="482"/>
      <c r="AD38" s="483"/>
      <c r="AE38" s="481"/>
      <c r="AF38" s="482">
        <v>0.57530197999999999</v>
      </c>
      <c r="AG38" s="483">
        <v>1.03757736</v>
      </c>
      <c r="AH38" s="481">
        <f t="shared" si="35"/>
        <v>80.400000000000006</v>
      </c>
      <c r="AI38" s="482">
        <v>145</v>
      </c>
      <c r="AJ38" s="483">
        <v>4.5999999999999996</v>
      </c>
      <c r="AK38" s="481">
        <f t="shared" si="36"/>
        <v>-96.8</v>
      </c>
      <c r="AL38" s="481">
        <f t="shared" ref="AL38:AM39" si="37">B38+E38+H38+K38+Q38+T38+W38+Z38+AF38+AI38</f>
        <v>159.11731349000002</v>
      </c>
      <c r="AM38" s="481">
        <f t="shared" si="37"/>
        <v>17.561009550000001</v>
      </c>
      <c r="AN38" s="481">
        <f t="shared" si="11"/>
        <v>-89</v>
      </c>
      <c r="AO38" s="481"/>
      <c r="AP38" s="514"/>
      <c r="AQ38" s="481"/>
    </row>
    <row r="39" spans="1:43" s="513" customFormat="1" ht="18.75" customHeight="1" x14ac:dyDescent="0.3">
      <c r="A39" s="479" t="s">
        <v>325</v>
      </c>
      <c r="B39" s="482"/>
      <c r="C39" s="483"/>
      <c r="D39" s="481"/>
      <c r="E39" s="482">
        <v>-48.399000000000001</v>
      </c>
      <c r="F39" s="483">
        <v>-77.441000000000003</v>
      </c>
      <c r="G39" s="481">
        <f t="shared" si="27"/>
        <v>60</v>
      </c>
      <c r="H39" s="482"/>
      <c r="I39" s="483"/>
      <c r="J39" s="481" t="str">
        <f t="shared" si="28"/>
        <v xml:space="preserve">    ---- </v>
      </c>
      <c r="K39" s="482">
        <v>-2.8</v>
      </c>
      <c r="L39" s="483">
        <v>-3.2</v>
      </c>
      <c r="M39" s="481">
        <f t="shared" si="29"/>
        <v>14.3</v>
      </c>
      <c r="N39" s="482"/>
      <c r="O39" s="483"/>
      <c r="P39" s="481"/>
      <c r="Q39" s="482">
        <v>-79.413520810000009</v>
      </c>
      <c r="R39" s="483">
        <v>-88.393525790000012</v>
      </c>
      <c r="S39" s="481">
        <f t="shared" si="31"/>
        <v>11.3</v>
      </c>
      <c r="T39" s="482">
        <v>-0.1</v>
      </c>
      <c r="U39" s="483">
        <v>-0.2</v>
      </c>
      <c r="V39" s="481">
        <f t="shared" si="32"/>
        <v>100</v>
      </c>
      <c r="W39" s="482">
        <v>-22.4</v>
      </c>
      <c r="X39" s="483">
        <v>-25</v>
      </c>
      <c r="Y39" s="481">
        <f t="shared" si="33"/>
        <v>11.6</v>
      </c>
      <c r="Z39" s="482">
        <v>-23</v>
      </c>
      <c r="AA39" s="483">
        <v>-25</v>
      </c>
      <c r="AB39" s="481">
        <f t="shared" si="34"/>
        <v>8.6999999999999993</v>
      </c>
      <c r="AC39" s="482"/>
      <c r="AD39" s="483"/>
      <c r="AE39" s="481"/>
      <c r="AF39" s="482">
        <v>-12.249250347999999</v>
      </c>
      <c r="AG39" s="483">
        <v>-13.050463758399999</v>
      </c>
      <c r="AH39" s="481">
        <f t="shared" si="35"/>
        <v>6.5</v>
      </c>
      <c r="AI39" s="482">
        <v>-8</v>
      </c>
      <c r="AJ39" s="483">
        <v>-101.4</v>
      </c>
      <c r="AK39" s="481">
        <f t="shared" si="36"/>
        <v>999</v>
      </c>
      <c r="AL39" s="481">
        <f t="shared" si="37"/>
        <v>-196.36177115800001</v>
      </c>
      <c r="AM39" s="481">
        <f t="shared" si="37"/>
        <v>-333.68498954840004</v>
      </c>
      <c r="AN39" s="481">
        <f t="shared" si="11"/>
        <v>69.900000000000006</v>
      </c>
      <c r="AO39" s="481"/>
      <c r="AP39" s="514"/>
      <c r="AQ39" s="481"/>
    </row>
    <row r="40" spans="1:43" s="516" customFormat="1" ht="18.75" customHeight="1" x14ac:dyDescent="0.3">
      <c r="A40" s="501" t="s">
        <v>326</v>
      </c>
      <c r="B40" s="502">
        <v>0.47399999999999998</v>
      </c>
      <c r="C40" s="503">
        <f>SUM(C37:C39)</f>
        <v>2.1680000000000001</v>
      </c>
      <c r="D40" s="504">
        <f t="shared" si="26"/>
        <v>357.4</v>
      </c>
      <c r="E40" s="502">
        <v>100.31400000000002</v>
      </c>
      <c r="F40" s="503">
        <f>SUM(F37:F39)</f>
        <v>274.83900000000006</v>
      </c>
      <c r="G40" s="504">
        <f t="shared" si="27"/>
        <v>174</v>
      </c>
      <c r="H40" s="502">
        <v>0.86799999999999999</v>
      </c>
      <c r="I40" s="503">
        <f>SUM(I37:I39)</f>
        <v>3.7389999999999999</v>
      </c>
      <c r="J40" s="504">
        <f t="shared" si="28"/>
        <v>330.8</v>
      </c>
      <c r="K40" s="502">
        <v>-0.19999999999999973</v>
      </c>
      <c r="L40" s="503">
        <f>SUM(L37:L39)</f>
        <v>1.2000000000000002</v>
      </c>
      <c r="M40" s="504">
        <f t="shared" si="29"/>
        <v>-700</v>
      </c>
      <c r="N40" s="502">
        <v>1</v>
      </c>
      <c r="O40" s="503">
        <f>SUM(O37:O39)</f>
        <v>0.48208643000000001</v>
      </c>
      <c r="P40" s="504">
        <f t="shared" si="30"/>
        <v>-51.8</v>
      </c>
      <c r="Q40" s="502">
        <v>447.54890227999999</v>
      </c>
      <c r="R40" s="503">
        <f>SUM(R37:R39)</f>
        <v>402.26890815000002</v>
      </c>
      <c r="S40" s="504">
        <f t="shared" si="31"/>
        <v>-10.1</v>
      </c>
      <c r="T40" s="502">
        <v>0.4</v>
      </c>
      <c r="U40" s="503">
        <f>SUM(U37:U39)</f>
        <v>5.8</v>
      </c>
      <c r="V40" s="504">
        <f t="shared" si="32"/>
        <v>999</v>
      </c>
      <c r="W40" s="502">
        <v>-18.599999999999998</v>
      </c>
      <c r="X40" s="503">
        <f>SUM(X37:X39)</f>
        <v>4</v>
      </c>
      <c r="Y40" s="504">
        <f t="shared" si="33"/>
        <v>-121.5</v>
      </c>
      <c r="Z40" s="502">
        <v>16</v>
      </c>
      <c r="AA40" s="503">
        <f>SUM(AA37:AA39)</f>
        <v>192</v>
      </c>
      <c r="AB40" s="504">
        <f t="shared" si="34"/>
        <v>999</v>
      </c>
      <c r="AC40" s="502">
        <v>0</v>
      </c>
      <c r="AD40" s="503">
        <f>SUM(AD37:AD39)</f>
        <v>0</v>
      </c>
      <c r="AE40" s="504"/>
      <c r="AF40" s="502">
        <v>-2.155479997999997</v>
      </c>
      <c r="AG40" s="503">
        <v>46.005872931599981</v>
      </c>
      <c r="AH40" s="504">
        <f t="shared" si="35"/>
        <v>-999</v>
      </c>
      <c r="AI40" s="502">
        <v>161</v>
      </c>
      <c r="AJ40" s="503">
        <f>SUM(AJ37:AJ39)</f>
        <v>92.199999999999989</v>
      </c>
      <c r="AK40" s="504">
        <f t="shared" si="36"/>
        <v>-42.7</v>
      </c>
      <c r="AL40" s="504">
        <f t="shared" ref="AL40:AM45" si="38">B40+E40+H40+K40+Q40+T40+W40+Z40+AF40+AI40</f>
        <v>705.64942228199993</v>
      </c>
      <c r="AM40" s="504">
        <f t="shared" si="38"/>
        <v>1024.2207810816001</v>
      </c>
      <c r="AN40" s="504">
        <f t="shared" si="11"/>
        <v>45.1</v>
      </c>
      <c r="AO40" s="504"/>
      <c r="AP40" s="515"/>
      <c r="AQ40" s="504"/>
    </row>
    <row r="41" spans="1:43" s="516" customFormat="1" ht="18.75" customHeight="1" x14ac:dyDescent="0.3">
      <c r="A41" s="501" t="s">
        <v>327</v>
      </c>
      <c r="B41" s="502">
        <v>15.944000000000141</v>
      </c>
      <c r="C41" s="503">
        <f>C34+C40</f>
        <v>11.755000000000038</v>
      </c>
      <c r="D41" s="504">
        <f t="shared" si="26"/>
        <v>-26.3</v>
      </c>
      <c r="E41" s="502">
        <v>371.29899999999998</v>
      </c>
      <c r="F41" s="503">
        <f>F34+F40</f>
        <v>491.52400000000006</v>
      </c>
      <c r="G41" s="504">
        <f t="shared" si="27"/>
        <v>32.4</v>
      </c>
      <c r="H41" s="502">
        <v>18.755000000000042</v>
      </c>
      <c r="I41" s="503">
        <f>I34+I40</f>
        <v>31.506999999999859</v>
      </c>
      <c r="J41" s="504">
        <f t="shared" si="28"/>
        <v>68</v>
      </c>
      <c r="K41" s="502">
        <v>31.800000000000072</v>
      </c>
      <c r="L41" s="503">
        <f>L34+L40</f>
        <v>53.199999999999278</v>
      </c>
      <c r="M41" s="504">
        <f t="shared" si="29"/>
        <v>67.3</v>
      </c>
      <c r="N41" s="502">
        <v>11</v>
      </c>
      <c r="O41" s="503">
        <f>O34+O40</f>
        <v>4.747941309999999</v>
      </c>
      <c r="P41" s="504">
        <f t="shared" si="30"/>
        <v>-56.8</v>
      </c>
      <c r="Q41" s="502">
        <v>811.51363422000009</v>
      </c>
      <c r="R41" s="503">
        <f>R34+R40</f>
        <v>807.81897288999403</v>
      </c>
      <c r="S41" s="504">
        <f t="shared" si="31"/>
        <v>-0.5</v>
      </c>
      <c r="T41" s="502">
        <v>-8.4999999999999929</v>
      </c>
      <c r="U41" s="503">
        <f>U34+U40</f>
        <v>-0.80000000000011529</v>
      </c>
      <c r="V41" s="504">
        <f t="shared" si="32"/>
        <v>-90.6</v>
      </c>
      <c r="W41" s="502">
        <v>117.93199766000035</v>
      </c>
      <c r="X41" s="503">
        <f>X34+X40</f>
        <v>67.200000000000017</v>
      </c>
      <c r="Y41" s="504">
        <f t="shared" si="33"/>
        <v>-43</v>
      </c>
      <c r="Z41" s="502">
        <v>139.59999999999991</v>
      </c>
      <c r="AA41" s="503">
        <f>AA34+AA40</f>
        <v>11</v>
      </c>
      <c r="AB41" s="504">
        <f t="shared" si="34"/>
        <v>-92.1</v>
      </c>
      <c r="AC41" s="502">
        <v>2</v>
      </c>
      <c r="AD41" s="503">
        <f>AD34+AD40</f>
        <v>3.4798669599999812</v>
      </c>
      <c r="AE41" s="504">
        <f>IF(AC41=0, "    ---- ", IF(ABS(ROUND(100/AC41*AD41-100,1))&lt;999,ROUND(100/AC41*AD41-100,1),IF(ROUND(100/AC41*AD41-100,1)&gt;999,999,-999)))</f>
        <v>74</v>
      </c>
      <c r="AF41" s="502">
        <v>131.58759053999893</v>
      </c>
      <c r="AG41" s="503">
        <v>117.59097304000024</v>
      </c>
      <c r="AH41" s="504">
        <f t="shared" si="35"/>
        <v>-10.6</v>
      </c>
      <c r="AI41" s="502">
        <v>545</v>
      </c>
      <c r="AJ41" s="503">
        <f>AJ34+AJ40</f>
        <v>224.09999999999982</v>
      </c>
      <c r="AK41" s="504">
        <f t="shared" si="36"/>
        <v>-58.9</v>
      </c>
      <c r="AL41" s="504">
        <f t="shared" si="38"/>
        <v>2174.9312224199994</v>
      </c>
      <c r="AM41" s="504">
        <f t="shared" si="38"/>
        <v>1814.8959459299933</v>
      </c>
      <c r="AN41" s="504">
        <f t="shared" si="11"/>
        <v>-16.600000000000001</v>
      </c>
      <c r="AO41" s="504"/>
      <c r="AP41" s="515"/>
      <c r="AQ41" s="504"/>
    </row>
    <row r="42" spans="1:43" s="513" customFormat="1" ht="18.75" customHeight="1" x14ac:dyDescent="0.3">
      <c r="A42" s="479" t="s">
        <v>328</v>
      </c>
      <c r="B42" s="482">
        <v>-3.9860000000000002</v>
      </c>
      <c r="C42" s="483">
        <v>-3.0760000000000001</v>
      </c>
      <c r="D42" s="481">
        <f t="shared" si="26"/>
        <v>-22.8</v>
      </c>
      <c r="E42" s="482">
        <v>-51.564</v>
      </c>
      <c r="F42" s="483">
        <v>-111.65300000000001</v>
      </c>
      <c r="G42" s="481">
        <f t="shared" si="27"/>
        <v>116.5</v>
      </c>
      <c r="H42" s="482">
        <v>-5.5090000000000003</v>
      </c>
      <c r="I42" s="483">
        <v>-5.2050000000000001</v>
      </c>
      <c r="J42" s="481">
        <f t="shared" si="28"/>
        <v>-5.5</v>
      </c>
      <c r="K42" s="482">
        <v>-8</v>
      </c>
      <c r="L42" s="483">
        <v>-13.3</v>
      </c>
      <c r="M42" s="481">
        <f t="shared" si="29"/>
        <v>66.3</v>
      </c>
      <c r="N42" s="482"/>
      <c r="O42" s="483">
        <v>-1.238748</v>
      </c>
      <c r="P42" s="481" t="str">
        <f t="shared" si="30"/>
        <v xml:space="preserve">    ---- </v>
      </c>
      <c r="Q42" s="482">
        <v>-157.30547899999999</v>
      </c>
      <c r="R42" s="483">
        <v>-146.26507047499999</v>
      </c>
      <c r="S42" s="481"/>
      <c r="T42" s="482"/>
      <c r="U42" s="483"/>
      <c r="V42" s="481"/>
      <c r="W42" s="482"/>
      <c r="X42" s="483">
        <v>-17</v>
      </c>
      <c r="Y42" s="481" t="str">
        <f t="shared" si="33"/>
        <v xml:space="preserve">    ---- </v>
      </c>
      <c r="Z42" s="482">
        <v>-35</v>
      </c>
      <c r="AA42" s="483"/>
      <c r="AB42" s="481">
        <f t="shared" si="34"/>
        <v>-100</v>
      </c>
      <c r="AC42" s="482"/>
      <c r="AD42" s="483">
        <v>-0.79453200000000002</v>
      </c>
      <c r="AE42" s="481"/>
      <c r="AF42" s="482">
        <v>-49.554861019999997</v>
      </c>
      <c r="AG42" s="483">
        <v>-26.206990000000001</v>
      </c>
      <c r="AH42" s="481">
        <f t="shared" si="35"/>
        <v>-47.1</v>
      </c>
      <c r="AI42" s="482">
        <v>-94</v>
      </c>
      <c r="AJ42" s="483">
        <v>-58</v>
      </c>
      <c r="AK42" s="481">
        <f t="shared" si="36"/>
        <v>-38.299999999999997</v>
      </c>
      <c r="AL42" s="481">
        <f t="shared" si="38"/>
        <v>-404.91934001999994</v>
      </c>
      <c r="AM42" s="481">
        <f t="shared" si="38"/>
        <v>-380.70606047500002</v>
      </c>
      <c r="AN42" s="481">
        <f t="shared" si="11"/>
        <v>-6</v>
      </c>
      <c r="AO42" s="481"/>
      <c r="AP42" s="514"/>
      <c r="AQ42" s="481"/>
    </row>
    <row r="43" spans="1:43" s="516" customFormat="1" ht="18.75" customHeight="1" x14ac:dyDescent="0.3">
      <c r="A43" s="501" t="s">
        <v>329</v>
      </c>
      <c r="B43" s="502">
        <v>11.958000000000141</v>
      </c>
      <c r="C43" s="503">
        <f>C41+C42</f>
        <v>8.6790000000000376</v>
      </c>
      <c r="D43" s="504">
        <f t="shared" si="26"/>
        <v>-27.4</v>
      </c>
      <c r="E43" s="502">
        <v>319.73499999999996</v>
      </c>
      <c r="F43" s="503">
        <f>F41+F42</f>
        <v>379.87100000000004</v>
      </c>
      <c r="G43" s="504">
        <f t="shared" si="27"/>
        <v>18.8</v>
      </c>
      <c r="H43" s="502">
        <v>13.246000000000041</v>
      </c>
      <c r="I43" s="503">
        <f>I41+I42</f>
        <v>26.301999999999857</v>
      </c>
      <c r="J43" s="504">
        <f t="shared" si="28"/>
        <v>98.6</v>
      </c>
      <c r="K43" s="502">
        <v>23.800000000000072</v>
      </c>
      <c r="L43" s="503">
        <f>L41+L42</f>
        <v>39.899999999999281</v>
      </c>
      <c r="M43" s="504">
        <f t="shared" si="29"/>
        <v>67.599999999999994</v>
      </c>
      <c r="N43" s="502">
        <v>11</v>
      </c>
      <c r="O43" s="503">
        <f>O41+O42</f>
        <v>3.5091933099999988</v>
      </c>
      <c r="P43" s="504">
        <f t="shared" si="30"/>
        <v>-68.099999999999994</v>
      </c>
      <c r="Q43" s="502">
        <v>654.20815522000009</v>
      </c>
      <c r="R43" s="503">
        <f>R41+R42</f>
        <v>661.55390241499401</v>
      </c>
      <c r="S43" s="504">
        <f t="shared" si="31"/>
        <v>1.1000000000000001</v>
      </c>
      <c r="T43" s="502">
        <v>-8.4999999999999929</v>
      </c>
      <c r="U43" s="503">
        <f>U41+U42</f>
        <v>-0.80000000000011529</v>
      </c>
      <c r="V43" s="504">
        <f t="shared" si="32"/>
        <v>-90.6</v>
      </c>
      <c r="W43" s="502">
        <v>117.93199766000035</v>
      </c>
      <c r="X43" s="503">
        <f>X41+X42</f>
        <v>50.200000000000017</v>
      </c>
      <c r="Y43" s="504">
        <f t="shared" si="33"/>
        <v>-57.4</v>
      </c>
      <c r="Z43" s="502">
        <v>104.59999999999991</v>
      </c>
      <c r="AA43" s="503">
        <f>AA41+AA42</f>
        <v>11</v>
      </c>
      <c r="AB43" s="504">
        <f t="shared" si="34"/>
        <v>-89.5</v>
      </c>
      <c r="AC43" s="502">
        <v>2</v>
      </c>
      <c r="AD43" s="503">
        <f>AD41+AD42</f>
        <v>2.685334959999981</v>
      </c>
      <c r="AE43" s="504">
        <f>IF(AC43=0, "    ---- ", IF(ABS(ROUND(100/AC43*AD43-100,1))&lt;999,ROUND(100/AC43*AD43-100,1),IF(ROUND(100/AC43*AD43-100,1)&gt;999,999,-999)))</f>
        <v>34.299999999999997</v>
      </c>
      <c r="AF43" s="502">
        <v>82.032729519998924</v>
      </c>
      <c r="AG43" s="503">
        <v>91.383983040000231</v>
      </c>
      <c r="AH43" s="504">
        <f t="shared" si="35"/>
        <v>11.4</v>
      </c>
      <c r="AI43" s="502">
        <v>451</v>
      </c>
      <c r="AJ43" s="503">
        <f>AJ41+AJ42</f>
        <v>166.09999999999982</v>
      </c>
      <c r="AK43" s="504">
        <f t="shared" si="36"/>
        <v>-63.2</v>
      </c>
      <c r="AL43" s="504">
        <f t="shared" si="38"/>
        <v>1770.0118823999994</v>
      </c>
      <c r="AM43" s="504">
        <f t="shared" si="38"/>
        <v>1434.1898854549931</v>
      </c>
      <c r="AN43" s="504">
        <f t="shared" si="11"/>
        <v>-19</v>
      </c>
      <c r="AO43" s="504"/>
      <c r="AP43" s="515"/>
      <c r="AQ43" s="504"/>
    </row>
    <row r="44" spans="1:43" s="513" customFormat="1" ht="18.75" customHeight="1" x14ac:dyDescent="0.3">
      <c r="A44" s="479" t="s">
        <v>330</v>
      </c>
      <c r="B44" s="482"/>
      <c r="C44" s="483"/>
      <c r="D44" s="481"/>
      <c r="E44" s="482"/>
      <c r="F44" s="483"/>
      <c r="G44" s="481" t="str">
        <f t="shared" si="27"/>
        <v xml:space="preserve">    ---- </v>
      </c>
      <c r="H44" s="482"/>
      <c r="I44" s="483"/>
      <c r="J44" s="481"/>
      <c r="K44" s="482"/>
      <c r="L44" s="483"/>
      <c r="M44" s="481" t="str">
        <f t="shared" si="29"/>
        <v xml:space="preserve">    ---- </v>
      </c>
      <c r="N44" s="482">
        <v>-3</v>
      </c>
      <c r="O44" s="483"/>
      <c r="P44" s="481"/>
      <c r="Q44" s="482"/>
      <c r="R44" s="483">
        <v>-44.931177424999994</v>
      </c>
      <c r="S44" s="481" t="str">
        <f t="shared" si="31"/>
        <v xml:space="preserve">    ---- </v>
      </c>
      <c r="T44" s="482"/>
      <c r="U44" s="483">
        <v>-0.7</v>
      </c>
      <c r="V44" s="481" t="str">
        <f t="shared" si="32"/>
        <v xml:space="preserve">    ---- </v>
      </c>
      <c r="W44" s="482"/>
      <c r="X44" s="483">
        <v>-8.5</v>
      </c>
      <c r="Y44" s="481" t="str">
        <f t="shared" si="33"/>
        <v xml:space="preserve">    ---- </v>
      </c>
      <c r="Z44" s="482"/>
      <c r="AA44" s="483"/>
      <c r="AB44" s="481"/>
      <c r="AC44" s="482"/>
      <c r="AD44" s="483"/>
      <c r="AE44" s="481"/>
      <c r="AF44" s="482"/>
      <c r="AG44" s="483"/>
      <c r="AH44" s="481" t="str">
        <f t="shared" si="35"/>
        <v xml:space="preserve">    ---- </v>
      </c>
      <c r="AI44" s="482">
        <v>-20</v>
      </c>
      <c r="AJ44" s="483">
        <v>-21</v>
      </c>
      <c r="AK44" s="481">
        <f t="shared" si="36"/>
        <v>5</v>
      </c>
      <c r="AL44" s="481">
        <f t="shared" si="38"/>
        <v>-20</v>
      </c>
      <c r="AM44" s="481">
        <f t="shared" si="38"/>
        <v>-75.131177425000004</v>
      </c>
      <c r="AN44" s="481">
        <f t="shared" si="11"/>
        <v>275.7</v>
      </c>
      <c r="AO44" s="481"/>
      <c r="AP44" s="514"/>
      <c r="AQ44" s="481"/>
    </row>
    <row r="45" spans="1:43" s="516" customFormat="1" ht="18.75" customHeight="1" x14ac:dyDescent="0.3">
      <c r="A45" s="498" t="s">
        <v>331</v>
      </c>
      <c r="B45" s="517">
        <v>11.958000000000141</v>
      </c>
      <c r="C45" s="518">
        <f>C43+C44</f>
        <v>8.6790000000000376</v>
      </c>
      <c r="D45" s="499">
        <f>IF(B45=0, "    ---- ", IF(ABS(ROUND(100/B45*C45-100,1))&lt;999,ROUND(100/B45*C45-100,1),IF(ROUND(100/B45*C45-100,1)&gt;999,999,-999)))</f>
        <v>-27.4</v>
      </c>
      <c r="E45" s="599">
        <v>319.73499999999996</v>
      </c>
      <c r="F45" s="518">
        <f>F43+F44</f>
        <v>379.87100000000004</v>
      </c>
      <c r="G45" s="499">
        <f>IF(E45=0, "    ---- ", IF(ABS(ROUND(100/E45*F45-100,1))&lt;999,ROUND(100/E45*F45-100,1),IF(ROUND(100/E45*F45-100,1)&gt;999,999,-999)))</f>
        <v>18.8</v>
      </c>
      <c r="H45" s="517">
        <v>13.246000000000041</v>
      </c>
      <c r="I45" s="518">
        <f>I43+I44</f>
        <v>26.301999999999857</v>
      </c>
      <c r="J45" s="499">
        <f>IF(H45=0, "    ---- ", IF(ABS(ROUND(100/H45*I45-100,1))&lt;999,ROUND(100/H45*I45-100,1),IF(ROUND(100/H45*I45-100,1)&gt;999,999,-999)))</f>
        <v>98.6</v>
      </c>
      <c r="K45" s="517">
        <v>23.800000000000072</v>
      </c>
      <c r="L45" s="518">
        <f>L43+L44</f>
        <v>39.899999999999281</v>
      </c>
      <c r="M45" s="499">
        <f>IF(K45=0, "    ---- ", IF(ABS(ROUND(100/K45*L45-100,1))&lt;999,ROUND(100/K45*L45-100,1),IF(ROUND(100/K45*L45-100,1)&gt;999,999,-999)))</f>
        <v>67.599999999999994</v>
      </c>
      <c r="N45" s="517">
        <v>8</v>
      </c>
      <c r="O45" s="518">
        <f>O43+O44</f>
        <v>3.5091933099999988</v>
      </c>
      <c r="P45" s="499">
        <f>IF(N45=0, "    ---- ", IF(ABS(ROUND(100/N45*O45-100,1))&lt;999,ROUND(100/N45*O45-100,1),IF(ROUND(100/N45*O45-100,1)&gt;999,999,-999)))</f>
        <v>-56.1</v>
      </c>
      <c r="Q45" s="517">
        <v>654.20815522000009</v>
      </c>
      <c r="R45" s="518">
        <f>R43+R44</f>
        <v>616.62272498999403</v>
      </c>
      <c r="S45" s="499">
        <f>IF(Q45=0, "    ---- ", IF(ABS(ROUND(100/Q45*R45-100,1))&lt;999,ROUND(100/Q45*R45-100,1),IF(ROUND(100/Q45*R45-100,1)&gt;999,999,-999)))</f>
        <v>-5.7</v>
      </c>
      <c r="T45" s="517">
        <v>-8.4999999999999929</v>
      </c>
      <c r="U45" s="518">
        <f>U43+U44</f>
        <v>-1.5000000000001152</v>
      </c>
      <c r="V45" s="499">
        <f>IF(T45=0, "    ---- ", IF(ABS(ROUND(100/T45*U45-100,1))&lt;999,ROUND(100/T45*U45-100,1),IF(ROUND(100/T45*U45-100,1)&gt;999,999,-999)))</f>
        <v>-82.4</v>
      </c>
      <c r="W45" s="517">
        <v>117.93199766000035</v>
      </c>
      <c r="X45" s="518">
        <f>X43+X44</f>
        <v>41.700000000000017</v>
      </c>
      <c r="Y45" s="499">
        <f>IF(W45=0, "    ---- ", IF(ABS(ROUND(100/W45*X45-100,1))&lt;999,ROUND(100/W45*X45-100,1),IF(ROUND(100/W45*X45-100,1)&gt;999,999,-999)))</f>
        <v>-64.599999999999994</v>
      </c>
      <c r="Z45" s="517">
        <v>104.59999999999991</v>
      </c>
      <c r="AA45" s="518">
        <f>AA43+AA44</f>
        <v>11</v>
      </c>
      <c r="AB45" s="499">
        <f>IF(Z45=0, "    ---- ", IF(ABS(ROUND(100/Z45*AA45-100,1))&lt;999,ROUND(100/Z45*AA45-100,1),IF(ROUND(100/Z45*AA45-100,1)&gt;999,999,-999)))</f>
        <v>-89.5</v>
      </c>
      <c r="AC45" s="517">
        <v>2</v>
      </c>
      <c r="AD45" s="518">
        <f>AD43+AD44</f>
        <v>2.685334959999981</v>
      </c>
      <c r="AE45" s="499">
        <f>IF(AC45=0, "    ---- ", IF(ABS(ROUND(100/AC45*AD45-100,1))&lt;999,ROUND(100/AC45*AD45-100,1),IF(ROUND(100/AC45*AD45-100,1)&gt;999,999,-999)))</f>
        <v>34.299999999999997</v>
      </c>
      <c r="AF45" s="517">
        <v>82.032729519998924</v>
      </c>
      <c r="AG45" s="518">
        <v>91.383983040000231</v>
      </c>
      <c r="AH45" s="499">
        <f>IF(AF45=0, "    ---- ", IF(ABS(ROUND(100/AF45*AG45-100,1))&lt;999,ROUND(100/AF45*AG45-100,1),IF(ROUND(100/AF45*AG45-100,1)&gt;999,999,-999)))</f>
        <v>11.4</v>
      </c>
      <c r="AI45" s="517">
        <v>431</v>
      </c>
      <c r="AJ45" s="518">
        <f>AJ43+AJ44</f>
        <v>145.09999999999982</v>
      </c>
      <c r="AK45" s="499">
        <f>IF(AI45=0, "    ---- ", IF(ABS(ROUND(100/AI45*AJ45-100,1))&lt;999,ROUND(100/AI45*AJ45-100,1),IF(ROUND(100/AI45*AJ45-100,1)&gt;999,999,-999)))</f>
        <v>-66.3</v>
      </c>
      <c r="AL45" s="499">
        <f t="shared" si="38"/>
        <v>1750.0118823999994</v>
      </c>
      <c r="AM45" s="499">
        <f t="shared" si="38"/>
        <v>1359.0587080299931</v>
      </c>
      <c r="AN45" s="499">
        <f t="shared" si="11"/>
        <v>-22.3</v>
      </c>
      <c r="AO45" s="519"/>
      <c r="AP45" s="520"/>
      <c r="AQ45" s="521"/>
    </row>
    <row r="46" spans="1:43" s="516" customFormat="1" ht="18.75" customHeight="1" x14ac:dyDescent="0.3">
      <c r="A46" s="522"/>
      <c r="B46" s="523"/>
      <c r="C46" s="524"/>
      <c r="D46" s="525"/>
      <c r="E46" s="523"/>
      <c r="F46" s="524"/>
      <c r="G46" s="505"/>
      <c r="H46" s="523"/>
      <c r="I46" s="524"/>
      <c r="J46" s="505"/>
      <c r="K46" s="523"/>
      <c r="L46" s="524"/>
      <c r="M46" s="525"/>
      <c r="N46" s="523"/>
      <c r="O46" s="524"/>
      <c r="P46" s="505"/>
      <c r="Q46" s="523"/>
      <c r="R46" s="524"/>
      <c r="S46" s="505"/>
      <c r="T46" s="523"/>
      <c r="U46" s="524"/>
      <c r="V46" s="505"/>
      <c r="W46" s="523"/>
      <c r="X46" s="524"/>
      <c r="Y46" s="505"/>
      <c r="Z46" s="523"/>
      <c r="AA46" s="524"/>
      <c r="AB46" s="505"/>
      <c r="AC46" s="523"/>
      <c r="AD46" s="524"/>
      <c r="AE46" s="505"/>
      <c r="AF46" s="564"/>
      <c r="AG46" s="524"/>
      <c r="AH46" s="505"/>
      <c r="AI46" s="523"/>
      <c r="AJ46" s="524"/>
      <c r="AK46" s="505"/>
      <c r="AL46" s="525"/>
      <c r="AM46" s="525"/>
      <c r="AN46" s="505"/>
      <c r="AO46" s="526"/>
      <c r="AP46" s="526"/>
      <c r="AQ46" s="527"/>
    </row>
    <row r="47" spans="1:43" s="528" customFormat="1" ht="18.75" customHeight="1" x14ac:dyDescent="0.3">
      <c r="A47" s="551" t="s">
        <v>332</v>
      </c>
      <c r="B47" s="583"/>
      <c r="C47" s="584"/>
      <c r="D47" s="551"/>
      <c r="E47" s="583"/>
      <c r="F47" s="584"/>
      <c r="G47" s="551"/>
      <c r="H47" s="583"/>
      <c r="I47" s="584"/>
      <c r="J47" s="551"/>
      <c r="K47" s="583"/>
      <c r="L47" s="584"/>
      <c r="M47" s="551"/>
      <c r="N47" s="583"/>
      <c r="O47" s="584"/>
      <c r="P47" s="551"/>
      <c r="Q47" s="583"/>
      <c r="R47" s="584"/>
      <c r="S47" s="551"/>
      <c r="T47" s="583"/>
      <c r="U47" s="584"/>
      <c r="V47" s="551"/>
      <c r="W47" s="583"/>
      <c r="X47" s="584"/>
      <c r="Y47" s="551"/>
      <c r="Z47" s="583"/>
      <c r="AA47" s="584"/>
      <c r="AB47" s="551"/>
      <c r="AC47" s="583"/>
      <c r="AD47" s="584"/>
      <c r="AE47" s="551"/>
      <c r="AF47" s="551"/>
      <c r="AG47" s="551"/>
      <c r="AH47" s="551"/>
      <c r="AI47" s="583"/>
      <c r="AJ47" s="584"/>
      <c r="AK47" s="551"/>
      <c r="AL47" s="551"/>
      <c r="AM47" s="551"/>
      <c r="AN47" s="551"/>
      <c r="AO47" s="551"/>
      <c r="AP47" s="551"/>
      <c r="AQ47" s="551"/>
    </row>
    <row r="48" spans="1:43" s="529" customFormat="1" ht="18.75" customHeight="1" x14ac:dyDescent="0.3">
      <c r="A48" s="551" t="s">
        <v>333</v>
      </c>
      <c r="B48" s="583"/>
      <c r="C48" s="584"/>
      <c r="D48" s="551"/>
      <c r="E48" s="583"/>
      <c r="F48" s="584"/>
      <c r="G48" s="551"/>
      <c r="H48" s="583"/>
      <c r="I48" s="584"/>
      <c r="J48" s="551"/>
      <c r="K48" s="583"/>
      <c r="L48" s="584"/>
      <c r="M48" s="551"/>
      <c r="N48" s="583"/>
      <c r="O48" s="584"/>
      <c r="P48" s="551"/>
      <c r="Q48" s="583"/>
      <c r="R48" s="584"/>
      <c r="S48" s="551"/>
      <c r="T48" s="583"/>
      <c r="U48" s="584"/>
      <c r="V48" s="551"/>
      <c r="W48" s="583"/>
      <c r="X48" s="584"/>
      <c r="Y48" s="551"/>
      <c r="Z48" s="583"/>
      <c r="AA48" s="584"/>
      <c r="AB48" s="551"/>
      <c r="AC48" s="583"/>
      <c r="AD48" s="584"/>
      <c r="AE48" s="551"/>
      <c r="AF48" s="551"/>
      <c r="AG48" s="551"/>
      <c r="AH48" s="551"/>
      <c r="AI48" s="583"/>
      <c r="AJ48" s="584"/>
      <c r="AK48" s="551"/>
      <c r="AL48" s="551"/>
      <c r="AM48" s="551"/>
      <c r="AN48" s="551"/>
      <c r="AO48" s="551"/>
      <c r="AP48" s="551"/>
      <c r="AQ48" s="551"/>
    </row>
    <row r="49" spans="1:43" s="529" customFormat="1" ht="18.75" customHeight="1" x14ac:dyDescent="0.3">
      <c r="A49" s="551" t="s">
        <v>334</v>
      </c>
      <c r="B49" s="583"/>
      <c r="C49" s="584"/>
      <c r="D49" s="551"/>
      <c r="E49" s="583"/>
      <c r="F49" s="584"/>
      <c r="G49" s="551"/>
      <c r="H49" s="583"/>
      <c r="I49" s="584"/>
      <c r="J49" s="551"/>
      <c r="K49" s="583"/>
      <c r="L49" s="584"/>
      <c r="M49" s="551"/>
      <c r="N49" s="583"/>
      <c r="O49" s="584"/>
      <c r="P49" s="551"/>
      <c r="Q49" s="583"/>
      <c r="R49" s="584"/>
      <c r="S49" s="551"/>
      <c r="T49" s="583"/>
      <c r="U49" s="584"/>
      <c r="V49" s="551"/>
      <c r="W49" s="583"/>
      <c r="X49" s="584"/>
      <c r="Y49" s="551"/>
      <c r="Z49" s="583"/>
      <c r="AA49" s="584"/>
      <c r="AB49" s="551"/>
      <c r="AC49" s="583"/>
      <c r="AD49" s="584"/>
      <c r="AE49" s="551"/>
      <c r="AF49" s="551"/>
      <c r="AG49" s="551"/>
      <c r="AH49" s="551"/>
      <c r="AI49" s="583"/>
      <c r="AJ49" s="584"/>
      <c r="AK49" s="551"/>
      <c r="AL49" s="551"/>
      <c r="AM49" s="551"/>
      <c r="AN49" s="551"/>
      <c r="AO49" s="551"/>
      <c r="AP49" s="551"/>
      <c r="AQ49" s="551"/>
    </row>
    <row r="50" spans="1:43" s="529" customFormat="1" ht="18.75" customHeight="1" x14ac:dyDescent="0.3">
      <c r="A50" s="551" t="s">
        <v>335</v>
      </c>
      <c r="B50" s="583"/>
      <c r="C50" s="584"/>
      <c r="D50" s="551"/>
      <c r="E50" s="583"/>
      <c r="F50" s="584"/>
      <c r="G50" s="551"/>
      <c r="H50" s="583"/>
      <c r="I50" s="584"/>
      <c r="J50" s="551"/>
      <c r="K50" s="583"/>
      <c r="L50" s="584"/>
      <c r="M50" s="551"/>
      <c r="N50" s="583"/>
      <c r="O50" s="584"/>
      <c r="P50" s="551"/>
      <c r="Q50" s="583"/>
      <c r="R50" s="584"/>
      <c r="S50" s="551"/>
      <c r="T50" s="583"/>
      <c r="U50" s="584"/>
      <c r="V50" s="551"/>
      <c r="W50" s="583"/>
      <c r="X50" s="584"/>
      <c r="Y50" s="551"/>
      <c r="Z50" s="583"/>
      <c r="AA50" s="584"/>
      <c r="AB50" s="551"/>
      <c r="AC50" s="583"/>
      <c r="AD50" s="584"/>
      <c r="AE50" s="551"/>
      <c r="AF50" s="551"/>
      <c r="AG50" s="551"/>
      <c r="AH50" s="551"/>
      <c r="AI50" s="583"/>
      <c r="AJ50" s="584"/>
      <c r="AK50" s="551"/>
      <c r="AL50" s="551"/>
      <c r="AM50" s="551"/>
      <c r="AN50" s="551"/>
      <c r="AO50" s="551"/>
      <c r="AP50" s="551"/>
      <c r="AQ50" s="551"/>
    </row>
    <row r="51" spans="1:43" s="529" customFormat="1" ht="18.75" customHeight="1" x14ac:dyDescent="0.3">
      <c r="A51" s="551" t="s">
        <v>336</v>
      </c>
      <c r="B51" s="583"/>
      <c r="C51" s="584"/>
      <c r="D51" s="551"/>
      <c r="E51" s="583"/>
      <c r="F51" s="584"/>
      <c r="G51" s="551"/>
      <c r="H51" s="583"/>
      <c r="I51" s="584"/>
      <c r="J51" s="551"/>
      <c r="K51" s="583"/>
      <c r="L51" s="584"/>
      <c r="M51" s="551"/>
      <c r="N51" s="583"/>
      <c r="O51" s="584"/>
      <c r="P51" s="551"/>
      <c r="Q51" s="583"/>
      <c r="R51" s="584"/>
      <c r="S51" s="551"/>
      <c r="T51" s="583"/>
      <c r="U51" s="584"/>
      <c r="V51" s="551"/>
      <c r="W51" s="583"/>
      <c r="X51" s="584"/>
      <c r="Y51" s="551"/>
      <c r="Z51" s="583"/>
      <c r="AA51" s="584"/>
      <c r="AB51" s="551"/>
      <c r="AC51" s="583"/>
      <c r="AD51" s="584"/>
      <c r="AE51" s="551"/>
      <c r="AF51" s="551"/>
      <c r="AG51" s="551"/>
      <c r="AH51" s="551"/>
      <c r="AI51" s="583"/>
      <c r="AJ51" s="584"/>
      <c r="AK51" s="551"/>
      <c r="AL51" s="551"/>
      <c r="AM51" s="551"/>
      <c r="AN51" s="551"/>
      <c r="AO51" s="551"/>
      <c r="AP51" s="551"/>
      <c r="AQ51" s="551"/>
    </row>
    <row r="52" spans="1:43" s="529" customFormat="1" ht="18.75" customHeight="1" x14ac:dyDescent="0.3">
      <c r="A52" s="551" t="s">
        <v>337</v>
      </c>
      <c r="B52" s="583"/>
      <c r="C52" s="584"/>
      <c r="D52" s="551"/>
      <c r="E52" s="583"/>
      <c r="F52" s="584"/>
      <c r="G52" s="551"/>
      <c r="H52" s="583"/>
      <c r="I52" s="584"/>
      <c r="J52" s="551"/>
      <c r="K52" s="583"/>
      <c r="L52" s="584"/>
      <c r="M52" s="551"/>
      <c r="N52" s="583"/>
      <c r="O52" s="584"/>
      <c r="P52" s="551"/>
      <c r="Q52" s="583"/>
      <c r="R52" s="584"/>
      <c r="S52" s="551"/>
      <c r="T52" s="583"/>
      <c r="U52" s="584"/>
      <c r="V52" s="551"/>
      <c r="W52" s="583"/>
      <c r="X52" s="584"/>
      <c r="Y52" s="551"/>
      <c r="Z52" s="583"/>
      <c r="AA52" s="584"/>
      <c r="AB52" s="551"/>
      <c r="AC52" s="583"/>
      <c r="AD52" s="584"/>
      <c r="AE52" s="551"/>
      <c r="AF52" s="551"/>
      <c r="AG52" s="551"/>
      <c r="AH52" s="551"/>
      <c r="AI52" s="583"/>
      <c r="AJ52" s="584"/>
      <c r="AK52" s="551"/>
      <c r="AL52" s="551"/>
      <c r="AM52" s="551"/>
      <c r="AN52" s="551"/>
      <c r="AO52" s="551"/>
      <c r="AP52" s="551"/>
      <c r="AQ52" s="551"/>
    </row>
    <row r="53" spans="1:43" s="529" customFormat="1" ht="18.75" customHeight="1" x14ac:dyDescent="0.3">
      <c r="A53" s="551" t="s">
        <v>338</v>
      </c>
      <c r="B53" s="583"/>
      <c r="C53" s="584"/>
      <c r="D53" s="551"/>
      <c r="E53" s="583"/>
      <c r="F53" s="584"/>
      <c r="G53" s="551"/>
      <c r="H53" s="583"/>
      <c r="I53" s="584"/>
      <c r="J53" s="551"/>
      <c r="K53" s="583"/>
      <c r="L53" s="584"/>
      <c r="M53" s="551"/>
      <c r="N53" s="583"/>
      <c r="O53" s="584"/>
      <c r="P53" s="551"/>
      <c r="Q53" s="583"/>
      <c r="R53" s="584"/>
      <c r="S53" s="551"/>
      <c r="T53" s="583"/>
      <c r="U53" s="584"/>
      <c r="V53" s="551"/>
      <c r="W53" s="583"/>
      <c r="X53" s="584"/>
      <c r="Y53" s="551"/>
      <c r="Z53" s="583"/>
      <c r="AA53" s="584"/>
      <c r="AB53" s="551"/>
      <c r="AC53" s="583"/>
      <c r="AD53" s="584"/>
      <c r="AE53" s="551"/>
      <c r="AF53" s="551"/>
      <c r="AG53" s="551"/>
      <c r="AH53" s="551"/>
      <c r="AI53" s="583"/>
      <c r="AJ53" s="584"/>
      <c r="AK53" s="551"/>
      <c r="AL53" s="551"/>
      <c r="AM53" s="551"/>
      <c r="AN53" s="551"/>
      <c r="AO53" s="551"/>
      <c r="AP53" s="551"/>
      <c r="AQ53" s="551"/>
    </row>
    <row r="54" spans="1:43" s="529" customFormat="1" ht="18.75" customHeight="1" x14ac:dyDescent="0.3">
      <c r="A54" s="551" t="s">
        <v>339</v>
      </c>
      <c r="B54" s="583"/>
      <c r="C54" s="584"/>
      <c r="D54" s="551"/>
      <c r="E54" s="583"/>
      <c r="F54" s="584"/>
      <c r="G54" s="551"/>
      <c r="H54" s="583"/>
      <c r="I54" s="584"/>
      <c r="J54" s="551"/>
      <c r="K54" s="583"/>
      <c r="L54" s="584"/>
      <c r="M54" s="551"/>
      <c r="N54" s="583"/>
      <c r="O54" s="584"/>
      <c r="P54" s="551"/>
      <c r="Q54" s="583"/>
      <c r="R54" s="584"/>
      <c r="S54" s="551"/>
      <c r="T54" s="583"/>
      <c r="U54" s="584"/>
      <c r="V54" s="551"/>
      <c r="W54" s="583"/>
      <c r="X54" s="584"/>
      <c r="Y54" s="551"/>
      <c r="Z54" s="583"/>
      <c r="AA54" s="584"/>
      <c r="AB54" s="551"/>
      <c r="AC54" s="583"/>
      <c r="AD54" s="584"/>
      <c r="AE54" s="551"/>
      <c r="AF54" s="551"/>
      <c r="AG54" s="551"/>
      <c r="AH54" s="551"/>
      <c r="AI54" s="583"/>
      <c r="AJ54" s="584"/>
      <c r="AK54" s="551"/>
      <c r="AL54" s="551"/>
      <c r="AM54" s="551"/>
      <c r="AN54" s="551"/>
      <c r="AO54" s="551"/>
      <c r="AP54" s="551"/>
      <c r="AQ54" s="551"/>
    </row>
    <row r="55" spans="1:43" s="529" customFormat="1" ht="18.75" customHeight="1" x14ac:dyDescent="0.3">
      <c r="A55" s="551" t="s">
        <v>340</v>
      </c>
      <c r="B55" s="583"/>
      <c r="C55" s="584"/>
      <c r="D55" s="551"/>
      <c r="E55" s="583"/>
      <c r="F55" s="584"/>
      <c r="G55" s="551"/>
      <c r="H55" s="583"/>
      <c r="I55" s="584"/>
      <c r="J55" s="551"/>
      <c r="K55" s="583"/>
      <c r="L55" s="584"/>
      <c r="M55" s="551"/>
      <c r="N55" s="583"/>
      <c r="O55" s="584"/>
      <c r="P55" s="551"/>
      <c r="Q55" s="583"/>
      <c r="R55" s="584"/>
      <c r="S55" s="551"/>
      <c r="T55" s="583"/>
      <c r="U55" s="584"/>
      <c r="V55" s="551"/>
      <c r="W55" s="583"/>
      <c r="X55" s="584"/>
      <c r="Y55" s="551"/>
      <c r="Z55" s="583"/>
      <c r="AA55" s="584"/>
      <c r="AB55" s="551"/>
      <c r="AC55" s="583"/>
      <c r="AD55" s="584"/>
      <c r="AE55" s="551"/>
      <c r="AF55" s="551"/>
      <c r="AG55" s="551"/>
      <c r="AH55" s="551"/>
      <c r="AI55" s="583"/>
      <c r="AJ55" s="584"/>
      <c r="AK55" s="551"/>
      <c r="AL55" s="551"/>
      <c r="AM55" s="551"/>
      <c r="AN55" s="551"/>
      <c r="AO55" s="551"/>
      <c r="AP55" s="551"/>
      <c r="AQ55" s="551"/>
    </row>
    <row r="56" spans="1:43" s="529" customFormat="1" ht="18.75" customHeight="1" x14ac:dyDescent="0.3">
      <c r="A56" s="551" t="s">
        <v>341</v>
      </c>
      <c r="B56" s="583"/>
      <c r="C56" s="584"/>
      <c r="D56" s="551"/>
      <c r="E56" s="583"/>
      <c r="F56" s="584"/>
      <c r="G56" s="551"/>
      <c r="H56" s="583"/>
      <c r="I56" s="584"/>
      <c r="J56" s="551"/>
      <c r="K56" s="583"/>
      <c r="L56" s="584"/>
      <c r="M56" s="551"/>
      <c r="N56" s="583"/>
      <c r="O56" s="584"/>
      <c r="P56" s="551"/>
      <c r="Q56" s="583"/>
      <c r="R56" s="584"/>
      <c r="S56" s="551"/>
      <c r="T56" s="583"/>
      <c r="U56" s="584"/>
      <c r="V56" s="551"/>
      <c r="W56" s="583"/>
      <c r="X56" s="584"/>
      <c r="Y56" s="551"/>
      <c r="Z56" s="583"/>
      <c r="AA56" s="584"/>
      <c r="AB56" s="551"/>
      <c r="AC56" s="583"/>
      <c r="AD56" s="584"/>
      <c r="AE56" s="551"/>
      <c r="AF56" s="551"/>
      <c r="AG56" s="551"/>
      <c r="AH56" s="551"/>
      <c r="AI56" s="583"/>
      <c r="AJ56" s="584"/>
      <c r="AK56" s="551"/>
      <c r="AL56" s="551"/>
      <c r="AM56" s="551"/>
      <c r="AN56" s="551"/>
      <c r="AO56" s="551"/>
      <c r="AP56" s="551"/>
      <c r="AQ56" s="551"/>
    </row>
    <row r="57" spans="1:43" s="528" customFormat="1" ht="18.75" customHeight="1" x14ac:dyDescent="0.3">
      <c r="A57" s="552" t="s">
        <v>342</v>
      </c>
      <c r="B57" s="585"/>
      <c r="C57" s="586"/>
      <c r="D57" s="552"/>
      <c r="E57" s="585"/>
      <c r="F57" s="586"/>
      <c r="G57" s="552"/>
      <c r="H57" s="585"/>
      <c r="I57" s="586"/>
      <c r="J57" s="552"/>
      <c r="K57" s="585"/>
      <c r="L57" s="586"/>
      <c r="M57" s="552"/>
      <c r="N57" s="585"/>
      <c r="O57" s="586"/>
      <c r="P57" s="552"/>
      <c r="Q57" s="585"/>
      <c r="R57" s="586"/>
      <c r="S57" s="552"/>
      <c r="T57" s="585"/>
      <c r="U57" s="586"/>
      <c r="V57" s="552"/>
      <c r="W57" s="585"/>
      <c r="X57" s="586"/>
      <c r="Y57" s="552"/>
      <c r="Z57" s="585"/>
      <c r="AA57" s="586"/>
      <c r="AB57" s="552"/>
      <c r="AC57" s="585"/>
      <c r="AD57" s="586"/>
      <c r="AE57" s="552"/>
      <c r="AF57" s="552"/>
      <c r="AG57" s="552"/>
      <c r="AH57" s="552"/>
      <c r="AI57" s="585"/>
      <c r="AJ57" s="586"/>
      <c r="AK57" s="552"/>
      <c r="AL57" s="552"/>
      <c r="AM57" s="552"/>
      <c r="AN57" s="552"/>
      <c r="AO57" s="552"/>
      <c r="AP57" s="552"/>
      <c r="AQ57" s="552"/>
    </row>
    <row r="58" spans="1:43" s="531" customFormat="1" ht="18.75" customHeight="1" x14ac:dyDescent="0.3">
      <c r="A58" s="513" t="s">
        <v>258</v>
      </c>
      <c r="B58" s="513"/>
      <c r="C58" s="530"/>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row>
    <row r="59" spans="1:43" s="531" customFormat="1" ht="18.75" customHeight="1" x14ac:dyDescent="0.3">
      <c r="A59" s="513" t="s">
        <v>259</v>
      </c>
    </row>
    <row r="60" spans="1:43" s="531" customFormat="1" ht="18.75" customHeight="1" x14ac:dyDescent="0.3">
      <c r="A60" s="513" t="s">
        <v>260</v>
      </c>
    </row>
    <row r="61" spans="1:43" s="531" customFormat="1" ht="18.75" x14ac:dyDescent="0.3"/>
    <row r="62" spans="1:43" s="531" customFormat="1" ht="18.75" x14ac:dyDescent="0.3"/>
    <row r="63" spans="1:43" s="532" customFormat="1" x14ac:dyDescent="0.2">
      <c r="C63" s="533"/>
      <c r="H63" s="533"/>
      <c r="I63" s="533"/>
      <c r="AL63" s="534"/>
      <c r="AM63" s="535"/>
    </row>
  </sheetData>
  <mergeCells count="26">
    <mergeCell ref="Q6:S6"/>
    <mergeCell ref="T6:V6"/>
    <mergeCell ref="H6:J6"/>
    <mergeCell ref="K6:M6"/>
    <mergeCell ref="N6:P6"/>
    <mergeCell ref="B6:D6"/>
    <mergeCell ref="E6:G6"/>
    <mergeCell ref="T5:V5"/>
    <mergeCell ref="Z5:AB5"/>
    <mergeCell ref="B5:D5"/>
    <mergeCell ref="E5:G5"/>
    <mergeCell ref="H5:J5"/>
    <mergeCell ref="K5:M5"/>
    <mergeCell ref="N5:P5"/>
    <mergeCell ref="Q5:S5"/>
    <mergeCell ref="AC6:AE6"/>
    <mergeCell ref="AL6:AN6"/>
    <mergeCell ref="AO6:AQ6"/>
    <mergeCell ref="W6:Y6"/>
    <mergeCell ref="Z6:AB6"/>
    <mergeCell ref="AO5:AQ5"/>
    <mergeCell ref="AF5:AH5"/>
    <mergeCell ref="AI5:AK5"/>
    <mergeCell ref="AL5:AN5"/>
    <mergeCell ref="AF6:AH6"/>
    <mergeCell ref="AI6:AK6"/>
  </mergeCells>
  <conditionalFormatting sqref="AF14">
    <cfRule type="expression" dxfId="21" priority="78">
      <formula>#REF! ="14≠11+12+13"</formula>
    </cfRule>
  </conditionalFormatting>
  <conditionalFormatting sqref="AF21">
    <cfRule type="expression" dxfId="20" priority="79">
      <formula>#REF! ="22≠19+20+21"</formula>
    </cfRule>
  </conditionalFormatting>
  <conditionalFormatting sqref="AF29">
    <cfRule type="expression" dxfId="19" priority="80">
      <formula>#REF! ="30≠24+25+26+27+28+29"</formula>
    </cfRule>
  </conditionalFormatting>
  <conditionalFormatting sqref="AF34">
    <cfRule type="expression" dxfId="18" priority="81">
      <formula>#REF! ="35≠14+15+16+17+22+30+31+32+33+34"</formula>
    </cfRule>
  </conditionalFormatting>
  <conditionalFormatting sqref="AF45">
    <cfRule type="expression" dxfId="17" priority="82">
      <formula>#REF! ="46≠35+38+39+40+43+45"</formula>
    </cfRule>
  </conditionalFormatting>
  <conditionalFormatting sqref="AO29:AP29 AG29 K29:L29 N29:O29 AC29:AD29 Q29:R29 T29:U29 B29:C29 W29:X29 Z29:AA29 AI29:AJ29 E29:F29 H29:I29">
    <cfRule type="expression" dxfId="16" priority="756">
      <formula>#REF! ="30≠24+25+26+27+28+29"</formula>
    </cfRule>
  </conditionalFormatting>
  <conditionalFormatting sqref="AO34:AP34 AG34 K34:L34 N34:O34 AC34:AD34 Q34:R34 T34:U34 B34:C34 W34:X34 Z34:AA34 AI34:AJ34 E34:F34 H34:I34 AL34:AM34">
    <cfRule type="expression" dxfId="15" priority="757">
      <formula>#REF! ="35≠14+15+16+17+22+30+31+32+33+34"</formula>
    </cfRule>
  </conditionalFormatting>
  <conditionalFormatting sqref="AO45:AP45 AG45 K45:L45 N45:O45 AC45:AD45 Q45:R45 T45:U45 B45:C45 W45:X45 Z45:AA45 AI45:AJ45 E45:F45 H45:I45 AL45:AM45">
    <cfRule type="expression" dxfId="14" priority="759">
      <formula>#REF! ="46≠35+38+39+40+43+45"</formula>
    </cfRule>
  </conditionalFormatting>
  <conditionalFormatting sqref="AG14 K14:L14 N14:O14 AC14:AD14 Q14:R14 T14:U14 B14:C14 W14:X14 Z14:AA14 AI14:AJ14 E14:F14 H14:I14">
    <cfRule type="expression" dxfId="13" priority="761">
      <formula>#REF! ="14≠11+12+13"</formula>
    </cfRule>
  </conditionalFormatting>
  <conditionalFormatting sqref="AG21 K21:L21 N21:O21 AC21:AD21 Q21:R21 T21:U21 B21:C21 W21:X21 Z21:AA21 AI21:AJ21 E21:F21 H21:I21">
    <cfRule type="expression" dxfId="12" priority="762">
      <formula>#REF! ="22≠19+20+21"</formula>
    </cfRule>
  </conditionalFormatting>
  <hyperlinks>
    <hyperlink ref="B1" location="Innhold!A1" display="Tilbake" xr:uid="{00000000-0004-0000-1E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H129"/>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16" customWidth="1"/>
    <col min="2" max="37" width="11.7109375" style="416" customWidth="1"/>
    <col min="38" max="38" width="15.140625" style="416" customWidth="1"/>
    <col min="39" max="39" width="13" style="416" customWidth="1"/>
    <col min="40" max="40" width="11.7109375" style="416" customWidth="1"/>
    <col min="41" max="42" width="13" style="416" customWidth="1"/>
    <col min="43" max="43" width="11.7109375" style="416" customWidth="1"/>
    <col min="44" max="16384" width="11.42578125" style="416"/>
  </cols>
  <sheetData>
    <row r="1" spans="1:60" ht="20.25" customHeight="1" x14ac:dyDescent="0.3">
      <c r="A1" s="421" t="s">
        <v>177</v>
      </c>
      <c r="B1" s="422" t="s">
        <v>52</v>
      </c>
      <c r="C1" s="423"/>
      <c r="D1" s="423"/>
      <c r="E1" s="423"/>
      <c r="F1" s="423"/>
      <c r="G1" s="423"/>
      <c r="H1" s="423"/>
      <c r="I1" s="423"/>
      <c r="J1" s="423"/>
      <c r="AR1" s="424"/>
    </row>
    <row r="2" spans="1:60" ht="20.100000000000001" customHeight="1" x14ac:dyDescent="0.3">
      <c r="A2" s="421" t="s">
        <v>178</v>
      </c>
      <c r="AR2" s="424"/>
    </row>
    <row r="3" spans="1:60" ht="20.100000000000001" customHeight="1" x14ac:dyDescent="0.3">
      <c r="A3" s="425" t="s">
        <v>179</v>
      </c>
      <c r="B3" s="426"/>
      <c r="C3" s="426"/>
      <c r="D3" s="426"/>
      <c r="E3" s="426"/>
      <c r="F3" s="426"/>
      <c r="G3" s="426"/>
      <c r="H3" s="426"/>
      <c r="I3" s="426"/>
      <c r="J3" s="426"/>
      <c r="AR3" s="427"/>
    </row>
    <row r="4" spans="1:60" ht="18.75" customHeight="1" x14ac:dyDescent="0.25">
      <c r="A4" s="428" t="s">
        <v>413</v>
      </c>
      <c r="B4" s="429"/>
      <c r="C4" s="429"/>
      <c r="D4" s="430"/>
      <c r="E4" s="429"/>
      <c r="F4" s="429"/>
      <c r="G4" s="430"/>
      <c r="H4" s="431"/>
      <c r="I4" s="429"/>
      <c r="J4" s="430"/>
      <c r="K4" s="432"/>
      <c r="L4" s="432"/>
      <c r="M4" s="432"/>
      <c r="N4" s="433"/>
      <c r="O4" s="432"/>
      <c r="P4" s="434"/>
      <c r="Q4" s="433"/>
      <c r="R4" s="432"/>
      <c r="S4" s="434"/>
      <c r="T4" s="433"/>
      <c r="U4" s="432"/>
      <c r="V4" s="434"/>
      <c r="W4" s="433"/>
      <c r="X4" s="432"/>
      <c r="Y4" s="434"/>
      <c r="Z4" s="433"/>
      <c r="AA4" s="432"/>
      <c r="AB4" s="434"/>
      <c r="AC4" s="433"/>
      <c r="AD4" s="432"/>
      <c r="AE4" s="434"/>
      <c r="AF4" s="433"/>
      <c r="AG4" s="432"/>
      <c r="AH4" s="434"/>
      <c r="AI4" s="433"/>
      <c r="AJ4" s="432"/>
      <c r="AK4" s="434"/>
      <c r="AL4" s="433"/>
      <c r="AM4" s="432"/>
      <c r="AN4" s="434"/>
      <c r="AO4" s="433"/>
      <c r="AP4" s="432"/>
      <c r="AQ4" s="434"/>
      <c r="AR4" s="435"/>
      <c r="AS4" s="436"/>
      <c r="AT4" s="436"/>
      <c r="AU4" s="436"/>
      <c r="AV4" s="436"/>
      <c r="AW4" s="436"/>
      <c r="AX4" s="436"/>
      <c r="AY4" s="436"/>
      <c r="AZ4" s="436"/>
      <c r="BA4" s="436"/>
      <c r="BB4" s="436"/>
      <c r="BC4" s="436"/>
      <c r="BD4" s="436"/>
      <c r="BE4" s="436"/>
      <c r="BF4" s="436"/>
      <c r="BG4" s="436"/>
      <c r="BH4" s="436"/>
    </row>
    <row r="5" spans="1:60" ht="18.75" customHeight="1" x14ac:dyDescent="0.3">
      <c r="A5" s="437" t="s">
        <v>106</v>
      </c>
      <c r="B5" s="701" t="s">
        <v>180</v>
      </c>
      <c r="C5" s="702"/>
      <c r="D5" s="703"/>
      <c r="E5" s="701" t="s">
        <v>181</v>
      </c>
      <c r="F5" s="702"/>
      <c r="G5" s="703"/>
      <c r="H5" s="701" t="s">
        <v>182</v>
      </c>
      <c r="I5" s="702"/>
      <c r="J5" s="703"/>
      <c r="K5" s="701" t="s">
        <v>183</v>
      </c>
      <c r="L5" s="702"/>
      <c r="M5" s="703"/>
      <c r="N5" s="701" t="s">
        <v>184</v>
      </c>
      <c r="O5" s="702"/>
      <c r="P5" s="703"/>
      <c r="Q5" s="587" t="s">
        <v>184</v>
      </c>
      <c r="R5" s="588"/>
      <c r="S5" s="589"/>
      <c r="T5" s="701" t="s">
        <v>63</v>
      </c>
      <c r="U5" s="702"/>
      <c r="V5" s="703"/>
      <c r="W5" s="595"/>
      <c r="X5" s="596"/>
      <c r="Y5" s="597"/>
      <c r="Z5" s="701" t="s">
        <v>185</v>
      </c>
      <c r="AA5" s="702"/>
      <c r="AB5" s="703"/>
      <c r="AC5" s="578"/>
      <c r="AD5" s="579"/>
      <c r="AE5" s="580"/>
      <c r="AF5" s="701"/>
      <c r="AG5" s="702"/>
      <c r="AH5" s="703"/>
      <c r="AI5" s="701" t="s">
        <v>75</v>
      </c>
      <c r="AJ5" s="702"/>
      <c r="AK5" s="703"/>
      <c r="AL5" s="701" t="s">
        <v>2</v>
      </c>
      <c r="AM5" s="702"/>
      <c r="AN5" s="703"/>
      <c r="AO5" s="701" t="s">
        <v>2</v>
      </c>
      <c r="AP5" s="702"/>
      <c r="AQ5" s="703"/>
      <c r="AR5" s="438"/>
      <c r="AS5" s="439"/>
      <c r="AT5" s="704"/>
      <c r="AU5" s="704"/>
      <c r="AV5" s="704"/>
      <c r="AW5" s="704"/>
      <c r="AX5" s="704"/>
      <c r="AY5" s="704"/>
      <c r="AZ5" s="704"/>
      <c r="BA5" s="704"/>
      <c r="BB5" s="704"/>
      <c r="BC5" s="704"/>
      <c r="BD5" s="704"/>
      <c r="BE5" s="704"/>
      <c r="BF5" s="704"/>
      <c r="BG5" s="704"/>
      <c r="BH5" s="704"/>
    </row>
    <row r="6" spans="1:60" ht="21" customHeight="1" x14ac:dyDescent="0.3">
      <c r="A6" s="440"/>
      <c r="B6" s="705" t="s">
        <v>186</v>
      </c>
      <c r="C6" s="706"/>
      <c r="D6" s="707"/>
      <c r="E6" s="705" t="s">
        <v>187</v>
      </c>
      <c r="F6" s="706"/>
      <c r="G6" s="707"/>
      <c r="H6" s="705" t="s">
        <v>187</v>
      </c>
      <c r="I6" s="706"/>
      <c r="J6" s="707"/>
      <c r="K6" s="705" t="s">
        <v>188</v>
      </c>
      <c r="L6" s="706"/>
      <c r="M6" s="707"/>
      <c r="N6" s="705" t="s">
        <v>93</v>
      </c>
      <c r="O6" s="706"/>
      <c r="P6" s="707"/>
      <c r="Q6" s="705" t="s">
        <v>63</v>
      </c>
      <c r="R6" s="706"/>
      <c r="S6" s="707"/>
      <c r="T6" s="705" t="s">
        <v>189</v>
      </c>
      <c r="U6" s="706"/>
      <c r="V6" s="707"/>
      <c r="W6" s="705" t="s">
        <v>68</v>
      </c>
      <c r="X6" s="706"/>
      <c r="Y6" s="707"/>
      <c r="Z6" s="705" t="s">
        <v>186</v>
      </c>
      <c r="AA6" s="706"/>
      <c r="AB6" s="707"/>
      <c r="AC6" s="705" t="s">
        <v>74</v>
      </c>
      <c r="AD6" s="706"/>
      <c r="AE6" s="707"/>
      <c r="AF6" s="705" t="s">
        <v>70</v>
      </c>
      <c r="AG6" s="706"/>
      <c r="AH6" s="707"/>
      <c r="AI6" s="705" t="s">
        <v>187</v>
      </c>
      <c r="AJ6" s="706"/>
      <c r="AK6" s="707"/>
      <c r="AL6" s="705" t="s">
        <v>190</v>
      </c>
      <c r="AM6" s="706"/>
      <c r="AN6" s="707"/>
      <c r="AO6" s="705" t="s">
        <v>191</v>
      </c>
      <c r="AP6" s="706"/>
      <c r="AQ6" s="707"/>
      <c r="AR6" s="438"/>
      <c r="AS6" s="439"/>
      <c r="AT6" s="704"/>
      <c r="AU6" s="704"/>
      <c r="AV6" s="704"/>
      <c r="AW6" s="704"/>
      <c r="AX6" s="704"/>
      <c r="AY6" s="704"/>
      <c r="AZ6" s="704"/>
      <c r="BA6" s="704"/>
      <c r="BB6" s="704"/>
      <c r="BC6" s="704"/>
      <c r="BD6" s="704"/>
      <c r="BE6" s="704"/>
      <c r="BF6" s="704"/>
      <c r="BG6" s="704"/>
      <c r="BH6" s="704"/>
    </row>
    <row r="7" spans="1:60" ht="18.75" customHeight="1" x14ac:dyDescent="0.3">
      <c r="A7" s="440"/>
      <c r="B7" s="470"/>
      <c r="C7" s="470"/>
      <c r="D7" s="441" t="s">
        <v>83</v>
      </c>
      <c r="E7" s="470"/>
      <c r="F7" s="470"/>
      <c r="G7" s="441" t="s">
        <v>83</v>
      </c>
      <c r="H7" s="470"/>
      <c r="I7" s="470"/>
      <c r="J7" s="441" t="s">
        <v>83</v>
      </c>
      <c r="K7" s="470"/>
      <c r="L7" s="470"/>
      <c r="M7" s="441" t="s">
        <v>83</v>
      </c>
      <c r="N7" s="470"/>
      <c r="O7" s="470"/>
      <c r="P7" s="441" t="s">
        <v>83</v>
      </c>
      <c r="Q7" s="470"/>
      <c r="R7" s="470"/>
      <c r="S7" s="441" t="s">
        <v>83</v>
      </c>
      <c r="T7" s="470"/>
      <c r="U7" s="470"/>
      <c r="V7" s="441" t="s">
        <v>83</v>
      </c>
      <c r="W7" s="470"/>
      <c r="X7" s="470"/>
      <c r="Y7" s="441" t="s">
        <v>83</v>
      </c>
      <c r="Z7" s="470"/>
      <c r="AA7" s="470"/>
      <c r="AB7" s="441" t="s">
        <v>83</v>
      </c>
      <c r="AC7" s="470"/>
      <c r="AD7" s="470"/>
      <c r="AE7" s="441" t="s">
        <v>83</v>
      </c>
      <c r="AF7" s="470"/>
      <c r="AG7" s="470"/>
      <c r="AH7" s="441" t="s">
        <v>83</v>
      </c>
      <c r="AI7" s="470"/>
      <c r="AJ7" s="470"/>
      <c r="AK7" s="441" t="s">
        <v>83</v>
      </c>
      <c r="AL7" s="470"/>
      <c r="AM7" s="470"/>
      <c r="AN7" s="441" t="s">
        <v>83</v>
      </c>
      <c r="AO7" s="470"/>
      <c r="AP7" s="470"/>
      <c r="AQ7" s="441" t="s">
        <v>83</v>
      </c>
      <c r="AR7" s="438"/>
      <c r="AS7" s="439"/>
      <c r="AT7" s="439"/>
      <c r="AU7" s="439"/>
      <c r="AV7" s="439"/>
      <c r="AW7" s="439"/>
      <c r="AX7" s="439"/>
      <c r="AY7" s="439"/>
      <c r="AZ7" s="439"/>
      <c r="BA7" s="439"/>
      <c r="BB7" s="439"/>
      <c r="BC7" s="439"/>
      <c r="BD7" s="439"/>
      <c r="BE7" s="439"/>
      <c r="BF7" s="439"/>
      <c r="BG7" s="439"/>
      <c r="BH7" s="439"/>
    </row>
    <row r="8" spans="1:60" s="657" customFormat="1" ht="18.75" customHeight="1" x14ac:dyDescent="0.25">
      <c r="A8" s="653" t="s">
        <v>192</v>
      </c>
      <c r="B8" s="651">
        <v>2018</v>
      </c>
      <c r="C8" s="651">
        <v>2019</v>
      </c>
      <c r="D8" s="407" t="s">
        <v>85</v>
      </c>
      <c r="E8" s="651">
        <v>2018</v>
      </c>
      <c r="F8" s="651">
        <v>2019</v>
      </c>
      <c r="G8" s="407" t="s">
        <v>85</v>
      </c>
      <c r="H8" s="651">
        <v>2018</v>
      </c>
      <c r="I8" s="651">
        <v>2019</v>
      </c>
      <c r="J8" s="407" t="s">
        <v>85</v>
      </c>
      <c r="K8" s="651">
        <v>2018</v>
      </c>
      <c r="L8" s="651">
        <v>2019</v>
      </c>
      <c r="M8" s="407" t="s">
        <v>85</v>
      </c>
      <c r="N8" s="651">
        <v>2018</v>
      </c>
      <c r="O8" s="651">
        <v>2019</v>
      </c>
      <c r="P8" s="407" t="s">
        <v>85</v>
      </c>
      <c r="Q8" s="651">
        <v>2018</v>
      </c>
      <c r="R8" s="651">
        <v>2019</v>
      </c>
      <c r="S8" s="407" t="s">
        <v>85</v>
      </c>
      <c r="T8" s="651">
        <v>2018</v>
      </c>
      <c r="U8" s="651">
        <v>2019</v>
      </c>
      <c r="V8" s="407" t="s">
        <v>85</v>
      </c>
      <c r="W8" s="651">
        <v>2018</v>
      </c>
      <c r="X8" s="651">
        <v>2019</v>
      </c>
      <c r="Y8" s="407" t="s">
        <v>85</v>
      </c>
      <c r="Z8" s="651">
        <v>2018</v>
      </c>
      <c r="AA8" s="651">
        <v>2019</v>
      </c>
      <c r="AB8" s="407" t="s">
        <v>85</v>
      </c>
      <c r="AC8" s="651">
        <v>2018</v>
      </c>
      <c r="AD8" s="651">
        <v>2019</v>
      </c>
      <c r="AE8" s="407" t="s">
        <v>85</v>
      </c>
      <c r="AF8" s="651">
        <v>2018</v>
      </c>
      <c r="AG8" s="651">
        <v>2019</v>
      </c>
      <c r="AH8" s="407" t="s">
        <v>85</v>
      </c>
      <c r="AI8" s="651">
        <v>2018</v>
      </c>
      <c r="AJ8" s="651">
        <v>2019</v>
      </c>
      <c r="AK8" s="407" t="s">
        <v>85</v>
      </c>
      <c r="AL8" s="651">
        <v>2018</v>
      </c>
      <c r="AM8" s="651">
        <v>2019</v>
      </c>
      <c r="AN8" s="407" t="s">
        <v>85</v>
      </c>
      <c r="AO8" s="651">
        <v>2018</v>
      </c>
      <c r="AP8" s="651">
        <v>2019</v>
      </c>
      <c r="AQ8" s="407" t="s">
        <v>85</v>
      </c>
      <c r="AR8" s="654"/>
      <c r="AS8" s="655"/>
      <c r="AT8" s="656"/>
      <c r="AU8" s="656"/>
      <c r="AV8" s="655"/>
      <c r="AW8" s="656"/>
      <c r="AX8" s="656"/>
      <c r="AY8" s="655"/>
      <c r="AZ8" s="656"/>
      <c r="BA8" s="656"/>
      <c r="BB8" s="655"/>
      <c r="BC8" s="656"/>
      <c r="BD8" s="656"/>
      <c r="BE8" s="655"/>
      <c r="BF8" s="656"/>
      <c r="BG8" s="656"/>
      <c r="BH8" s="655"/>
    </row>
    <row r="9" spans="1:60" ht="18.75" customHeight="1" x14ac:dyDescent="0.3">
      <c r="A9" s="408"/>
      <c r="B9" s="374"/>
      <c r="C9" s="375"/>
      <c r="D9" s="375"/>
      <c r="E9" s="374"/>
      <c r="F9" s="375"/>
      <c r="G9" s="375"/>
      <c r="H9" s="374"/>
      <c r="I9" s="375"/>
      <c r="J9" s="375"/>
      <c r="K9" s="379"/>
      <c r="L9" s="376"/>
      <c r="M9" s="376"/>
      <c r="N9" s="377"/>
      <c r="O9" s="378"/>
      <c r="P9" s="330"/>
      <c r="Q9" s="379"/>
      <c r="R9" s="376"/>
      <c r="S9" s="330"/>
      <c r="T9" s="379"/>
      <c r="U9" s="376"/>
      <c r="V9" s="330"/>
      <c r="W9" s="379"/>
      <c r="X9" s="376"/>
      <c r="Y9" s="330"/>
      <c r="Z9" s="379"/>
      <c r="AA9" s="376"/>
      <c r="AB9" s="330"/>
      <c r="AC9" s="379"/>
      <c r="AD9" s="376"/>
      <c r="AE9" s="330"/>
      <c r="AF9" s="379"/>
      <c r="AG9" s="376"/>
      <c r="AH9" s="330"/>
      <c r="AI9" s="379"/>
      <c r="AJ9" s="376"/>
      <c r="AK9" s="330"/>
      <c r="AL9" s="379"/>
      <c r="AM9" s="379"/>
      <c r="AN9" s="330"/>
      <c r="AO9" s="379"/>
      <c r="AP9" s="379"/>
      <c r="AQ9" s="330"/>
      <c r="AR9" s="438"/>
      <c r="AS9" s="438"/>
    </row>
    <row r="10" spans="1:60" s="417" customFormat="1" ht="18.75" customHeight="1" x14ac:dyDescent="0.3">
      <c r="A10" s="409" t="s">
        <v>193</v>
      </c>
      <c r="B10" s="380"/>
      <c r="C10" s="381"/>
      <c r="D10" s="381"/>
      <c r="E10" s="380"/>
      <c r="F10" s="381"/>
      <c r="G10" s="381"/>
      <c r="H10" s="380"/>
      <c r="I10" s="381"/>
      <c r="J10" s="381"/>
      <c r="K10" s="379"/>
      <c r="L10" s="376"/>
      <c r="M10" s="376"/>
      <c r="N10" s="377"/>
      <c r="O10" s="378"/>
      <c r="P10" s="330"/>
      <c r="Q10" s="379"/>
      <c r="R10" s="376"/>
      <c r="S10" s="330"/>
      <c r="T10" s="379"/>
      <c r="U10" s="376"/>
      <c r="V10" s="330"/>
      <c r="W10" s="379"/>
      <c r="X10" s="376"/>
      <c r="Y10" s="330"/>
      <c r="Z10" s="379"/>
      <c r="AA10" s="376"/>
      <c r="AB10" s="330"/>
      <c r="AC10" s="379"/>
      <c r="AD10" s="376"/>
      <c r="AE10" s="330"/>
      <c r="AF10" s="379"/>
      <c r="AG10" s="376"/>
      <c r="AH10" s="330"/>
      <c r="AI10" s="379"/>
      <c r="AJ10" s="376"/>
      <c r="AK10" s="330"/>
      <c r="AL10" s="379"/>
      <c r="AM10" s="379"/>
      <c r="AN10" s="330"/>
      <c r="AO10" s="379"/>
      <c r="AP10" s="379"/>
      <c r="AQ10" s="330"/>
      <c r="AR10" s="442"/>
      <c r="AS10" s="442"/>
    </row>
    <row r="11" spans="1:60" s="417" customFormat="1" ht="18.75" customHeight="1" x14ac:dyDescent="0.3">
      <c r="A11" s="410"/>
      <c r="B11" s="380"/>
      <c r="C11" s="381"/>
      <c r="D11" s="381"/>
      <c r="E11" s="380"/>
      <c r="F11" s="381"/>
      <c r="G11" s="381"/>
      <c r="H11" s="380"/>
      <c r="I11" s="381"/>
      <c r="J11" s="381"/>
      <c r="K11" s="379"/>
      <c r="L11" s="376"/>
      <c r="M11" s="376"/>
      <c r="N11" s="377"/>
      <c r="O11" s="378"/>
      <c r="P11" s="330"/>
      <c r="Q11" s="379"/>
      <c r="R11" s="376"/>
      <c r="S11" s="330"/>
      <c r="T11" s="379"/>
      <c r="U11" s="376"/>
      <c r="V11" s="330"/>
      <c r="W11" s="379"/>
      <c r="X11" s="376"/>
      <c r="Y11" s="330"/>
      <c r="Z11" s="379"/>
      <c r="AA11" s="376"/>
      <c r="AB11" s="330"/>
      <c r="AC11" s="379"/>
      <c r="AD11" s="376"/>
      <c r="AE11" s="330"/>
      <c r="AF11" s="379"/>
      <c r="AG11" s="376"/>
      <c r="AH11" s="330"/>
      <c r="AI11" s="379"/>
      <c r="AJ11" s="376"/>
      <c r="AK11" s="330"/>
      <c r="AL11" s="379"/>
      <c r="AM11" s="379"/>
      <c r="AN11" s="330"/>
      <c r="AO11" s="379"/>
      <c r="AP11" s="379"/>
      <c r="AQ11" s="330"/>
      <c r="AR11" s="442"/>
      <c r="AS11" s="442"/>
    </row>
    <row r="12" spans="1:60" s="417" customFormat="1" ht="20.100000000000001" customHeight="1" x14ac:dyDescent="0.3">
      <c r="A12" s="409" t="s">
        <v>194</v>
      </c>
      <c r="B12" s="382"/>
      <c r="C12" s="383"/>
      <c r="D12" s="383"/>
      <c r="E12" s="382"/>
      <c r="F12" s="383"/>
      <c r="G12" s="383"/>
      <c r="H12" s="382"/>
      <c r="I12" s="383"/>
      <c r="J12" s="383"/>
      <c r="K12" s="379"/>
      <c r="L12" s="376"/>
      <c r="M12" s="376"/>
      <c r="N12" s="377"/>
      <c r="O12" s="378"/>
      <c r="P12" s="330"/>
      <c r="Q12" s="379"/>
      <c r="R12" s="376"/>
      <c r="S12" s="330"/>
      <c r="T12" s="379"/>
      <c r="U12" s="376"/>
      <c r="V12" s="330"/>
      <c r="W12" s="379"/>
      <c r="X12" s="376"/>
      <c r="Y12" s="330"/>
      <c r="Z12" s="379"/>
      <c r="AA12" s="376"/>
      <c r="AB12" s="330"/>
      <c r="AC12" s="379"/>
      <c r="AD12" s="376"/>
      <c r="AE12" s="330"/>
      <c r="AF12" s="379"/>
      <c r="AG12" s="376"/>
      <c r="AH12" s="330"/>
      <c r="AI12" s="379"/>
      <c r="AJ12" s="376"/>
      <c r="AK12" s="330"/>
      <c r="AL12" s="379"/>
      <c r="AM12" s="379"/>
      <c r="AN12" s="330"/>
      <c r="AO12" s="379"/>
      <c r="AP12" s="379"/>
      <c r="AQ12" s="330"/>
      <c r="AR12" s="442"/>
      <c r="AS12" s="442"/>
    </row>
    <row r="13" spans="1:60" s="444" customFormat="1" ht="20.100000000000001" customHeight="1" x14ac:dyDescent="0.3">
      <c r="A13" s="409" t="s">
        <v>195</v>
      </c>
      <c r="B13" s="384"/>
      <c r="C13" s="385"/>
      <c r="D13" s="385"/>
      <c r="E13" s="384"/>
      <c r="F13" s="385"/>
      <c r="G13" s="385"/>
      <c r="H13" s="384"/>
      <c r="I13" s="385"/>
      <c r="J13" s="385"/>
      <c r="K13" s="390"/>
      <c r="L13" s="386"/>
      <c r="M13" s="386"/>
      <c r="N13" s="387"/>
      <c r="O13" s="388"/>
      <c r="P13" s="389"/>
      <c r="Q13" s="390"/>
      <c r="R13" s="386"/>
      <c r="S13" s="389"/>
      <c r="T13" s="390"/>
      <c r="U13" s="386"/>
      <c r="V13" s="389"/>
      <c r="W13" s="390"/>
      <c r="X13" s="386"/>
      <c r="Y13" s="389"/>
      <c r="Z13" s="390"/>
      <c r="AA13" s="386"/>
      <c r="AB13" s="389"/>
      <c r="AC13" s="390"/>
      <c r="AD13" s="386"/>
      <c r="AE13" s="389"/>
      <c r="AF13" s="390"/>
      <c r="AG13" s="386"/>
      <c r="AH13" s="389"/>
      <c r="AI13" s="390"/>
      <c r="AJ13" s="386"/>
      <c r="AK13" s="389"/>
      <c r="AL13" s="390"/>
      <c r="AM13" s="390"/>
      <c r="AN13" s="389"/>
      <c r="AO13" s="390"/>
      <c r="AP13" s="390"/>
      <c r="AQ13" s="389"/>
      <c r="AR13" s="443"/>
      <c r="AS13" s="443"/>
    </row>
    <row r="14" spans="1:60" s="444" customFormat="1" ht="20.100000000000001" customHeight="1" x14ac:dyDescent="0.3">
      <c r="A14" s="411" t="s">
        <v>196</v>
      </c>
      <c r="B14" s="391"/>
      <c r="C14" s="389"/>
      <c r="D14" s="389"/>
      <c r="E14" s="391"/>
      <c r="F14" s="389"/>
      <c r="G14" s="389"/>
      <c r="H14" s="391"/>
      <c r="I14" s="389"/>
      <c r="J14" s="389"/>
      <c r="K14" s="390"/>
      <c r="L14" s="386">
        <v>27</v>
      </c>
      <c r="M14" s="386"/>
      <c r="N14" s="387"/>
      <c r="O14" s="388"/>
      <c r="P14" s="389"/>
      <c r="Q14" s="390">
        <v>854.37676675</v>
      </c>
      <c r="R14" s="386">
        <v>956.27323775000002</v>
      </c>
      <c r="S14" s="389">
        <f t="shared" ref="S14:S28" si="0">IF(Q14=0, "    ---- ", IF(ABS(ROUND(100/Q14*R14-100,1))&lt;999,ROUND(100/Q14*R14-100,1),IF(ROUND(100/Q14*R14-100,1)&gt;999,999,-999)))</f>
        <v>11.9</v>
      </c>
      <c r="T14" s="390"/>
      <c r="U14" s="386"/>
      <c r="V14" s="389"/>
      <c r="W14" s="390"/>
      <c r="X14" s="386"/>
      <c r="Y14" s="389"/>
      <c r="Z14" s="390"/>
      <c r="AA14" s="386"/>
      <c r="AB14" s="389"/>
      <c r="AC14" s="390"/>
      <c r="AD14" s="386"/>
      <c r="AE14" s="389"/>
      <c r="AF14" s="390">
        <v>1.5920000000000001</v>
      </c>
      <c r="AG14" s="386"/>
      <c r="AH14" s="389">
        <f t="shared" ref="AH14:AH28" si="1">IF(AF14=0, "    ---- ", IF(ABS(ROUND(100/AF14*AG14-100,1))&lt;999,ROUND(100/AF14*AG14-100,1),IF(ROUND(100/AF14*AG14-100,1)&gt;999,999,-999)))</f>
        <v>-100</v>
      </c>
      <c r="AI14" s="390"/>
      <c r="AJ14" s="386"/>
      <c r="AK14" s="389"/>
      <c r="AL14" s="390">
        <f>B14+E14+H14+K14+Q14+T14+W14+Z14+AF14+AI14</f>
        <v>855.96876674999999</v>
      </c>
      <c r="AM14" s="390">
        <f>C14+F14+I14+L14+R14+U14+X14+AA14+AG14+AJ14</f>
        <v>983.27323775000002</v>
      </c>
      <c r="AN14" s="389">
        <f t="shared" ref="AN14:AN28" si="2">IF(AL14=0, "    ---- ", IF(ABS(ROUND(100/AL14*AM14-100,1))&lt;999,ROUND(100/AL14*AM14-100,1),IF(ROUND(100/AL14*AM14-100,1)&gt;999,999,-999)))</f>
        <v>14.9</v>
      </c>
      <c r="AO14" s="390">
        <f>B14+E14+H14+K14+N14+Q14+T14+W14+Z14+AC14+AF14+AI14</f>
        <v>855.96876674999999</v>
      </c>
      <c r="AP14" s="390">
        <f>C14+F14+I14+L14+O14+R14+U14+X14+AA14+AD14+AG14+AJ14</f>
        <v>983.27323775000002</v>
      </c>
      <c r="AQ14" s="389">
        <f t="shared" ref="AQ14:AQ29" si="3">IF(AO14=0, "    ---- ", IF(ABS(ROUND(100/AO14*AP14-100,1))&lt;999,ROUND(100/AO14*AP14-100,1),IF(ROUND(100/AO14*AP14-100,1)&gt;999,999,-999)))</f>
        <v>14.9</v>
      </c>
      <c r="AR14" s="443"/>
      <c r="AS14" s="443"/>
    </row>
    <row r="15" spans="1:60" s="444" customFormat="1" ht="20.100000000000001" customHeight="1" x14ac:dyDescent="0.3">
      <c r="A15" s="411" t="s">
        <v>197</v>
      </c>
      <c r="B15" s="391"/>
      <c r="C15" s="389"/>
      <c r="D15" s="389"/>
      <c r="E15" s="391">
        <v>89.585999999999999</v>
      </c>
      <c r="F15" s="389">
        <f>43.455+39.039</f>
        <v>82.494</v>
      </c>
      <c r="G15" s="389">
        <f t="shared" ref="G15:G28" si="4">IF(E15=0, "    ---- ", IF(ABS(ROUND(100/E15*F15-100,1))&lt;999,ROUND(100/E15*F15-100,1),IF(ROUND(100/E15*F15-100,1)&gt;999,999,-999)))</f>
        <v>-7.9</v>
      </c>
      <c r="H15" s="391"/>
      <c r="I15" s="389"/>
      <c r="J15" s="389"/>
      <c r="K15" s="390"/>
      <c r="L15" s="386"/>
      <c r="M15" s="386"/>
      <c r="N15" s="387"/>
      <c r="O15" s="388"/>
      <c r="P15" s="389"/>
      <c r="Q15" s="390">
        <v>6468.8348577200004</v>
      </c>
      <c r="R15" s="386">
        <v>7557.6194658199993</v>
      </c>
      <c r="S15" s="389">
        <f t="shared" si="0"/>
        <v>16.8</v>
      </c>
      <c r="T15" s="390"/>
      <c r="U15" s="386"/>
      <c r="V15" s="389"/>
      <c r="W15" s="390"/>
      <c r="X15" s="386"/>
      <c r="Y15" s="389"/>
      <c r="Z15" s="390">
        <v>1006</v>
      </c>
      <c r="AA15" s="386">
        <f>619+527</f>
        <v>1146</v>
      </c>
      <c r="AB15" s="389">
        <f t="shared" ref="AB15:AB28" si="5">IF(Z15=0, "    ---- ", IF(ABS(ROUND(100/Z15*AA15-100,1))&lt;999,ROUND(100/Z15*AA15-100,1),IF(ROUND(100/Z15*AA15-100,1)&gt;999,999,-999)))</f>
        <v>13.9</v>
      </c>
      <c r="AC15" s="390"/>
      <c r="AD15" s="386"/>
      <c r="AE15" s="389"/>
      <c r="AF15" s="390">
        <v>1108.922</v>
      </c>
      <c r="AG15" s="386">
        <v>2069.9690000000001</v>
      </c>
      <c r="AH15" s="389">
        <f t="shared" si="1"/>
        <v>86.7</v>
      </c>
      <c r="AI15" s="390">
        <v>12832</v>
      </c>
      <c r="AJ15" s="386">
        <v>12752</v>
      </c>
      <c r="AK15" s="389">
        <f t="shared" ref="AK15:AK28" si="6">IF(AI15=0, "    ---- ", IF(ABS(ROUND(100/AI15*AJ15-100,1))&lt;999,ROUND(100/AI15*AJ15-100,1),IF(ROUND(100/AI15*AJ15-100,1)&gt;999,999,-999)))</f>
        <v>-0.6</v>
      </c>
      <c r="AL15" s="390">
        <f t="shared" ref="AL15:AM29" si="7">B15+E15+H15+K15+Q15+T15+W15+Z15+AF15+AI15</f>
        <v>21505.342857720003</v>
      </c>
      <c r="AM15" s="390">
        <f t="shared" si="7"/>
        <v>23608.08246582</v>
      </c>
      <c r="AN15" s="389">
        <f t="shared" si="2"/>
        <v>9.8000000000000007</v>
      </c>
      <c r="AO15" s="390">
        <f t="shared" ref="AO15:AP29" si="8">B15+E15+H15+K15+N15+Q15+T15+W15+Z15+AC15+AF15+AI15</f>
        <v>21505.342857720003</v>
      </c>
      <c r="AP15" s="390">
        <f t="shared" si="8"/>
        <v>23608.08246582</v>
      </c>
      <c r="AQ15" s="389">
        <f t="shared" si="3"/>
        <v>9.8000000000000007</v>
      </c>
      <c r="AR15" s="443"/>
      <c r="AS15" s="443"/>
    </row>
    <row r="16" spans="1:60" s="444" customFormat="1" ht="20.100000000000001" customHeight="1" x14ac:dyDescent="0.3">
      <c r="A16" s="411" t="s">
        <v>198</v>
      </c>
      <c r="B16" s="391"/>
      <c r="C16" s="389">
        <f>SUM(C17+C19)</f>
        <v>0</v>
      </c>
      <c r="D16" s="389"/>
      <c r="E16" s="391">
        <v>3633.915</v>
      </c>
      <c r="F16" s="389">
        <f>SUM(F17+F19)</f>
        <v>3994.1149999999998</v>
      </c>
      <c r="G16" s="389"/>
      <c r="H16" s="391">
        <v>60.356000000000002</v>
      </c>
      <c r="I16" s="389">
        <f>SUM(I17+I19)</f>
        <v>35.313000000000002</v>
      </c>
      <c r="J16" s="389"/>
      <c r="K16" s="390"/>
      <c r="L16" s="386">
        <f>SUM(L17+L19)</f>
        <v>236</v>
      </c>
      <c r="M16" s="386"/>
      <c r="N16" s="387"/>
      <c r="O16" s="388">
        <f>SUM(O17+O19)</f>
        <v>0</v>
      </c>
      <c r="P16" s="389"/>
      <c r="Q16" s="390">
        <v>16675.42128499</v>
      </c>
      <c r="R16" s="386">
        <f>SUM(R17+R19)</f>
        <v>18144.996687179999</v>
      </c>
      <c r="S16" s="389">
        <f t="shared" si="0"/>
        <v>8.8000000000000007</v>
      </c>
      <c r="T16" s="390">
        <v>226.6</v>
      </c>
      <c r="U16" s="386">
        <f>SUM(U17+U19)</f>
        <v>253.2</v>
      </c>
      <c r="V16" s="389"/>
      <c r="W16" s="390"/>
      <c r="X16" s="386">
        <f>SUM(X17+X19)</f>
        <v>0</v>
      </c>
      <c r="Y16" s="389"/>
      <c r="Z16" s="390">
        <v>4429</v>
      </c>
      <c r="AA16" s="386">
        <f>SUM(AA17+AA19)</f>
        <v>4609</v>
      </c>
      <c r="AB16" s="389">
        <f t="shared" si="5"/>
        <v>4.0999999999999996</v>
      </c>
      <c r="AC16" s="390"/>
      <c r="AD16" s="386">
        <f>SUM(AD17+AD19)</f>
        <v>0</v>
      </c>
      <c r="AE16" s="389"/>
      <c r="AF16" s="390">
        <v>1231.049</v>
      </c>
      <c r="AG16" s="386">
        <f>SUM(AG17+AG19)</f>
        <v>1243.837</v>
      </c>
      <c r="AH16" s="389">
        <f t="shared" si="1"/>
        <v>1</v>
      </c>
      <c r="AI16" s="390">
        <v>4337</v>
      </c>
      <c r="AJ16" s="386">
        <f>SUM(AJ17+AJ19)</f>
        <v>8229</v>
      </c>
      <c r="AK16" s="389">
        <f t="shared" si="6"/>
        <v>89.7</v>
      </c>
      <c r="AL16" s="390">
        <f t="shared" si="7"/>
        <v>30593.341284989998</v>
      </c>
      <c r="AM16" s="390">
        <f t="shared" si="7"/>
        <v>36745.461687179995</v>
      </c>
      <c r="AN16" s="389">
        <f t="shared" si="2"/>
        <v>20.100000000000001</v>
      </c>
      <c r="AO16" s="390">
        <f t="shared" si="8"/>
        <v>30593.341284989998</v>
      </c>
      <c r="AP16" s="390">
        <f t="shared" si="8"/>
        <v>36745.461687179995</v>
      </c>
      <c r="AQ16" s="389">
        <f t="shared" si="3"/>
        <v>20.100000000000001</v>
      </c>
      <c r="AR16" s="443"/>
      <c r="AS16" s="443"/>
    </row>
    <row r="17" spans="1:46" s="444" customFormat="1" ht="20.100000000000001" customHeight="1" x14ac:dyDescent="0.3">
      <c r="A17" s="411" t="s">
        <v>199</v>
      </c>
      <c r="B17" s="391"/>
      <c r="C17" s="389"/>
      <c r="D17" s="389"/>
      <c r="E17" s="391">
        <v>1795.079</v>
      </c>
      <c r="F17" s="389">
        <v>2173.41</v>
      </c>
      <c r="G17" s="389"/>
      <c r="H17" s="391">
        <v>60.356000000000002</v>
      </c>
      <c r="I17" s="389">
        <v>35.313000000000002</v>
      </c>
      <c r="J17" s="389"/>
      <c r="K17" s="390"/>
      <c r="L17" s="386"/>
      <c r="M17" s="386"/>
      <c r="N17" s="387"/>
      <c r="O17" s="388"/>
      <c r="P17" s="389"/>
      <c r="Q17" s="390">
        <v>6927.1890667899997</v>
      </c>
      <c r="R17" s="386">
        <v>6939.9568100299994</v>
      </c>
      <c r="S17" s="389">
        <f t="shared" si="0"/>
        <v>0.2</v>
      </c>
      <c r="T17" s="390"/>
      <c r="U17" s="386"/>
      <c r="V17" s="389"/>
      <c r="W17" s="390"/>
      <c r="X17" s="386"/>
      <c r="Y17" s="389"/>
      <c r="Z17" s="390">
        <v>186</v>
      </c>
      <c r="AA17" s="386">
        <v>139</v>
      </c>
      <c r="AB17" s="389">
        <f t="shared" si="5"/>
        <v>-25.3</v>
      </c>
      <c r="AC17" s="390"/>
      <c r="AD17" s="386"/>
      <c r="AE17" s="389"/>
      <c r="AF17" s="390">
        <v>130.03700000000001</v>
      </c>
      <c r="AG17" s="386">
        <v>130.66200000000001</v>
      </c>
      <c r="AH17" s="389">
        <f t="shared" si="1"/>
        <v>0.5</v>
      </c>
      <c r="AI17" s="390"/>
      <c r="AJ17" s="386"/>
      <c r="AK17" s="389" t="str">
        <f t="shared" si="6"/>
        <v xml:space="preserve">    ---- </v>
      </c>
      <c r="AL17" s="390">
        <f t="shared" si="7"/>
        <v>9098.6610667900004</v>
      </c>
      <c r="AM17" s="390">
        <f t="shared" si="7"/>
        <v>9418.3418100300005</v>
      </c>
      <c r="AN17" s="389">
        <f t="shared" si="2"/>
        <v>3.5</v>
      </c>
      <c r="AO17" s="390">
        <f t="shared" si="8"/>
        <v>9098.6610667900004</v>
      </c>
      <c r="AP17" s="390">
        <f t="shared" si="8"/>
        <v>9418.3418100300005</v>
      </c>
      <c r="AQ17" s="389">
        <f t="shared" si="3"/>
        <v>3.5</v>
      </c>
      <c r="AR17" s="443"/>
      <c r="AS17" s="443"/>
    </row>
    <row r="18" spans="1:46" s="444" customFormat="1" ht="20.100000000000001" customHeight="1" x14ac:dyDescent="0.3">
      <c r="A18" s="411" t="s">
        <v>200</v>
      </c>
      <c r="B18" s="391"/>
      <c r="C18" s="389"/>
      <c r="D18" s="389"/>
      <c r="E18" s="391">
        <v>1795.079</v>
      </c>
      <c r="F18" s="389">
        <v>2173.41</v>
      </c>
      <c r="G18" s="389"/>
      <c r="H18" s="391"/>
      <c r="I18" s="389"/>
      <c r="J18" s="389"/>
      <c r="K18" s="390"/>
      <c r="L18" s="386"/>
      <c r="M18" s="386"/>
      <c r="N18" s="387"/>
      <c r="O18" s="388"/>
      <c r="P18" s="389"/>
      <c r="Q18" s="390">
        <v>6927.1890667899997</v>
      </c>
      <c r="R18" s="386">
        <v>6939.9568100299994</v>
      </c>
      <c r="S18" s="389">
        <f t="shared" si="0"/>
        <v>0.2</v>
      </c>
      <c r="T18" s="390"/>
      <c r="U18" s="386"/>
      <c r="V18" s="389"/>
      <c r="W18" s="390"/>
      <c r="X18" s="386"/>
      <c r="Y18" s="389"/>
      <c r="Z18" s="390"/>
      <c r="AA18" s="386"/>
      <c r="AB18" s="389"/>
      <c r="AC18" s="390"/>
      <c r="AD18" s="386"/>
      <c r="AE18" s="389"/>
      <c r="AF18" s="390">
        <v>27.979119110000013</v>
      </c>
      <c r="AG18" s="386">
        <v>27.989130860000113</v>
      </c>
      <c r="AH18" s="389">
        <f t="shared" si="1"/>
        <v>0</v>
      </c>
      <c r="AI18" s="390"/>
      <c r="AJ18" s="386"/>
      <c r="AK18" s="389" t="str">
        <f t="shared" si="6"/>
        <v xml:space="preserve">    ---- </v>
      </c>
      <c r="AL18" s="390">
        <f t="shared" si="7"/>
        <v>8750.2471858999997</v>
      </c>
      <c r="AM18" s="390">
        <f t="shared" si="7"/>
        <v>9141.3559408899982</v>
      </c>
      <c r="AN18" s="389">
        <f t="shared" si="2"/>
        <v>4.5</v>
      </c>
      <c r="AO18" s="390">
        <f t="shared" si="8"/>
        <v>8750.2471858999997</v>
      </c>
      <c r="AP18" s="390">
        <f t="shared" si="8"/>
        <v>9141.3559408899982</v>
      </c>
      <c r="AQ18" s="389">
        <f t="shared" si="3"/>
        <v>4.5</v>
      </c>
      <c r="AR18" s="443"/>
      <c r="AS18" s="443"/>
    </row>
    <row r="19" spans="1:46" s="444" customFormat="1" ht="20.100000000000001" customHeight="1" x14ac:dyDescent="0.3">
      <c r="A19" s="411" t="s">
        <v>201</v>
      </c>
      <c r="B19" s="391"/>
      <c r="C19" s="389"/>
      <c r="D19" s="389"/>
      <c r="E19" s="391">
        <v>1838.836</v>
      </c>
      <c r="F19" s="389">
        <v>1820.7049999999999</v>
      </c>
      <c r="G19" s="389"/>
      <c r="H19" s="391"/>
      <c r="I19" s="389"/>
      <c r="J19" s="389"/>
      <c r="K19" s="390"/>
      <c r="L19" s="386">
        <v>236</v>
      </c>
      <c r="M19" s="386"/>
      <c r="N19" s="387"/>
      <c r="O19" s="388"/>
      <c r="P19" s="389"/>
      <c r="Q19" s="390">
        <v>9748.2322182000007</v>
      </c>
      <c r="R19" s="386">
        <v>11205.03987715</v>
      </c>
      <c r="S19" s="389">
        <f t="shared" si="0"/>
        <v>14.9</v>
      </c>
      <c r="T19" s="390">
        <v>226.6</v>
      </c>
      <c r="U19" s="386">
        <v>253.2</v>
      </c>
      <c r="V19" s="389"/>
      <c r="W19" s="390"/>
      <c r="X19" s="386"/>
      <c r="Y19" s="389"/>
      <c r="Z19" s="390">
        <v>4243</v>
      </c>
      <c r="AA19" s="386">
        <v>4470</v>
      </c>
      <c r="AB19" s="389">
        <f t="shared" si="5"/>
        <v>5.3</v>
      </c>
      <c r="AC19" s="390"/>
      <c r="AD19" s="386"/>
      <c r="AE19" s="389"/>
      <c r="AF19" s="390">
        <v>1101.0119999999999</v>
      </c>
      <c r="AG19" s="386">
        <v>1113.175</v>
      </c>
      <c r="AH19" s="389">
        <f t="shared" si="1"/>
        <v>1.1000000000000001</v>
      </c>
      <c r="AI19" s="390">
        <v>4337</v>
      </c>
      <c r="AJ19" s="386">
        <f>7777+452</f>
        <v>8229</v>
      </c>
      <c r="AK19" s="389">
        <f t="shared" si="6"/>
        <v>89.7</v>
      </c>
      <c r="AL19" s="390">
        <f t="shared" si="7"/>
        <v>21494.680218199999</v>
      </c>
      <c r="AM19" s="390">
        <f t="shared" si="7"/>
        <v>27327.119877150002</v>
      </c>
      <c r="AN19" s="389">
        <f t="shared" si="2"/>
        <v>27.1</v>
      </c>
      <c r="AO19" s="390">
        <f t="shared" si="8"/>
        <v>21494.680218199999</v>
      </c>
      <c r="AP19" s="390">
        <f t="shared" si="8"/>
        <v>27327.119877150002</v>
      </c>
      <c r="AQ19" s="389">
        <f t="shared" si="3"/>
        <v>27.1</v>
      </c>
      <c r="AR19" s="443"/>
      <c r="AS19" s="443"/>
    </row>
    <row r="20" spans="1:46" s="444" customFormat="1" ht="20.100000000000001" customHeight="1" x14ac:dyDescent="0.3">
      <c r="A20" s="411" t="s">
        <v>202</v>
      </c>
      <c r="B20" s="391">
        <v>233.06800000000001</v>
      </c>
      <c r="C20" s="389">
        <f>SUM(C21:C25)</f>
        <v>245.852</v>
      </c>
      <c r="D20" s="389">
        <f>IF(B20=0, "    ---- ", IF(ABS(ROUND(100/B20*C20-100,1))&lt;999,ROUND(100/B20*C20-100,1),IF(ROUND(100/B20*C20-100,1)&gt;999,999,-999)))</f>
        <v>5.5</v>
      </c>
      <c r="E20" s="391">
        <v>27976.662</v>
      </c>
      <c r="F20" s="389">
        <f>SUM(F21:F25)</f>
        <v>26704.371999999999</v>
      </c>
      <c r="G20" s="389">
        <f t="shared" si="4"/>
        <v>-4.5</v>
      </c>
      <c r="H20" s="391">
        <v>259.03699999999998</v>
      </c>
      <c r="I20" s="389">
        <f>SUM(I21:I25)</f>
        <v>135.696</v>
      </c>
      <c r="J20" s="389">
        <f t="shared" ref="J20:J28" si="9">IF(H20=0, "    ---- ", IF(ABS(ROUND(100/H20*I20-100,1))&lt;999,ROUND(100/H20*I20-100,1),IF(ROUND(100/H20*I20-100,1)&gt;999,999,-999)))</f>
        <v>-47.6</v>
      </c>
      <c r="K20" s="390">
        <v>922.90000000000009</v>
      </c>
      <c r="L20" s="386">
        <f>SUM(L21:L25)</f>
        <v>799</v>
      </c>
      <c r="M20" s="386">
        <f t="shared" ref="M20:M28" si="10">IF(K20=0, "    ---- ", IF(ABS(ROUND(100/K20*L20-100,1))&lt;999,ROUND(100/K20*L20-100,1),IF(ROUND(100/K20*L20-100,1)&gt;999,999,-999)))</f>
        <v>-13.4</v>
      </c>
      <c r="N20" s="387"/>
      <c r="O20" s="388">
        <f>SUM(O21:O25)</f>
        <v>0</v>
      </c>
      <c r="P20" s="389" t="str">
        <f t="shared" ref="P20:P28" si="11">IF(N20=0, "    ---- ", IF(ABS(ROUND(100/N20*O20-100,1))&lt;999,ROUND(100/N20*O20-100,1),IF(ROUND(100/N20*O20-100,1)&gt;999,999,-999)))</f>
        <v xml:space="preserve">    ---- </v>
      </c>
      <c r="Q20" s="390">
        <v>12071.497837420002</v>
      </c>
      <c r="R20" s="386">
        <f>SUM(R21:R25)</f>
        <v>12428.542156610001</v>
      </c>
      <c r="S20" s="389">
        <f t="shared" si="0"/>
        <v>3</v>
      </c>
      <c r="T20" s="390">
        <v>290.7</v>
      </c>
      <c r="U20" s="386">
        <f>SUM(U21:U25)</f>
        <v>245.70000000000002</v>
      </c>
      <c r="V20" s="389">
        <f t="shared" ref="V20:V28" si="12">IF(T20=0, "    ---- ", IF(ABS(ROUND(100/T20*U20-100,1))&lt;999,ROUND(100/T20*U20-100,1),IF(ROUND(100/T20*U20-100,1)&gt;999,999,-999)))</f>
        <v>-15.5</v>
      </c>
      <c r="W20" s="390">
        <v>9982.5299999999988</v>
      </c>
      <c r="X20" s="386">
        <f>SUM(X21:X25)</f>
        <v>10141.1</v>
      </c>
      <c r="Y20" s="389">
        <f t="shared" ref="Y20:Y28" si="13">IF(W20=0, "    ---- ", IF(ABS(ROUND(100/W20*X20-100,1))&lt;999,ROUND(100/W20*X20-100,1),IF(ROUND(100/W20*X20-100,1)&gt;999,999,-999)))</f>
        <v>1.6</v>
      </c>
      <c r="Z20" s="390">
        <v>3183</v>
      </c>
      <c r="AA20" s="386">
        <f>SUM(AA21:AA25)</f>
        <v>3664</v>
      </c>
      <c r="AB20" s="389">
        <f t="shared" si="5"/>
        <v>15.1</v>
      </c>
      <c r="AC20" s="390"/>
      <c r="AD20" s="386">
        <f>SUM(AD21:AD25)</f>
        <v>0</v>
      </c>
      <c r="AE20" s="389"/>
      <c r="AF20" s="390">
        <v>4136.4310000000005</v>
      </c>
      <c r="AG20" s="386">
        <f>SUM(AG21:AG25)</f>
        <v>3264.346</v>
      </c>
      <c r="AH20" s="389">
        <f t="shared" si="1"/>
        <v>-21.1</v>
      </c>
      <c r="AI20" s="390">
        <v>16295</v>
      </c>
      <c r="AJ20" s="386">
        <f>SUM(AJ21:AJ25)</f>
        <v>12664</v>
      </c>
      <c r="AK20" s="389">
        <f t="shared" si="6"/>
        <v>-22.3</v>
      </c>
      <c r="AL20" s="390">
        <f t="shared" si="7"/>
        <v>75350.825837419994</v>
      </c>
      <c r="AM20" s="390">
        <f t="shared" si="7"/>
        <v>70292.608156609989</v>
      </c>
      <c r="AN20" s="389">
        <f t="shared" si="2"/>
        <v>-6.7</v>
      </c>
      <c r="AO20" s="390">
        <f t="shared" si="8"/>
        <v>75350.825837419994</v>
      </c>
      <c r="AP20" s="390">
        <f t="shared" si="8"/>
        <v>70292.608156609989</v>
      </c>
      <c r="AQ20" s="389">
        <f t="shared" si="3"/>
        <v>-6.7</v>
      </c>
      <c r="AR20" s="443"/>
      <c r="AS20" s="443"/>
    </row>
    <row r="21" spans="1:46" s="444" customFormat="1" ht="20.100000000000001" customHeight="1" x14ac:dyDescent="0.3">
      <c r="A21" s="411" t="s">
        <v>203</v>
      </c>
      <c r="B21" s="391">
        <v>5.4180000000000001</v>
      </c>
      <c r="C21" s="389">
        <v>5.6619999999999999</v>
      </c>
      <c r="D21" s="389">
        <f>IF(B21=0, "    ---- ", IF(ABS(ROUND(100/B21*C21-100,1))&lt;999,ROUND(100/B21*C21-100,1),IF(ROUND(100/B21*C21-100,1)&gt;999,999,-999)))</f>
        <v>4.5</v>
      </c>
      <c r="E21" s="391">
        <v>1225.383</v>
      </c>
      <c r="F21" s="389">
        <v>1484.5039999999999</v>
      </c>
      <c r="G21" s="389">
        <f t="shared" si="4"/>
        <v>21.1</v>
      </c>
      <c r="H21" s="391">
        <v>37.183</v>
      </c>
      <c r="I21" s="389">
        <v>17.960999999999999</v>
      </c>
      <c r="J21" s="389">
        <f t="shared" si="9"/>
        <v>-51.7</v>
      </c>
      <c r="K21" s="390">
        <v>19.7</v>
      </c>
      <c r="L21" s="386">
        <v>99.3</v>
      </c>
      <c r="M21" s="386">
        <f t="shared" si="10"/>
        <v>404.1</v>
      </c>
      <c r="N21" s="387"/>
      <c r="O21" s="388"/>
      <c r="P21" s="389" t="str">
        <f t="shared" si="11"/>
        <v xml:space="preserve">    ---- </v>
      </c>
      <c r="Q21" s="390">
        <v>537.87490000000003</v>
      </c>
      <c r="R21" s="386">
        <v>682.96540845000004</v>
      </c>
      <c r="S21" s="389">
        <f t="shared" si="0"/>
        <v>27</v>
      </c>
      <c r="T21" s="390">
        <v>7</v>
      </c>
      <c r="U21" s="386">
        <v>7.6</v>
      </c>
      <c r="V21" s="389">
        <f t="shared" si="12"/>
        <v>8.6</v>
      </c>
      <c r="W21" s="390">
        <v>192</v>
      </c>
      <c r="X21" s="386"/>
      <c r="Y21" s="389">
        <f t="shared" si="13"/>
        <v>-100</v>
      </c>
      <c r="Z21" s="390">
        <v>1400</v>
      </c>
      <c r="AA21" s="386">
        <v>1881</v>
      </c>
      <c r="AB21" s="389"/>
      <c r="AC21" s="390"/>
      <c r="AD21" s="386"/>
      <c r="AE21" s="389"/>
      <c r="AF21" s="390">
        <v>0.52700000000000002</v>
      </c>
      <c r="AG21" s="386">
        <v>0.48899999999999999</v>
      </c>
      <c r="AH21" s="389">
        <f t="shared" si="1"/>
        <v>-7.2</v>
      </c>
      <c r="AI21" s="390">
        <v>22</v>
      </c>
      <c r="AJ21" s="386">
        <v>15</v>
      </c>
      <c r="AK21" s="389">
        <f t="shared" si="6"/>
        <v>-31.8</v>
      </c>
      <c r="AL21" s="390">
        <f t="shared" si="7"/>
        <v>3447.0859</v>
      </c>
      <c r="AM21" s="390">
        <f t="shared" si="7"/>
        <v>4194.4814084499994</v>
      </c>
      <c r="AN21" s="389">
        <f t="shared" si="2"/>
        <v>21.7</v>
      </c>
      <c r="AO21" s="390">
        <f t="shared" si="8"/>
        <v>3447.0859</v>
      </c>
      <c r="AP21" s="390">
        <f t="shared" si="8"/>
        <v>4194.4814084499994</v>
      </c>
      <c r="AQ21" s="389">
        <f t="shared" si="3"/>
        <v>21.7</v>
      </c>
      <c r="AR21" s="443"/>
      <c r="AS21" s="443"/>
    </row>
    <row r="22" spans="1:46" s="444" customFormat="1" ht="20.100000000000001" customHeight="1" x14ac:dyDescent="0.3">
      <c r="A22" s="411" t="s">
        <v>204</v>
      </c>
      <c r="B22" s="391">
        <v>227.65</v>
      </c>
      <c r="C22" s="389">
        <v>240.19</v>
      </c>
      <c r="D22" s="389">
        <f>IF(B22=0, "    ---- ", IF(ABS(ROUND(100/B22*C22-100,1))&lt;999,ROUND(100/B22*C22-100,1),IF(ROUND(100/B22*C22-100,1)&gt;999,999,-999)))</f>
        <v>5.5</v>
      </c>
      <c r="E22" s="391">
        <v>26738.57</v>
      </c>
      <c r="F22" s="389">
        <v>25184.307000000001</v>
      </c>
      <c r="G22" s="389">
        <f t="shared" si="4"/>
        <v>-5.8</v>
      </c>
      <c r="H22" s="391">
        <v>185.357</v>
      </c>
      <c r="I22" s="389">
        <v>96.048000000000002</v>
      </c>
      <c r="J22" s="389">
        <f t="shared" si="9"/>
        <v>-48.2</v>
      </c>
      <c r="K22" s="390">
        <v>805.5</v>
      </c>
      <c r="L22" s="386">
        <v>699.7</v>
      </c>
      <c r="M22" s="386">
        <f t="shared" si="10"/>
        <v>-13.1</v>
      </c>
      <c r="N22" s="387"/>
      <c r="O22" s="388"/>
      <c r="P22" s="389"/>
      <c r="Q22" s="390">
        <v>8873.0011446900007</v>
      </c>
      <c r="R22" s="386">
        <v>9579.40320307</v>
      </c>
      <c r="S22" s="389">
        <f t="shared" si="0"/>
        <v>8</v>
      </c>
      <c r="T22" s="390">
        <v>274.89999999999998</v>
      </c>
      <c r="U22" s="386">
        <v>220.3</v>
      </c>
      <c r="V22" s="389">
        <f t="shared" si="12"/>
        <v>-19.899999999999999</v>
      </c>
      <c r="W22" s="390">
        <v>9622.2099999999991</v>
      </c>
      <c r="X22" s="386">
        <v>10141.1</v>
      </c>
      <c r="Y22" s="389">
        <f t="shared" si="13"/>
        <v>5.4</v>
      </c>
      <c r="Z22" s="390">
        <v>1763</v>
      </c>
      <c r="AA22" s="386">
        <v>1787</v>
      </c>
      <c r="AB22" s="389">
        <f t="shared" si="5"/>
        <v>1.4</v>
      </c>
      <c r="AC22" s="390"/>
      <c r="AD22" s="386"/>
      <c r="AE22" s="389"/>
      <c r="AF22" s="390">
        <v>3221.03</v>
      </c>
      <c r="AG22" s="386">
        <v>2697.8319999999999</v>
      </c>
      <c r="AH22" s="389">
        <f t="shared" si="1"/>
        <v>-16.2</v>
      </c>
      <c r="AI22" s="390">
        <v>14999</v>
      </c>
      <c r="AJ22" s="386">
        <v>11387</v>
      </c>
      <c r="AK22" s="389">
        <f t="shared" si="6"/>
        <v>-24.1</v>
      </c>
      <c r="AL22" s="390">
        <f t="shared" si="7"/>
        <v>66710.218144690007</v>
      </c>
      <c r="AM22" s="390">
        <f t="shared" si="7"/>
        <v>62032.880203070003</v>
      </c>
      <c r="AN22" s="389">
        <f t="shared" si="2"/>
        <v>-7</v>
      </c>
      <c r="AO22" s="390">
        <f t="shared" si="8"/>
        <v>66710.218144690007</v>
      </c>
      <c r="AP22" s="390">
        <f t="shared" si="8"/>
        <v>62032.880203070003</v>
      </c>
      <c r="AQ22" s="389">
        <f t="shared" si="3"/>
        <v>-7</v>
      </c>
      <c r="AR22" s="443"/>
      <c r="AS22" s="443"/>
    </row>
    <row r="23" spans="1:46" s="444" customFormat="1" ht="20.100000000000001" customHeight="1" x14ac:dyDescent="0.3">
      <c r="A23" s="411" t="s">
        <v>205</v>
      </c>
      <c r="B23" s="391"/>
      <c r="C23" s="389"/>
      <c r="D23" s="389"/>
      <c r="E23" s="391">
        <v>3.8540000000000001</v>
      </c>
      <c r="F23" s="389">
        <v>0.20599999999999999</v>
      </c>
      <c r="G23" s="389">
        <f t="shared" si="4"/>
        <v>-94.7</v>
      </c>
      <c r="H23" s="391"/>
      <c r="I23" s="389"/>
      <c r="J23" s="389"/>
      <c r="K23" s="390"/>
      <c r="L23" s="386"/>
      <c r="M23" s="386" t="str">
        <f t="shared" si="10"/>
        <v xml:space="preserve">    ---- </v>
      </c>
      <c r="N23" s="387"/>
      <c r="O23" s="388"/>
      <c r="P23" s="389"/>
      <c r="Q23" s="390">
        <v>1629.3112922100001</v>
      </c>
      <c r="R23" s="386">
        <v>1433.5513311500001</v>
      </c>
      <c r="S23" s="389">
        <f t="shared" si="0"/>
        <v>-12</v>
      </c>
      <c r="T23" s="390">
        <v>8.8000000000000007</v>
      </c>
      <c r="U23" s="386">
        <v>17.8</v>
      </c>
      <c r="V23" s="389">
        <f t="shared" si="12"/>
        <v>102.3</v>
      </c>
      <c r="W23" s="390">
        <v>168.32</v>
      </c>
      <c r="X23" s="386"/>
      <c r="Y23" s="389">
        <f t="shared" si="13"/>
        <v>-100</v>
      </c>
      <c r="Z23" s="390"/>
      <c r="AA23" s="386"/>
      <c r="AB23" s="389" t="str">
        <f t="shared" si="5"/>
        <v xml:space="preserve">    ---- </v>
      </c>
      <c r="AC23" s="390"/>
      <c r="AD23" s="386"/>
      <c r="AE23" s="389"/>
      <c r="AF23" s="390"/>
      <c r="AG23" s="386">
        <v>0</v>
      </c>
      <c r="AH23" s="389" t="str">
        <f t="shared" si="1"/>
        <v xml:space="preserve">    ---- </v>
      </c>
      <c r="AI23" s="390"/>
      <c r="AJ23" s="386"/>
      <c r="AK23" s="389" t="str">
        <f t="shared" si="6"/>
        <v xml:space="preserve">    ---- </v>
      </c>
      <c r="AL23" s="390">
        <f t="shared" si="7"/>
        <v>1810.2852922100001</v>
      </c>
      <c r="AM23" s="390">
        <f t="shared" si="7"/>
        <v>1451.55733115</v>
      </c>
      <c r="AN23" s="389">
        <f t="shared" si="2"/>
        <v>-19.8</v>
      </c>
      <c r="AO23" s="390">
        <f t="shared" si="8"/>
        <v>1810.2852922100001</v>
      </c>
      <c r="AP23" s="390">
        <f t="shared" si="8"/>
        <v>1451.55733115</v>
      </c>
      <c r="AQ23" s="389">
        <f t="shared" si="3"/>
        <v>-19.8</v>
      </c>
      <c r="AR23" s="443"/>
      <c r="AS23" s="443"/>
    </row>
    <row r="24" spans="1:46" s="444" customFormat="1" ht="20.100000000000001" customHeight="1" x14ac:dyDescent="0.3">
      <c r="A24" s="411" t="s">
        <v>206</v>
      </c>
      <c r="B24" s="391"/>
      <c r="C24" s="389"/>
      <c r="D24" s="389"/>
      <c r="E24" s="391"/>
      <c r="F24" s="389">
        <v>0</v>
      </c>
      <c r="G24" s="389" t="str">
        <f t="shared" si="4"/>
        <v xml:space="preserve">    ---- </v>
      </c>
      <c r="H24" s="391"/>
      <c r="I24" s="389"/>
      <c r="J24" s="389"/>
      <c r="K24" s="390"/>
      <c r="L24" s="386"/>
      <c r="M24" s="386"/>
      <c r="N24" s="387"/>
      <c r="O24" s="388"/>
      <c r="P24" s="389"/>
      <c r="Q24" s="390">
        <v>531.24430643999995</v>
      </c>
      <c r="R24" s="386">
        <v>690.62990689000003</v>
      </c>
      <c r="S24" s="389">
        <f t="shared" si="0"/>
        <v>30</v>
      </c>
      <c r="T24" s="390"/>
      <c r="U24" s="386"/>
      <c r="V24" s="389"/>
      <c r="W24" s="390"/>
      <c r="X24" s="386"/>
      <c r="Y24" s="389"/>
      <c r="Z24" s="390">
        <v>20</v>
      </c>
      <c r="AA24" s="386">
        <v>-4</v>
      </c>
      <c r="AB24" s="389">
        <f t="shared" si="5"/>
        <v>-120</v>
      </c>
      <c r="AC24" s="390"/>
      <c r="AD24" s="386"/>
      <c r="AE24" s="389"/>
      <c r="AF24" s="390"/>
      <c r="AG24" s="386">
        <v>0</v>
      </c>
      <c r="AH24" s="389"/>
      <c r="AI24" s="390">
        <v>1274</v>
      </c>
      <c r="AJ24" s="386">
        <v>1262</v>
      </c>
      <c r="AK24" s="389">
        <f t="shared" si="6"/>
        <v>-0.9</v>
      </c>
      <c r="AL24" s="390">
        <f t="shared" si="7"/>
        <v>1825.2443064399999</v>
      </c>
      <c r="AM24" s="390">
        <f t="shared" si="7"/>
        <v>1948.62990689</v>
      </c>
      <c r="AN24" s="389">
        <f t="shared" si="2"/>
        <v>6.8</v>
      </c>
      <c r="AO24" s="390">
        <f t="shared" si="8"/>
        <v>1825.2443064399999</v>
      </c>
      <c r="AP24" s="390">
        <f t="shared" si="8"/>
        <v>1948.62990689</v>
      </c>
      <c r="AQ24" s="389">
        <f t="shared" si="3"/>
        <v>6.8</v>
      </c>
      <c r="AR24" s="443"/>
      <c r="AS24" s="443"/>
    </row>
    <row r="25" spans="1:46" s="444" customFormat="1" ht="20.100000000000001" customHeight="1" x14ac:dyDescent="0.3">
      <c r="A25" s="411" t="s">
        <v>207</v>
      </c>
      <c r="B25" s="391"/>
      <c r="C25" s="389"/>
      <c r="D25" s="389"/>
      <c r="E25" s="391">
        <v>8.8550000000000004</v>
      </c>
      <c r="F25" s="389">
        <v>35.354999999999997</v>
      </c>
      <c r="G25" s="389">
        <f t="shared" si="4"/>
        <v>299.3</v>
      </c>
      <c r="H25" s="391">
        <v>36.497</v>
      </c>
      <c r="I25" s="389">
        <v>21.687000000000001</v>
      </c>
      <c r="J25" s="389">
        <f t="shared" si="9"/>
        <v>-40.6</v>
      </c>
      <c r="K25" s="390">
        <v>97.7</v>
      </c>
      <c r="L25" s="386"/>
      <c r="M25" s="386"/>
      <c r="N25" s="387"/>
      <c r="O25" s="388"/>
      <c r="P25" s="389"/>
      <c r="Q25" s="390">
        <v>500.06619408</v>
      </c>
      <c r="R25" s="386">
        <v>41.992307049999994</v>
      </c>
      <c r="S25" s="389">
        <f t="shared" si="0"/>
        <v>-91.6</v>
      </c>
      <c r="T25" s="390">
        <v>0</v>
      </c>
      <c r="U25" s="386"/>
      <c r="V25" s="389"/>
      <c r="W25" s="390"/>
      <c r="X25" s="386"/>
      <c r="Y25" s="389"/>
      <c r="Z25" s="390"/>
      <c r="AA25" s="386"/>
      <c r="AB25" s="389"/>
      <c r="AC25" s="390"/>
      <c r="AD25" s="386"/>
      <c r="AE25" s="389"/>
      <c r="AF25" s="390">
        <v>914.87400000000002</v>
      </c>
      <c r="AG25" s="386">
        <v>566.02499999999998</v>
      </c>
      <c r="AH25" s="389">
        <f t="shared" si="1"/>
        <v>-38.1</v>
      </c>
      <c r="AI25" s="390"/>
      <c r="AJ25" s="386"/>
      <c r="AK25" s="389" t="str">
        <f t="shared" si="6"/>
        <v xml:space="preserve">    ---- </v>
      </c>
      <c r="AL25" s="390">
        <f t="shared" si="7"/>
        <v>1557.99219408</v>
      </c>
      <c r="AM25" s="390">
        <f t="shared" si="7"/>
        <v>665.05930704999992</v>
      </c>
      <c r="AN25" s="389">
        <f t="shared" si="2"/>
        <v>-57.3</v>
      </c>
      <c r="AO25" s="390">
        <f t="shared" si="8"/>
        <v>1557.99219408</v>
      </c>
      <c r="AP25" s="390">
        <f t="shared" si="8"/>
        <v>665.05930704999992</v>
      </c>
      <c r="AQ25" s="389">
        <f t="shared" si="3"/>
        <v>-57.3</v>
      </c>
      <c r="AR25" s="443"/>
      <c r="AS25" s="443"/>
    </row>
    <row r="26" spans="1:46" s="444" customFormat="1" ht="20.100000000000001" customHeight="1" x14ac:dyDescent="0.3">
      <c r="A26" s="411" t="s">
        <v>208</v>
      </c>
      <c r="B26" s="391"/>
      <c r="C26" s="389"/>
      <c r="D26" s="389"/>
      <c r="E26" s="391"/>
      <c r="F26" s="389"/>
      <c r="G26" s="389"/>
      <c r="H26" s="391"/>
      <c r="I26" s="389"/>
      <c r="J26" s="389"/>
      <c r="K26" s="390"/>
      <c r="L26" s="386"/>
      <c r="M26" s="386"/>
      <c r="N26" s="387"/>
      <c r="O26" s="388"/>
      <c r="P26" s="389"/>
      <c r="Q26" s="390"/>
      <c r="R26" s="386"/>
      <c r="S26" s="389"/>
      <c r="T26" s="390"/>
      <c r="U26" s="386"/>
      <c r="V26" s="389"/>
      <c r="W26" s="390"/>
      <c r="X26" s="386"/>
      <c r="Y26" s="389"/>
      <c r="Z26" s="390"/>
      <c r="AA26" s="386"/>
      <c r="AB26" s="389"/>
      <c r="AC26" s="390"/>
      <c r="AD26" s="386"/>
      <c r="AE26" s="389"/>
      <c r="AF26" s="390"/>
      <c r="AG26" s="386"/>
      <c r="AH26" s="389"/>
      <c r="AI26" s="390"/>
      <c r="AJ26" s="386"/>
      <c r="AK26" s="389"/>
      <c r="AL26" s="390">
        <f t="shared" si="7"/>
        <v>0</v>
      </c>
      <c r="AM26" s="390">
        <f t="shared" si="7"/>
        <v>0</v>
      </c>
      <c r="AN26" s="389" t="str">
        <f t="shared" si="2"/>
        <v xml:space="preserve">    ---- </v>
      </c>
      <c r="AO26" s="390">
        <f t="shared" si="8"/>
        <v>0</v>
      </c>
      <c r="AP26" s="390">
        <f t="shared" si="8"/>
        <v>0</v>
      </c>
      <c r="AQ26" s="389" t="str">
        <f t="shared" si="3"/>
        <v xml:space="preserve">    ---- </v>
      </c>
      <c r="AR26" s="443"/>
      <c r="AS26" s="443"/>
    </row>
    <row r="27" spans="1:46" s="444" customFormat="1" ht="20.100000000000001" customHeight="1" x14ac:dyDescent="0.3">
      <c r="A27" s="412" t="s">
        <v>209</v>
      </c>
      <c r="B27" s="391">
        <v>233.06800000000001</v>
      </c>
      <c r="C27" s="389">
        <f>SUM(C14+C15+C16+C20+C26)</f>
        <v>245.852</v>
      </c>
      <c r="D27" s="389">
        <f>IF(B27=0, "    ---- ", IF(ABS(ROUND(100/B27*C27-100,1))&lt;999,ROUND(100/B27*C27-100,1),IF(ROUND(100/B27*C27-100,1)&gt;999,999,-999)))</f>
        <v>5.5</v>
      </c>
      <c r="E27" s="391">
        <v>31700.163</v>
      </c>
      <c r="F27" s="389">
        <f>SUM(F14+F15+F16+F20+F26)</f>
        <v>30780.981</v>
      </c>
      <c r="G27" s="389">
        <f t="shared" si="4"/>
        <v>-2.9</v>
      </c>
      <c r="H27" s="391">
        <v>319.39299999999997</v>
      </c>
      <c r="I27" s="389">
        <f>SUM(I14+I15+I16+I20+I26)</f>
        <v>171.00900000000001</v>
      </c>
      <c r="J27" s="389">
        <f t="shared" si="9"/>
        <v>-46.5</v>
      </c>
      <c r="K27" s="390">
        <v>922.90000000000009</v>
      </c>
      <c r="L27" s="386">
        <f>SUM(L14+L15+L16+L20+L26)</f>
        <v>1062</v>
      </c>
      <c r="M27" s="386">
        <f t="shared" si="10"/>
        <v>15.1</v>
      </c>
      <c r="N27" s="387"/>
      <c r="O27" s="388">
        <f>SUM(O14+O15+O16+O20+O26)</f>
        <v>0</v>
      </c>
      <c r="P27" s="389" t="str">
        <f t="shared" si="11"/>
        <v xml:space="preserve">    ---- </v>
      </c>
      <c r="Q27" s="390">
        <v>36070.130746880001</v>
      </c>
      <c r="R27" s="386">
        <f>SUM(R14+R15+R16+R20+R26)</f>
        <v>39087.43154736</v>
      </c>
      <c r="S27" s="389">
        <f t="shared" si="0"/>
        <v>8.4</v>
      </c>
      <c r="T27" s="390">
        <v>517.29999999999995</v>
      </c>
      <c r="U27" s="386">
        <f>SUM(U14+U15+U16+U20+U26)</f>
        <v>498.9</v>
      </c>
      <c r="V27" s="389">
        <f t="shared" si="12"/>
        <v>-3.6</v>
      </c>
      <c r="W27" s="390">
        <v>9982.5299999999988</v>
      </c>
      <c r="X27" s="386">
        <f>SUM(X14+X15+X16+X20+X26)</f>
        <v>10141.1</v>
      </c>
      <c r="Y27" s="389">
        <f t="shared" si="13"/>
        <v>1.6</v>
      </c>
      <c r="Z27" s="390">
        <v>8618</v>
      </c>
      <c r="AA27" s="386">
        <f>SUM(AA14+AA15+AA16+AA20+AA26)</f>
        <v>9419</v>
      </c>
      <c r="AB27" s="389">
        <f t="shared" si="5"/>
        <v>9.3000000000000007</v>
      </c>
      <c r="AC27" s="390"/>
      <c r="AD27" s="386">
        <f>SUM(AD14+AD15+AD16+AD20+AD26)</f>
        <v>0</v>
      </c>
      <c r="AE27" s="389"/>
      <c r="AF27" s="390">
        <v>6477.9940000000006</v>
      </c>
      <c r="AG27" s="386">
        <f>SUM(AG14+AG15+AG16+AG20+AG26)</f>
        <v>6578.152</v>
      </c>
      <c r="AH27" s="389">
        <f t="shared" si="1"/>
        <v>1.5</v>
      </c>
      <c r="AI27" s="390">
        <v>33464</v>
      </c>
      <c r="AJ27" s="386">
        <f>SUM(AJ14+AJ15+AJ16+AJ20+AJ26)</f>
        <v>33645</v>
      </c>
      <c r="AK27" s="389">
        <f t="shared" si="6"/>
        <v>0.5</v>
      </c>
      <c r="AL27" s="390">
        <f t="shared" si="7"/>
        <v>128305.47874688001</v>
      </c>
      <c r="AM27" s="390">
        <f t="shared" si="7"/>
        <v>131629.42554736001</v>
      </c>
      <c r="AN27" s="389">
        <f t="shared" si="2"/>
        <v>2.6</v>
      </c>
      <c r="AO27" s="390">
        <f t="shared" si="8"/>
        <v>128305.47874688001</v>
      </c>
      <c r="AP27" s="390">
        <f t="shared" si="8"/>
        <v>131629.42554736001</v>
      </c>
      <c r="AQ27" s="389">
        <f t="shared" si="3"/>
        <v>2.6</v>
      </c>
      <c r="AR27" s="443"/>
      <c r="AS27" s="443"/>
    </row>
    <row r="28" spans="1:46" s="444" customFormat="1" ht="20.100000000000001" customHeight="1" x14ac:dyDescent="0.3">
      <c r="A28" s="411" t="s">
        <v>210</v>
      </c>
      <c r="B28" s="391">
        <v>264.37900000000002</v>
      </c>
      <c r="C28" s="389">
        <f>33.291+212.273+1.205</f>
        <v>246.76900000000001</v>
      </c>
      <c r="D28" s="389">
        <f>IF(B28=0, "    ---- ", IF(ABS(ROUND(100/B28*C28-100,1))&lt;999,ROUND(100/B28*C28-100,1),IF(ROUND(100/B28*C28-100,1)&gt;999,999,-999)))</f>
        <v>-6.7</v>
      </c>
      <c r="E28" s="391">
        <v>1209.3599999999999</v>
      </c>
      <c r="F28" s="389">
        <f>8.019+269.719+636.291+52.62</f>
        <v>966.649</v>
      </c>
      <c r="G28" s="389">
        <f t="shared" si="4"/>
        <v>-20.100000000000001</v>
      </c>
      <c r="H28" s="391">
        <v>496.46199999999999</v>
      </c>
      <c r="I28" s="389">
        <v>551.30799999999999</v>
      </c>
      <c r="J28" s="389">
        <f t="shared" si="9"/>
        <v>11</v>
      </c>
      <c r="K28" s="390">
        <v>264.3</v>
      </c>
      <c r="L28" s="386">
        <f>58.9+80.5+139.8+21.4</f>
        <v>300.60000000000002</v>
      </c>
      <c r="M28" s="386">
        <f t="shared" si="10"/>
        <v>13.7</v>
      </c>
      <c r="N28" s="387">
        <v>144</v>
      </c>
      <c r="O28" s="388">
        <v>145.92903175999999</v>
      </c>
      <c r="P28" s="389">
        <f t="shared" si="11"/>
        <v>1.3</v>
      </c>
      <c r="Q28" s="390">
        <v>2127.75903668</v>
      </c>
      <c r="R28" s="386">
        <v>2378.3299435700001</v>
      </c>
      <c r="S28" s="389">
        <f t="shared" si="0"/>
        <v>11.8</v>
      </c>
      <c r="T28" s="390">
        <v>38.299999999999997</v>
      </c>
      <c r="U28" s="386">
        <v>25.6</v>
      </c>
      <c r="V28" s="389">
        <f t="shared" si="12"/>
        <v>-33.200000000000003</v>
      </c>
      <c r="W28" s="390">
        <v>342</v>
      </c>
      <c r="X28" s="386">
        <v>733.5</v>
      </c>
      <c r="Y28" s="389">
        <f t="shared" si="13"/>
        <v>114.5</v>
      </c>
      <c r="Z28" s="390">
        <v>1129</v>
      </c>
      <c r="AA28" s="386">
        <f>79+560+32+17</f>
        <v>688</v>
      </c>
      <c r="AB28" s="389">
        <f t="shared" si="5"/>
        <v>-39.1</v>
      </c>
      <c r="AC28" s="390">
        <v>49</v>
      </c>
      <c r="AD28" s="386">
        <v>67.146963799999995</v>
      </c>
      <c r="AE28" s="389">
        <f>IF(AC28=0, "    ---- ", IF(ABS(ROUND(100/AC28*AD28-100,1))&lt;999,ROUND(100/AC28*AD28-100,1),IF(ROUND(100/AC28*AD28-100,1)&gt;999,999,-999)))</f>
        <v>37</v>
      </c>
      <c r="AF28" s="390">
        <v>472.54599999999999</v>
      </c>
      <c r="AG28" s="386">
        <v>498.52800000000002</v>
      </c>
      <c r="AH28" s="389">
        <f t="shared" si="1"/>
        <v>5.5</v>
      </c>
      <c r="AI28" s="390">
        <v>3867</v>
      </c>
      <c r="AJ28" s="386">
        <f>338+2476+2705+47+1</f>
        <v>5567</v>
      </c>
      <c r="AK28" s="389">
        <f t="shared" si="6"/>
        <v>44</v>
      </c>
      <c r="AL28" s="390">
        <f t="shared" si="7"/>
        <v>10211.106036680001</v>
      </c>
      <c r="AM28" s="390">
        <f t="shared" si="7"/>
        <v>11956.283943570001</v>
      </c>
      <c r="AN28" s="389">
        <f t="shared" si="2"/>
        <v>17.100000000000001</v>
      </c>
      <c r="AO28" s="390">
        <f t="shared" si="8"/>
        <v>10404.106036680001</v>
      </c>
      <c r="AP28" s="390">
        <f t="shared" si="8"/>
        <v>12169.359939130001</v>
      </c>
      <c r="AQ28" s="389">
        <f t="shared" si="3"/>
        <v>17</v>
      </c>
      <c r="AR28" s="443"/>
      <c r="AS28" s="443"/>
    </row>
    <row r="29" spans="1:46" s="444" customFormat="1" ht="20.100000000000001" customHeight="1" x14ac:dyDescent="0.3">
      <c r="A29" s="411" t="s">
        <v>211</v>
      </c>
      <c r="B29" s="391">
        <v>497.447</v>
      </c>
      <c r="C29" s="389">
        <f>SUM(C27+C28)</f>
        <v>492.62099999999998</v>
      </c>
      <c r="D29" s="389">
        <f>IF(B29=0, "    ---- ", IF(ABS(ROUND(100/B29*C29-100,1))&lt;999,ROUND(100/B29*C29-100,1),IF(ROUND(100/B29*C29-100,1)&gt;999,999,-999)))</f>
        <v>-1</v>
      </c>
      <c r="E29" s="391">
        <v>32909.523000000001</v>
      </c>
      <c r="F29" s="389">
        <f>SUM(F27+F28)</f>
        <v>31747.63</v>
      </c>
      <c r="G29" s="389">
        <f>IF(E29=0, "    ---- ", IF(ABS(ROUND(100/E29*F29-100,1))&lt;999,ROUND(100/E29*F29-100,1),IF(ROUND(100/E29*F29-100,1)&gt;999,999,-999)))</f>
        <v>-3.5</v>
      </c>
      <c r="H29" s="391">
        <v>815.85500000000002</v>
      </c>
      <c r="I29" s="389">
        <f>SUM(I27+I28)</f>
        <v>722.31700000000001</v>
      </c>
      <c r="J29" s="389">
        <f>IF(H29=0, "    ---- ", IF(ABS(ROUND(100/H29*I29-100,1))&lt;999,ROUND(100/H29*I29-100,1),IF(ROUND(100/H29*I29-100,1)&gt;999,999,-999)))</f>
        <v>-11.5</v>
      </c>
      <c r="K29" s="391">
        <v>1187.2</v>
      </c>
      <c r="L29" s="389">
        <f>SUM(L27+L28)</f>
        <v>1362.6</v>
      </c>
      <c r="M29" s="389">
        <f>IF(K29=0, "    ---- ", IF(ABS(ROUND(100/K29*L29-100,1))&lt;999,ROUND(100/K29*L29-100,1),IF(ROUND(100/K29*L29-100,1)&gt;999,999,-999)))</f>
        <v>14.8</v>
      </c>
      <c r="N29" s="391">
        <v>144</v>
      </c>
      <c r="O29" s="389">
        <f>SUM(O27+O28)</f>
        <v>145.92903175999999</v>
      </c>
      <c r="P29" s="389">
        <f>IF(N29=0, "    ---- ", IF(ABS(ROUND(100/N29*O29-100,1))&lt;999,ROUND(100/N29*O29-100,1),IF(ROUND(100/N29*O29-100,1)&gt;999,999,-999)))</f>
        <v>1.3</v>
      </c>
      <c r="Q29" s="391">
        <v>38197.88978356</v>
      </c>
      <c r="R29" s="389">
        <f>SUM(R27+R28)</f>
        <v>41465.761490930003</v>
      </c>
      <c r="S29" s="389">
        <f>IF(Q29=0, "    ---- ", IF(ABS(ROUND(100/Q29*R29-100,1))&lt;999,ROUND(100/Q29*R29-100,1),IF(ROUND(100/Q29*R29-100,1)&gt;999,999,-999)))</f>
        <v>8.6</v>
      </c>
      <c r="T29" s="391">
        <v>555.59999999999991</v>
      </c>
      <c r="U29" s="389">
        <f>SUM(U27+U28)</f>
        <v>524.5</v>
      </c>
      <c r="V29" s="389">
        <f>IF(T29=0, "    ---- ", IF(ABS(ROUND(100/T29*U29-100,1))&lt;999,ROUND(100/T29*U29-100,1),IF(ROUND(100/T29*U29-100,1)&gt;999,999,-999)))</f>
        <v>-5.6</v>
      </c>
      <c r="W29" s="391">
        <v>10324.529999999999</v>
      </c>
      <c r="X29" s="389">
        <f>SUM(X27+X28)</f>
        <v>10874.6</v>
      </c>
      <c r="Y29" s="389">
        <f>IF(W29=0, "    ---- ", IF(ABS(ROUND(100/W29*X29-100,1))&lt;999,ROUND(100/W29*X29-100,1),IF(ROUND(100/W29*X29-100,1)&gt;999,999,-999)))</f>
        <v>5.3</v>
      </c>
      <c r="Z29" s="391">
        <v>9747</v>
      </c>
      <c r="AA29" s="389">
        <f>SUM(AA27+AA28)</f>
        <v>10107</v>
      </c>
      <c r="AB29" s="389">
        <f>IF(Z29=0, "    ---- ", IF(ABS(ROUND(100/Z29*AA29-100,1))&lt;999,ROUND(100/Z29*AA29-100,1),IF(ROUND(100/Z29*AA29-100,1)&gt;999,999,-999)))</f>
        <v>3.7</v>
      </c>
      <c r="AC29" s="391">
        <v>49</v>
      </c>
      <c r="AD29" s="389">
        <f>SUM(AD27+AD28)</f>
        <v>67.146963799999995</v>
      </c>
      <c r="AE29" s="389">
        <f>IF(AC29=0, "    ---- ", IF(ABS(ROUND(100/AC29*AD29-100,1))&lt;999,ROUND(100/AC29*AD29-100,1),IF(ROUND(100/AC29*AD29-100,1)&gt;999,999,-999)))</f>
        <v>37</v>
      </c>
      <c r="AF29" s="391">
        <v>6950.5400000000009</v>
      </c>
      <c r="AG29" s="389">
        <f>SUM(AG27+AG28)</f>
        <v>7076.68</v>
      </c>
      <c r="AH29" s="389">
        <f>IF(AF29=0, "    ---- ", IF(ABS(ROUND(100/AF29*AG29-100,1))&lt;999,ROUND(100/AF29*AG29-100,1),IF(ROUND(100/AF29*AG29-100,1)&gt;999,999,-999)))</f>
        <v>1.8</v>
      </c>
      <c r="AI29" s="391">
        <v>37331</v>
      </c>
      <c r="AJ29" s="389">
        <f>SUM(AJ27+AJ28)</f>
        <v>39212</v>
      </c>
      <c r="AK29" s="389">
        <f>IF(AI29=0, "    ---- ", IF(ABS(ROUND(100/AI29*AJ29-100,1))&lt;999,ROUND(100/AI29*AJ29-100,1),IF(ROUND(100/AI29*AJ29-100,1)&gt;999,999,-999)))</f>
        <v>5</v>
      </c>
      <c r="AL29" s="390">
        <f t="shared" si="7"/>
        <v>138516.58478356001</v>
      </c>
      <c r="AM29" s="390">
        <f t="shared" si="7"/>
        <v>143585.70949092999</v>
      </c>
      <c r="AN29" s="389">
        <f>IF(AL29=0, "    ---- ", IF(ABS(ROUND(100/AL29*AM29-100,1))&lt;999,ROUND(100/AL29*AM29-100,1),IF(ROUND(100/AL29*AM29-100,1)&gt;999,999,-999)))</f>
        <v>3.7</v>
      </c>
      <c r="AO29" s="390">
        <f t="shared" si="8"/>
        <v>138709.58478356001</v>
      </c>
      <c r="AP29" s="390">
        <f t="shared" si="8"/>
        <v>143798.78548649</v>
      </c>
      <c r="AQ29" s="392">
        <f t="shared" si="3"/>
        <v>3.7</v>
      </c>
      <c r="AR29" s="443"/>
      <c r="AS29" s="443"/>
      <c r="AT29" s="445"/>
    </row>
    <row r="30" spans="1:46" s="417" customFormat="1" ht="20.100000000000001" customHeight="1" x14ac:dyDescent="0.3">
      <c r="A30" s="411"/>
      <c r="B30" s="379"/>
      <c r="C30" s="376"/>
      <c r="D30" s="393"/>
      <c r="E30" s="379"/>
      <c r="F30" s="376"/>
      <c r="G30" s="393"/>
      <c r="H30" s="379"/>
      <c r="I30" s="376"/>
      <c r="J30" s="393"/>
      <c r="K30" s="395"/>
      <c r="L30" s="393"/>
      <c r="M30" s="376"/>
      <c r="N30" s="379"/>
      <c r="O30" s="376"/>
      <c r="P30" s="330"/>
      <c r="Q30" s="379"/>
      <c r="R30" s="376"/>
      <c r="S30" s="330"/>
      <c r="T30" s="379"/>
      <c r="U30" s="376"/>
      <c r="V30" s="330"/>
      <c r="W30" s="379"/>
      <c r="X30" s="376"/>
      <c r="Y30" s="330"/>
      <c r="Z30" s="379"/>
      <c r="AA30" s="376"/>
      <c r="AB30" s="330"/>
      <c r="AC30" s="379"/>
      <c r="AD30" s="376"/>
      <c r="AE30" s="330"/>
      <c r="AF30" s="379"/>
      <c r="AG30" s="376"/>
      <c r="AH30" s="330"/>
      <c r="AI30" s="379"/>
      <c r="AJ30" s="376"/>
      <c r="AK30" s="330"/>
      <c r="AL30" s="379"/>
      <c r="AM30" s="379"/>
      <c r="AN30" s="330"/>
      <c r="AO30" s="379"/>
      <c r="AP30" s="379"/>
      <c r="AQ30" s="394"/>
      <c r="AR30" s="442"/>
      <c r="AS30" s="442"/>
    </row>
    <row r="31" spans="1:46" s="417" customFormat="1" ht="20.100000000000001" customHeight="1" x14ac:dyDescent="0.3">
      <c r="A31" s="409" t="s">
        <v>212</v>
      </c>
      <c r="B31" s="395"/>
      <c r="C31" s="393"/>
      <c r="D31" s="393"/>
      <c r="E31" s="395"/>
      <c r="F31" s="393"/>
      <c r="G31" s="393"/>
      <c r="H31" s="395"/>
      <c r="I31" s="393"/>
      <c r="J31" s="393"/>
      <c r="K31" s="395"/>
      <c r="L31" s="393"/>
      <c r="M31" s="376"/>
      <c r="N31" s="395"/>
      <c r="O31" s="393"/>
      <c r="P31" s="330"/>
      <c r="Q31" s="395"/>
      <c r="R31" s="393"/>
      <c r="S31" s="330"/>
      <c r="T31" s="395"/>
      <c r="U31" s="393"/>
      <c r="V31" s="330"/>
      <c r="W31" s="395"/>
      <c r="X31" s="393"/>
      <c r="Y31" s="330"/>
      <c r="Z31" s="395"/>
      <c r="AA31" s="393"/>
      <c r="AB31" s="330"/>
      <c r="AC31" s="395"/>
      <c r="AD31" s="393"/>
      <c r="AE31" s="330"/>
      <c r="AF31" s="395"/>
      <c r="AG31" s="393"/>
      <c r="AH31" s="330"/>
      <c r="AI31" s="395"/>
      <c r="AJ31" s="393"/>
      <c r="AK31" s="330"/>
      <c r="AL31" s="379"/>
      <c r="AM31" s="379"/>
      <c r="AN31" s="330"/>
      <c r="AO31" s="379"/>
      <c r="AP31" s="379"/>
      <c r="AQ31" s="394"/>
      <c r="AR31" s="442"/>
      <c r="AS31" s="442"/>
    </row>
    <row r="32" spans="1:46" s="417" customFormat="1" ht="20.100000000000001" customHeight="1" x14ac:dyDescent="0.3">
      <c r="A32" s="409" t="s">
        <v>213</v>
      </c>
      <c r="B32" s="395"/>
      <c r="C32" s="393"/>
      <c r="D32" s="330"/>
      <c r="E32" s="395"/>
      <c r="F32" s="393"/>
      <c r="G32" s="330"/>
      <c r="H32" s="395"/>
      <c r="I32" s="393"/>
      <c r="J32" s="330"/>
      <c r="K32" s="395"/>
      <c r="L32" s="393"/>
      <c r="M32" s="376"/>
      <c r="N32" s="395"/>
      <c r="O32" s="393"/>
      <c r="P32" s="330"/>
      <c r="Q32" s="395"/>
      <c r="R32" s="393"/>
      <c r="S32" s="330"/>
      <c r="T32" s="395"/>
      <c r="U32" s="393"/>
      <c r="V32" s="330"/>
      <c r="W32" s="395"/>
      <c r="X32" s="393"/>
      <c r="Y32" s="330"/>
      <c r="Z32" s="395"/>
      <c r="AA32" s="393"/>
      <c r="AB32" s="330"/>
      <c r="AC32" s="395"/>
      <c r="AD32" s="393"/>
      <c r="AE32" s="330"/>
      <c r="AF32" s="395"/>
      <c r="AG32" s="393"/>
      <c r="AH32" s="330"/>
      <c r="AI32" s="395"/>
      <c r="AJ32" s="393"/>
      <c r="AK32" s="330"/>
      <c r="AL32" s="379"/>
      <c r="AM32" s="379"/>
      <c r="AN32" s="330"/>
      <c r="AO32" s="379"/>
      <c r="AP32" s="379"/>
      <c r="AQ32" s="394"/>
      <c r="AR32" s="442"/>
      <c r="AS32" s="442"/>
    </row>
    <row r="33" spans="1:46" s="417" customFormat="1" ht="20.100000000000001" customHeight="1" x14ac:dyDescent="0.3">
      <c r="A33" s="411" t="s">
        <v>214</v>
      </c>
      <c r="B33" s="395"/>
      <c r="C33" s="393"/>
      <c r="D33" s="393"/>
      <c r="E33" s="395">
        <v>33.582000000000001</v>
      </c>
      <c r="F33" s="393">
        <v>33.442</v>
      </c>
      <c r="G33" s="393">
        <f t="shared" ref="G33:G91" si="14">IF(E33=0, "    ---- ", IF(ABS(ROUND(100/E33*F33-100,1))&lt;999,ROUND(100/E33*F33-100,1),IF(ROUND(100/E33*F33-100,1)&gt;999,999,-999)))</f>
        <v>-0.4</v>
      </c>
      <c r="H33" s="395"/>
      <c r="I33" s="393"/>
      <c r="J33" s="393"/>
      <c r="K33" s="395"/>
      <c r="L33" s="393"/>
      <c r="M33" s="376"/>
      <c r="N33" s="395"/>
      <c r="O33" s="393"/>
      <c r="P33" s="330"/>
      <c r="Q33" s="395"/>
      <c r="R33" s="393"/>
      <c r="S33" s="330"/>
      <c r="T33" s="395"/>
      <c r="U33" s="393"/>
      <c r="V33" s="330"/>
      <c r="W33" s="395">
        <v>1.9699999999999998E-6</v>
      </c>
      <c r="X33" s="393"/>
      <c r="Y33" s="330"/>
      <c r="Z33" s="395"/>
      <c r="AA33" s="393"/>
      <c r="AB33" s="330" t="str">
        <f t="shared" ref="AB33:AB42" si="15">IF(Z33=0, "    ---- ", IF(ABS(ROUND(100/Z33*AA33-100,1))&lt;999,ROUND(100/Z33*AA33-100,1),IF(ROUND(100/Z33*AA33-100,1)&gt;999,999,-999)))</f>
        <v xml:space="preserve">    ---- </v>
      </c>
      <c r="AC33" s="395"/>
      <c r="AD33" s="393"/>
      <c r="AE33" s="330"/>
      <c r="AF33" s="395">
        <v>0.99299999999999999</v>
      </c>
      <c r="AG33" s="393"/>
      <c r="AH33" s="330">
        <f t="shared" ref="AH33:AH91" si="16">IF(AF33=0, "    ---- ", IF(ABS(ROUND(100/AF33*AG33-100,1))&lt;999,ROUND(100/AF33*AG33-100,1),IF(ROUND(100/AF33*AG33-100,1)&gt;999,999,-999)))</f>
        <v>-100</v>
      </c>
      <c r="AI33" s="395"/>
      <c r="AJ33" s="393"/>
      <c r="AK33" s="330"/>
      <c r="AL33" s="390">
        <f t="shared" ref="AL33:AM46" si="17">B33+E33+H33+K33+Q33+T33+W33+Z33+AF33+AI33</f>
        <v>34.575001970000002</v>
      </c>
      <c r="AM33" s="390">
        <f t="shared" si="17"/>
        <v>33.442</v>
      </c>
      <c r="AN33" s="330">
        <f t="shared" ref="AN33:AN91" si="18">IF(AL33=0, "    ---- ", IF(ABS(ROUND(100/AL33*AM33-100,1))&lt;999,ROUND(100/AL33*AM33-100,1),IF(ROUND(100/AL33*AM33-100,1)&gt;999,999,-999)))</f>
        <v>-3.3</v>
      </c>
      <c r="AO33" s="390">
        <f t="shared" ref="AO33:AP46" si="19">B33+E33+H33+K33+N33+Q33+T33+W33+Z33+AC33+AF33+AI33</f>
        <v>34.575001970000002</v>
      </c>
      <c r="AP33" s="390">
        <f t="shared" si="19"/>
        <v>33.442</v>
      </c>
      <c r="AQ33" s="394">
        <f t="shared" ref="AQ33:AQ91" si="20">IF(AO33=0, "    ---- ", IF(ABS(ROUND(100/AO33*AP33-100,1))&lt;999,ROUND(100/AO33*AP33-100,1),IF(ROUND(100/AO33*AP33-100,1)&gt;999,999,-999)))</f>
        <v>-3.3</v>
      </c>
      <c r="AR33" s="442"/>
      <c r="AS33" s="442"/>
      <c r="AT33" s="446"/>
    </row>
    <row r="34" spans="1:46" s="417" customFormat="1" ht="20.100000000000001" customHeight="1" x14ac:dyDescent="0.3">
      <c r="A34" s="411" t="s">
        <v>215</v>
      </c>
      <c r="B34" s="395"/>
      <c r="C34" s="393"/>
      <c r="D34" s="393"/>
      <c r="E34" s="395">
        <v>21258.143</v>
      </c>
      <c r="F34" s="393">
        <v>21645.466</v>
      </c>
      <c r="G34" s="393">
        <f t="shared" si="14"/>
        <v>1.8</v>
      </c>
      <c r="H34" s="395"/>
      <c r="I34" s="393"/>
      <c r="J34" s="393"/>
      <c r="K34" s="395">
        <v>859.6</v>
      </c>
      <c r="L34" s="393">
        <v>920.6</v>
      </c>
      <c r="M34" s="376"/>
      <c r="N34" s="395"/>
      <c r="O34" s="393"/>
      <c r="P34" s="330"/>
      <c r="Q34" s="395">
        <v>59185.830227449995</v>
      </c>
      <c r="R34" s="393">
        <v>62695.63663922</v>
      </c>
      <c r="S34" s="330">
        <f>IF(Q34=0, "    ---- ", IF(ABS(ROUND(100/Q34*R34-100,1))&lt;999,ROUND(100/Q34*R34-100,1),IF(ROUND(100/Q34*R34-100,1)&gt;999,999,-999)))</f>
        <v>5.9</v>
      </c>
      <c r="T34" s="395">
        <v>197.9</v>
      </c>
      <c r="U34" s="393">
        <v>204.8</v>
      </c>
      <c r="V34" s="330">
        <f>IF(T34=0, "    ---- ", IF(ABS(ROUND(100/T34*U34-100,1))&lt;999,ROUND(100/T34*U34-100,1),IF(ROUND(100/T34*U34-100,1)&gt;999,999,-999)))</f>
        <v>3.5</v>
      </c>
      <c r="W34" s="395">
        <v>5615.5928337700007</v>
      </c>
      <c r="X34" s="393">
        <v>7149.0107743200006</v>
      </c>
      <c r="Y34" s="330">
        <f t="shared" ref="Y34:Y91" si="21">IF(W34=0, "    ---- ", IF(ABS(ROUND(100/W34*X34-100,1))&lt;999,ROUND(100/W34*X34-100,1),IF(ROUND(100/W34*X34-100,1)&gt;999,999,-999)))</f>
        <v>27.3</v>
      </c>
      <c r="Z34" s="395">
        <v>13709</v>
      </c>
      <c r="AA34" s="393">
        <v>14201</v>
      </c>
      <c r="AB34" s="330">
        <f t="shared" si="15"/>
        <v>3.6</v>
      </c>
      <c r="AC34" s="395"/>
      <c r="AD34" s="393"/>
      <c r="AE34" s="330"/>
      <c r="AF34" s="395">
        <v>4161.7060000000001</v>
      </c>
      <c r="AG34" s="393">
        <v>3897.0790000000002</v>
      </c>
      <c r="AH34" s="330">
        <f t="shared" si="16"/>
        <v>-6.4</v>
      </c>
      <c r="AI34" s="395">
        <v>19953</v>
      </c>
      <c r="AJ34" s="393">
        <v>27119</v>
      </c>
      <c r="AK34" s="330">
        <f t="shared" ref="AK34:AK91" si="22">IF(AI34=0, "    ---- ", IF(ABS(ROUND(100/AI34*AJ34-100,1))&lt;999,ROUND(100/AI34*AJ34-100,1),IF(ROUND(100/AI34*AJ34-100,1)&gt;999,999,-999)))</f>
        <v>35.9</v>
      </c>
      <c r="AL34" s="390">
        <f t="shared" si="17"/>
        <v>124940.77206121999</v>
      </c>
      <c r="AM34" s="390">
        <f t="shared" si="17"/>
        <v>137832.59241354</v>
      </c>
      <c r="AN34" s="330">
        <f t="shared" si="18"/>
        <v>10.3</v>
      </c>
      <c r="AO34" s="390">
        <f t="shared" si="19"/>
        <v>124940.77206121999</v>
      </c>
      <c r="AP34" s="390">
        <f t="shared" si="19"/>
        <v>137832.59241354</v>
      </c>
      <c r="AQ34" s="394">
        <f t="shared" si="20"/>
        <v>10.3</v>
      </c>
      <c r="AR34" s="442"/>
      <c r="AS34" s="442"/>
      <c r="AT34" s="446"/>
    </row>
    <row r="35" spans="1:46" s="417" customFormat="1" ht="20.100000000000001" customHeight="1" x14ac:dyDescent="0.3">
      <c r="A35" s="411" t="s">
        <v>216</v>
      </c>
      <c r="B35" s="379"/>
      <c r="C35" s="393">
        <f>SUM(C36+C38)</f>
        <v>0</v>
      </c>
      <c r="D35" s="393"/>
      <c r="E35" s="395">
        <v>107771.33799999999</v>
      </c>
      <c r="F35" s="393">
        <f>SUM(F36+F38)</f>
        <v>106987.96100000001</v>
      </c>
      <c r="G35" s="393">
        <f t="shared" si="14"/>
        <v>-0.7</v>
      </c>
      <c r="H35" s="395">
        <v>151.941</v>
      </c>
      <c r="I35" s="393">
        <f>SUM(I36+I38)</f>
        <v>218.50200000000001</v>
      </c>
      <c r="J35" s="393"/>
      <c r="K35" s="395">
        <v>4623.2</v>
      </c>
      <c r="L35" s="393">
        <f>SUM(L36+L38)</f>
        <v>4841.8999999999996</v>
      </c>
      <c r="M35" s="376">
        <f>IF(K35=0, "    ---- ", IF(ABS(ROUND(100/K35*L35-100,1))&lt;999,ROUND(100/K35*L35-100,1),IF(ROUND(100/K35*L35-100,1)&gt;999,999,-999)))</f>
        <v>4.7</v>
      </c>
      <c r="N35" s="395"/>
      <c r="O35" s="393">
        <f>SUM(O36+O38)</f>
        <v>0</v>
      </c>
      <c r="P35" s="330"/>
      <c r="Q35" s="395">
        <v>191161.80717301997</v>
      </c>
      <c r="R35" s="393">
        <f>SUM(R36+R38)</f>
        <v>215757.00591527999</v>
      </c>
      <c r="S35" s="330">
        <f>IF(Q35=0, "    ---- ", IF(ABS(ROUND(100/Q35*R35-100,1))&lt;999,ROUND(100/Q35*R35-100,1),IF(ROUND(100/Q35*R35-100,1)&gt;999,999,-999)))</f>
        <v>12.9</v>
      </c>
      <c r="T35" s="395">
        <v>996.7</v>
      </c>
      <c r="U35" s="393">
        <f>SUM(U36+U38)</f>
        <v>1416.7</v>
      </c>
      <c r="V35" s="330">
        <f>IF(T35=0, "    ---- ", IF(ABS(ROUND(100/T35*U35-100,1))&lt;999,ROUND(100/T35*U35-100,1),IF(ROUND(100/T35*U35-100,1)&gt;999,999,-999)))</f>
        <v>42.1</v>
      </c>
      <c r="W35" s="395">
        <v>30413.554870229902</v>
      </c>
      <c r="X35" s="393">
        <f>SUM(X36+X38)</f>
        <v>31580.441784319901</v>
      </c>
      <c r="Y35" s="330">
        <f t="shared" si="21"/>
        <v>3.8</v>
      </c>
      <c r="Z35" s="395">
        <v>20858</v>
      </c>
      <c r="AA35" s="393">
        <f>SUM(AA36+AA38)</f>
        <v>22986</v>
      </c>
      <c r="AB35" s="330">
        <f t="shared" si="15"/>
        <v>10.199999999999999</v>
      </c>
      <c r="AC35" s="395"/>
      <c r="AD35" s="393">
        <f>SUM(AD36+AD38)</f>
        <v>0</v>
      </c>
      <c r="AE35" s="330"/>
      <c r="AF35" s="395">
        <v>8408.5580000000009</v>
      </c>
      <c r="AG35" s="393">
        <f>SUM(AG36+AG38)</f>
        <v>8593.3160000000007</v>
      </c>
      <c r="AH35" s="330">
        <f t="shared" si="16"/>
        <v>2.2000000000000002</v>
      </c>
      <c r="AI35" s="395">
        <v>123484</v>
      </c>
      <c r="AJ35" s="393">
        <f>SUM(AJ36+AJ38)</f>
        <v>130441</v>
      </c>
      <c r="AK35" s="330">
        <f t="shared" si="22"/>
        <v>5.6</v>
      </c>
      <c r="AL35" s="390">
        <f t="shared" si="17"/>
        <v>487869.09904324991</v>
      </c>
      <c r="AM35" s="390">
        <f t="shared" si="17"/>
        <v>522822.82669959986</v>
      </c>
      <c r="AN35" s="330">
        <f t="shared" si="18"/>
        <v>7.2</v>
      </c>
      <c r="AO35" s="390">
        <f t="shared" si="19"/>
        <v>487869.09904324991</v>
      </c>
      <c r="AP35" s="390">
        <f t="shared" si="19"/>
        <v>522822.82669959986</v>
      </c>
      <c r="AQ35" s="394">
        <f t="shared" si="20"/>
        <v>7.2</v>
      </c>
      <c r="AR35" s="442"/>
      <c r="AS35" s="442"/>
      <c r="AT35" s="446"/>
    </row>
    <row r="36" spans="1:46" s="417" customFormat="1" ht="20.100000000000001" customHeight="1" x14ac:dyDescent="0.3">
      <c r="A36" s="411" t="s">
        <v>217</v>
      </c>
      <c r="B36" s="395"/>
      <c r="C36" s="393"/>
      <c r="D36" s="330"/>
      <c r="E36" s="395">
        <v>71361.380999999994</v>
      </c>
      <c r="F36" s="393">
        <v>74339.884000000005</v>
      </c>
      <c r="G36" s="330">
        <f t="shared" si="14"/>
        <v>4.2</v>
      </c>
      <c r="H36" s="395">
        <v>151.941</v>
      </c>
      <c r="I36" s="393">
        <v>218.50200000000001</v>
      </c>
      <c r="J36" s="330"/>
      <c r="K36" s="395">
        <v>29.2</v>
      </c>
      <c r="L36" s="393">
        <v>0</v>
      </c>
      <c r="M36" s="376">
        <f>IF(K36=0, "    ---- ", IF(ABS(ROUND(100/K36*L36-100,1))&lt;999,ROUND(100/K36*L36-100,1),IF(ROUND(100/K36*L36-100,1)&gt;999,999,-999)))</f>
        <v>-100</v>
      </c>
      <c r="N36" s="395"/>
      <c r="O36" s="393"/>
      <c r="P36" s="330"/>
      <c r="Q36" s="395">
        <v>24469.34521191</v>
      </c>
      <c r="R36" s="393">
        <v>22789.722324709997</v>
      </c>
      <c r="S36" s="330">
        <f>IF(Q36=0, "    ---- ", IF(ABS(ROUND(100/Q36*R36-100,1))&lt;999,ROUND(100/Q36*R36-100,1),IF(ROUND(100/Q36*R36-100,1)&gt;999,999,-999)))</f>
        <v>-6.9</v>
      </c>
      <c r="T36" s="395">
        <v>120.5</v>
      </c>
      <c r="U36" s="393">
        <v>115.5</v>
      </c>
      <c r="V36" s="330">
        <f>IF(T36=0, "    ---- ", IF(ABS(ROUND(100/T36*U36-100,1))&lt;999,ROUND(100/T36*U36-100,1),IF(ROUND(100/T36*U36-100,1)&gt;999,999,-999)))</f>
        <v>-4.0999999999999996</v>
      </c>
      <c r="W36" s="395">
        <v>809.21192501999997</v>
      </c>
      <c r="X36" s="393">
        <v>795.96711547000007</v>
      </c>
      <c r="Y36" s="330">
        <f t="shared" si="21"/>
        <v>-1.6</v>
      </c>
      <c r="Z36" s="395">
        <v>1067</v>
      </c>
      <c r="AA36" s="393">
        <v>786</v>
      </c>
      <c r="AB36" s="330">
        <f t="shared" si="15"/>
        <v>-26.3</v>
      </c>
      <c r="AC36" s="395"/>
      <c r="AD36" s="393"/>
      <c r="AE36" s="330"/>
      <c r="AF36" s="395">
        <v>1341.8440000000001</v>
      </c>
      <c r="AG36" s="393">
        <v>1113.645</v>
      </c>
      <c r="AH36" s="330">
        <f t="shared" si="16"/>
        <v>-17</v>
      </c>
      <c r="AI36" s="395">
        <v>15166</v>
      </c>
      <c r="AJ36" s="393">
        <v>14433</v>
      </c>
      <c r="AK36" s="330">
        <f t="shared" si="22"/>
        <v>-4.8</v>
      </c>
      <c r="AL36" s="390">
        <f t="shared" si="17"/>
        <v>114516.42313693</v>
      </c>
      <c r="AM36" s="390">
        <f t="shared" si="17"/>
        <v>114592.22044018</v>
      </c>
      <c r="AN36" s="330">
        <f t="shared" si="18"/>
        <v>0.1</v>
      </c>
      <c r="AO36" s="390">
        <f t="shared" si="19"/>
        <v>114516.42313693</v>
      </c>
      <c r="AP36" s="390">
        <f t="shared" si="19"/>
        <v>114592.22044018</v>
      </c>
      <c r="AQ36" s="394">
        <f t="shared" si="20"/>
        <v>0.1</v>
      </c>
      <c r="AR36" s="442"/>
      <c r="AS36" s="442"/>
      <c r="AT36" s="446"/>
    </row>
    <row r="37" spans="1:46" s="417" customFormat="1" ht="20.100000000000001" customHeight="1" x14ac:dyDescent="0.3">
      <c r="A37" s="411" t="s">
        <v>200</v>
      </c>
      <c r="B37" s="395"/>
      <c r="C37" s="393"/>
      <c r="D37" s="393"/>
      <c r="E37" s="395">
        <v>71361.380999999994</v>
      </c>
      <c r="F37" s="393">
        <v>74339.884000000005</v>
      </c>
      <c r="G37" s="393">
        <f t="shared" si="14"/>
        <v>4.2</v>
      </c>
      <c r="H37" s="395"/>
      <c r="I37" s="393"/>
      <c r="J37" s="393"/>
      <c r="K37" s="395">
        <v>29.2</v>
      </c>
      <c r="L37" s="393">
        <v>0</v>
      </c>
      <c r="M37" s="376">
        <f>IF(K37=0, "    ---- ", IF(ABS(ROUND(100/K37*L37-100,1))&lt;999,ROUND(100/K37*L37-100,1),IF(ROUND(100/K37*L37-100,1)&gt;999,999,-999)))</f>
        <v>-100</v>
      </c>
      <c r="N37" s="395"/>
      <c r="O37" s="393"/>
      <c r="P37" s="330"/>
      <c r="Q37" s="395">
        <v>24469.34521191</v>
      </c>
      <c r="R37" s="393">
        <v>22789.722324709997</v>
      </c>
      <c r="S37" s="330">
        <f>IF(Q37=0, "    ---- ", IF(ABS(ROUND(100/Q37*R37-100,1))&lt;999,ROUND(100/Q37*R37-100,1),IF(ROUND(100/Q37*R37-100,1)&gt;999,999,-999)))</f>
        <v>-6.9</v>
      </c>
      <c r="T37" s="395"/>
      <c r="U37" s="393"/>
      <c r="V37" s="330"/>
      <c r="W37" s="395">
        <v>809.21192501999997</v>
      </c>
      <c r="X37" s="393">
        <v>795.96711547000007</v>
      </c>
      <c r="Y37" s="330">
        <f t="shared" si="21"/>
        <v>-1.6</v>
      </c>
      <c r="Z37" s="395"/>
      <c r="AA37" s="393"/>
      <c r="AB37" s="330" t="str">
        <f t="shared" si="15"/>
        <v xml:space="preserve">    ---- </v>
      </c>
      <c r="AC37" s="395"/>
      <c r="AD37" s="393"/>
      <c r="AE37" s="330"/>
      <c r="AF37" s="395">
        <v>180.97930505999983</v>
      </c>
      <c r="AG37" s="393">
        <v>180.97219614999895</v>
      </c>
      <c r="AH37" s="330">
        <f t="shared" si="16"/>
        <v>0</v>
      </c>
      <c r="AI37" s="395">
        <v>15166</v>
      </c>
      <c r="AJ37" s="393">
        <v>14433</v>
      </c>
      <c r="AK37" s="330">
        <f t="shared" si="22"/>
        <v>-4.8</v>
      </c>
      <c r="AL37" s="390">
        <f t="shared" si="17"/>
        <v>112016.11744198999</v>
      </c>
      <c r="AM37" s="390">
        <f t="shared" si="17"/>
        <v>112539.54563633002</v>
      </c>
      <c r="AN37" s="330">
        <f t="shared" si="18"/>
        <v>0.5</v>
      </c>
      <c r="AO37" s="390">
        <f t="shared" si="19"/>
        <v>112016.11744198999</v>
      </c>
      <c r="AP37" s="390">
        <f t="shared" si="19"/>
        <v>112539.54563633002</v>
      </c>
      <c r="AQ37" s="394">
        <f t="shared" si="20"/>
        <v>0.5</v>
      </c>
      <c r="AR37" s="442"/>
      <c r="AS37" s="442"/>
      <c r="AT37" s="446"/>
    </row>
    <row r="38" spans="1:46" s="417" customFormat="1" ht="20.100000000000001" customHeight="1" x14ac:dyDescent="0.3">
      <c r="A38" s="411" t="s">
        <v>218</v>
      </c>
      <c r="B38" s="395"/>
      <c r="C38" s="393"/>
      <c r="D38" s="393"/>
      <c r="E38" s="395">
        <v>36409.957000000002</v>
      </c>
      <c r="F38" s="393">
        <v>32648.077000000001</v>
      </c>
      <c r="G38" s="393"/>
      <c r="H38" s="395"/>
      <c r="I38" s="393"/>
      <c r="J38" s="393"/>
      <c r="K38" s="395">
        <v>4594</v>
      </c>
      <c r="L38" s="393">
        <v>4841.8999999999996</v>
      </c>
      <c r="M38" s="376">
        <f t="shared" ref="M38:M57" si="23">IF(K38=0, "    ---- ", IF(ABS(ROUND(100/K38*L38-100,1))&lt;999,ROUND(100/K38*L38-100,1),IF(ROUND(100/K38*L38-100,1)&gt;999,999,-999)))</f>
        <v>5.4</v>
      </c>
      <c r="N38" s="395"/>
      <c r="O38" s="393"/>
      <c r="P38" s="330"/>
      <c r="Q38" s="395">
        <v>166692.46196110998</v>
      </c>
      <c r="R38" s="393">
        <v>192967.28359057</v>
      </c>
      <c r="S38" s="330">
        <f t="shared" ref="S38:S45" si="24">IF(Q38=0, "    ---- ", IF(ABS(ROUND(100/Q38*R38-100,1))&lt;999,ROUND(100/Q38*R38-100,1),IF(ROUND(100/Q38*R38-100,1)&gt;999,999,-999)))</f>
        <v>15.8</v>
      </c>
      <c r="T38" s="395">
        <v>876.2</v>
      </c>
      <c r="U38" s="393">
        <v>1301.2</v>
      </c>
      <c r="V38" s="330">
        <f>IF(T38=0, "    ---- ", IF(ABS(ROUND(100/T38*U38-100,1))&lt;999,ROUND(100/T38*U38-100,1),IF(ROUND(100/T38*U38-100,1)&gt;999,999,-999)))</f>
        <v>48.5</v>
      </c>
      <c r="W38" s="395">
        <v>29604.342945209901</v>
      </c>
      <c r="X38" s="393">
        <v>30784.4746688499</v>
      </c>
      <c r="Y38" s="330">
        <f t="shared" si="21"/>
        <v>4</v>
      </c>
      <c r="Z38" s="395">
        <v>19791</v>
      </c>
      <c r="AA38" s="393">
        <v>22200</v>
      </c>
      <c r="AB38" s="330">
        <f t="shared" si="15"/>
        <v>12.2</v>
      </c>
      <c r="AC38" s="395"/>
      <c r="AD38" s="393"/>
      <c r="AE38" s="330"/>
      <c r="AF38" s="395">
        <v>7066.7139999999999</v>
      </c>
      <c r="AG38" s="393">
        <v>7479.6710000000003</v>
      </c>
      <c r="AH38" s="330">
        <f t="shared" si="16"/>
        <v>5.8</v>
      </c>
      <c r="AI38" s="395">
        <v>108318</v>
      </c>
      <c r="AJ38" s="393">
        <f>88783+23910+3315</f>
        <v>116008</v>
      </c>
      <c r="AK38" s="330">
        <f t="shared" si="22"/>
        <v>7.1</v>
      </c>
      <c r="AL38" s="390">
        <f t="shared" si="17"/>
        <v>373352.67590631987</v>
      </c>
      <c r="AM38" s="390">
        <f t="shared" si="17"/>
        <v>408230.60625941987</v>
      </c>
      <c r="AN38" s="330">
        <f t="shared" si="18"/>
        <v>9.3000000000000007</v>
      </c>
      <c r="AO38" s="390">
        <f t="shared" si="19"/>
        <v>373352.67590631987</v>
      </c>
      <c r="AP38" s="390">
        <f t="shared" si="19"/>
        <v>408230.60625941987</v>
      </c>
      <c r="AQ38" s="394">
        <f t="shared" si="20"/>
        <v>9.3000000000000007</v>
      </c>
      <c r="AR38" s="442"/>
      <c r="AS38" s="442"/>
      <c r="AT38" s="446"/>
    </row>
    <row r="39" spans="1:46" s="417" customFormat="1" ht="20.100000000000001" customHeight="1" x14ac:dyDescent="0.3">
      <c r="A39" s="411" t="s">
        <v>219</v>
      </c>
      <c r="B39" s="379">
        <v>1056.297</v>
      </c>
      <c r="C39" s="393">
        <f>SUM(C40:C44)</f>
        <v>1186.5480000000002</v>
      </c>
      <c r="D39" s="393">
        <f>IF(B39=0, "    ---- ", IF(ABS(ROUND(100/B39*C39-100,1))&lt;999,ROUND(100/B39*C39-100,1),IF(ROUND(100/B39*C39-100,1)&gt;999,999,-999)))</f>
        <v>12.3</v>
      </c>
      <c r="E39" s="395">
        <v>79331.831999999995</v>
      </c>
      <c r="F39" s="393">
        <f>SUM(F40:F44)</f>
        <v>78291.75499999999</v>
      </c>
      <c r="G39" s="393">
        <f t="shared" si="14"/>
        <v>-1.3</v>
      </c>
      <c r="H39" s="395">
        <v>652.11</v>
      </c>
      <c r="I39" s="393">
        <f>SUM(I40:I44)</f>
        <v>839.62699999999995</v>
      </c>
      <c r="J39" s="393">
        <f t="shared" ref="J39:J46" si="25">IF(H39=0, "    ---- ", IF(ABS(ROUND(100/H39*I39-100,1))&lt;999,ROUND(100/H39*I39-100,1),IF(ROUND(100/H39*I39-100,1)&gt;999,999,-999)))</f>
        <v>28.8</v>
      </c>
      <c r="K39" s="395">
        <v>691.3</v>
      </c>
      <c r="L39" s="393">
        <f>SUM(L40:L44)</f>
        <v>677.5</v>
      </c>
      <c r="M39" s="376">
        <f t="shared" si="23"/>
        <v>-2</v>
      </c>
      <c r="N39" s="395"/>
      <c r="O39" s="393">
        <f>SUM(O40:O44)</f>
        <v>0</v>
      </c>
      <c r="P39" s="330"/>
      <c r="Q39" s="395">
        <v>244798.82688786002</v>
      </c>
      <c r="R39" s="393">
        <f>SUM(R40:R44)</f>
        <v>251447.81304654002</v>
      </c>
      <c r="S39" s="330">
        <f t="shared" si="24"/>
        <v>2.7</v>
      </c>
      <c r="T39" s="395">
        <v>470</v>
      </c>
      <c r="U39" s="393">
        <f>SUM(U40:U44)</f>
        <v>120.30000000000001</v>
      </c>
      <c r="V39" s="330">
        <f>IF(T39=0, "    ---- ", IF(ABS(ROUND(100/T39*U39-100,1))&lt;999,ROUND(100/T39*U39-100,1),IF(ROUND(100/T39*U39-100,1)&gt;999,999,-999)))</f>
        <v>-74.400000000000006</v>
      </c>
      <c r="W39" s="395">
        <v>14162.821125759998</v>
      </c>
      <c r="X39" s="393">
        <f>SUM(X40:X44)</f>
        <v>12595.739309869998</v>
      </c>
      <c r="Y39" s="330">
        <f t="shared" si="21"/>
        <v>-11.1</v>
      </c>
      <c r="Z39" s="395">
        <v>48110</v>
      </c>
      <c r="AA39" s="393">
        <f>SUM(AA40:AA44)</f>
        <v>51581</v>
      </c>
      <c r="AB39" s="330">
        <f t="shared" si="15"/>
        <v>7.2</v>
      </c>
      <c r="AC39" s="395"/>
      <c r="AD39" s="393">
        <f>SUM(AD40:AD44)</f>
        <v>0</v>
      </c>
      <c r="AE39" s="330"/>
      <c r="AF39" s="395">
        <v>10064.225</v>
      </c>
      <c r="AG39" s="393">
        <f>SUM(AG40:AG44)</f>
        <v>11253.580000000002</v>
      </c>
      <c r="AH39" s="330">
        <f t="shared" si="16"/>
        <v>11.8</v>
      </c>
      <c r="AI39" s="395">
        <v>45804</v>
      </c>
      <c r="AJ39" s="393">
        <f>SUM(AJ40:AJ44)</f>
        <v>31613</v>
      </c>
      <c r="AK39" s="330">
        <f t="shared" si="22"/>
        <v>-31</v>
      </c>
      <c r="AL39" s="390">
        <f t="shared" si="17"/>
        <v>445141.41201361996</v>
      </c>
      <c r="AM39" s="390">
        <f t="shared" si="17"/>
        <v>439606.86235641001</v>
      </c>
      <c r="AN39" s="330">
        <f t="shared" si="18"/>
        <v>-1.2</v>
      </c>
      <c r="AO39" s="390">
        <f t="shared" si="19"/>
        <v>445141.41201361996</v>
      </c>
      <c r="AP39" s="390">
        <f t="shared" si="19"/>
        <v>439606.86235641001</v>
      </c>
      <c r="AQ39" s="394">
        <f t="shared" si="20"/>
        <v>-1.2</v>
      </c>
      <c r="AR39" s="442"/>
      <c r="AS39" s="442"/>
      <c r="AT39" s="446"/>
    </row>
    <row r="40" spans="1:46" s="417" customFormat="1" ht="20.100000000000001" customHeight="1" x14ac:dyDescent="0.3">
      <c r="A40" s="411" t="s">
        <v>220</v>
      </c>
      <c r="B40" s="395">
        <v>38.890999999999998</v>
      </c>
      <c r="C40" s="393">
        <v>30.754999999999999</v>
      </c>
      <c r="D40" s="330">
        <f>IF(B40=0, "    ---- ", IF(ABS(ROUND(100/B40*C40-100,1))&lt;999,ROUND(100/B40*C40-100,1),IF(ROUND(100/B40*C40-100,1)&gt;999,999,-999)))</f>
        <v>-20.9</v>
      </c>
      <c r="E40" s="395">
        <v>17653.728999999999</v>
      </c>
      <c r="F40" s="393">
        <v>18960.866000000002</v>
      </c>
      <c r="G40" s="330">
        <f t="shared" si="14"/>
        <v>7.4</v>
      </c>
      <c r="H40" s="395">
        <v>93.605000000000004</v>
      </c>
      <c r="I40" s="393">
        <v>111.134</v>
      </c>
      <c r="J40" s="330">
        <f t="shared" si="25"/>
        <v>18.7</v>
      </c>
      <c r="K40" s="395"/>
      <c r="L40" s="393"/>
      <c r="M40" s="376"/>
      <c r="N40" s="395"/>
      <c r="O40" s="393"/>
      <c r="P40" s="330"/>
      <c r="Q40" s="395">
        <v>107518.81337097001</v>
      </c>
      <c r="R40" s="393">
        <v>123603.18212577001</v>
      </c>
      <c r="S40" s="330">
        <f t="shared" si="24"/>
        <v>15</v>
      </c>
      <c r="T40" s="395">
        <v>46.9</v>
      </c>
      <c r="U40" s="393">
        <v>50.9</v>
      </c>
      <c r="V40" s="330">
        <f>IF(T40=0, "    ---- ", IF(ABS(ROUND(100/T40*U40-100,1))&lt;999,ROUND(100/T40*U40-100,1),IF(ROUND(100/T40*U40-100,1)&gt;999,999,-999)))</f>
        <v>8.5</v>
      </c>
      <c r="W40" s="395">
        <v>4897.9167382299993</v>
      </c>
      <c r="X40" s="393">
        <v>4924.4394575400001</v>
      </c>
      <c r="Y40" s="330">
        <f t="shared" si="21"/>
        <v>0.5</v>
      </c>
      <c r="Z40" s="395">
        <v>27744</v>
      </c>
      <c r="AA40" s="393">
        <v>31368</v>
      </c>
      <c r="AB40" s="330">
        <f t="shared" si="15"/>
        <v>13.1</v>
      </c>
      <c r="AC40" s="395"/>
      <c r="AD40" s="393"/>
      <c r="AE40" s="330"/>
      <c r="AF40" s="395">
        <v>2960.3649999999998</v>
      </c>
      <c r="AG40" s="393">
        <v>2834.9409999999998</v>
      </c>
      <c r="AH40" s="330">
        <f t="shared" si="16"/>
        <v>-4.2</v>
      </c>
      <c r="AI40" s="395">
        <v>14083</v>
      </c>
      <c r="AJ40" s="393">
        <v>7327</v>
      </c>
      <c r="AK40" s="330">
        <f t="shared" si="22"/>
        <v>-48</v>
      </c>
      <c r="AL40" s="390">
        <f t="shared" si="17"/>
        <v>175037.22010919999</v>
      </c>
      <c r="AM40" s="390">
        <f t="shared" si="17"/>
        <v>189211.21758330998</v>
      </c>
      <c r="AN40" s="330">
        <f t="shared" si="18"/>
        <v>8.1</v>
      </c>
      <c r="AO40" s="390">
        <f t="shared" si="19"/>
        <v>175037.22010919999</v>
      </c>
      <c r="AP40" s="390">
        <f t="shared" si="19"/>
        <v>189211.21758330998</v>
      </c>
      <c r="AQ40" s="394">
        <f t="shared" si="20"/>
        <v>8.1</v>
      </c>
      <c r="AR40" s="442"/>
      <c r="AS40" s="442"/>
      <c r="AT40" s="446"/>
    </row>
    <row r="41" spans="1:46" s="417" customFormat="1" ht="20.100000000000001" customHeight="1" x14ac:dyDescent="0.3">
      <c r="A41" s="411" t="s">
        <v>221</v>
      </c>
      <c r="B41" s="395">
        <v>948.56299999999999</v>
      </c>
      <c r="C41" s="393">
        <v>1055.127</v>
      </c>
      <c r="D41" s="393">
        <f>IF(B41=0, "    ---- ", IF(ABS(ROUND(100/B41*C41-100,1))&lt;999,ROUND(100/B41*C41-100,1),IF(ROUND(100/B41*C41-100,1)&gt;999,999,-999)))</f>
        <v>11.2</v>
      </c>
      <c r="E41" s="395">
        <v>58305.228000000003</v>
      </c>
      <c r="F41" s="393">
        <v>56579.065999999999</v>
      </c>
      <c r="G41" s="393">
        <f t="shared" si="14"/>
        <v>-3</v>
      </c>
      <c r="H41" s="395">
        <v>466.625</v>
      </c>
      <c r="I41" s="393">
        <v>594.303</v>
      </c>
      <c r="J41" s="393">
        <f>IF(H41=0, "    ---- ", IF(ABS(ROUND(100/H41*I41-100,1))&lt;999,ROUND(100/H41*I41-100,1),IF(ROUND(100/H41*I41-100,1)&gt;999,999,-999)))</f>
        <v>27.4</v>
      </c>
      <c r="K41" s="395">
        <v>529.4</v>
      </c>
      <c r="L41" s="393">
        <v>649.29999999999995</v>
      </c>
      <c r="M41" s="376">
        <f t="shared" si="23"/>
        <v>22.6</v>
      </c>
      <c r="N41" s="395"/>
      <c r="O41" s="393"/>
      <c r="P41" s="330"/>
      <c r="Q41" s="395">
        <v>123378.33492944</v>
      </c>
      <c r="R41" s="393">
        <v>121534.79302639001</v>
      </c>
      <c r="S41" s="330">
        <f t="shared" si="24"/>
        <v>-1.5</v>
      </c>
      <c r="T41" s="395">
        <v>396.6</v>
      </c>
      <c r="U41" s="393">
        <v>35</v>
      </c>
      <c r="V41" s="330">
        <f>IF(T41=0, "    ---- ", IF(ABS(ROUND(100/T41*U41-100,1))&lt;999,ROUND(100/T41*U41-100,1),IF(ROUND(100/T41*U41-100,1)&gt;999,999,-999)))</f>
        <v>-91.2</v>
      </c>
      <c r="W41" s="395">
        <v>8999.9091957000001</v>
      </c>
      <c r="X41" s="393">
        <v>7402.9505633599993</v>
      </c>
      <c r="Y41" s="330">
        <f t="shared" si="21"/>
        <v>-17.7</v>
      </c>
      <c r="Z41" s="395">
        <v>17960</v>
      </c>
      <c r="AA41" s="393">
        <v>18328</v>
      </c>
      <c r="AB41" s="330">
        <f t="shared" si="15"/>
        <v>2</v>
      </c>
      <c r="AC41" s="395"/>
      <c r="AD41" s="393"/>
      <c r="AE41" s="330"/>
      <c r="AF41" s="395">
        <v>6919.1139999999996</v>
      </c>
      <c r="AG41" s="393">
        <v>8380.9740000000002</v>
      </c>
      <c r="AH41" s="330">
        <f t="shared" si="16"/>
        <v>21.1</v>
      </c>
      <c r="AI41" s="395">
        <v>31562</v>
      </c>
      <c r="AJ41" s="393">
        <v>23334</v>
      </c>
      <c r="AK41" s="330">
        <f t="shared" si="22"/>
        <v>-26.1</v>
      </c>
      <c r="AL41" s="390">
        <f t="shared" si="17"/>
        <v>249465.77412513999</v>
      </c>
      <c r="AM41" s="390">
        <f t="shared" si="17"/>
        <v>237893.51358974999</v>
      </c>
      <c r="AN41" s="330">
        <f t="shared" si="18"/>
        <v>-4.5999999999999996</v>
      </c>
      <c r="AO41" s="390">
        <f t="shared" si="19"/>
        <v>249465.77412513999</v>
      </c>
      <c r="AP41" s="390">
        <f t="shared" si="19"/>
        <v>237893.51358974999</v>
      </c>
      <c r="AQ41" s="394">
        <f t="shared" si="20"/>
        <v>-4.5999999999999996</v>
      </c>
      <c r="AR41" s="442"/>
      <c r="AS41" s="442"/>
      <c r="AT41" s="446"/>
    </row>
    <row r="42" spans="1:46" s="417" customFormat="1" ht="20.100000000000001" customHeight="1" x14ac:dyDescent="0.3">
      <c r="A42" s="411" t="s">
        <v>222</v>
      </c>
      <c r="B42" s="395"/>
      <c r="C42" s="393"/>
      <c r="D42" s="393"/>
      <c r="E42" s="395">
        <v>2288.9290000000001</v>
      </c>
      <c r="F42" s="393">
        <v>1885.19</v>
      </c>
      <c r="G42" s="393">
        <f t="shared" si="14"/>
        <v>-17.600000000000001</v>
      </c>
      <c r="H42" s="395"/>
      <c r="I42" s="393"/>
      <c r="J42" s="393"/>
      <c r="K42" s="395"/>
      <c r="L42" s="393"/>
      <c r="M42" s="376" t="str">
        <f t="shared" si="23"/>
        <v xml:space="preserve">    ---- </v>
      </c>
      <c r="N42" s="395"/>
      <c r="O42" s="393"/>
      <c r="P42" s="330"/>
      <c r="Q42" s="395">
        <v>11894.04627714</v>
      </c>
      <c r="R42" s="393">
        <v>5003.1003932200001</v>
      </c>
      <c r="S42" s="330">
        <f t="shared" si="24"/>
        <v>-57.9</v>
      </c>
      <c r="T42" s="395">
        <v>26.5</v>
      </c>
      <c r="U42" s="393">
        <v>34.4</v>
      </c>
      <c r="V42" s="330">
        <f>IF(T42=0, "    ---- ", IF(ABS(ROUND(100/T42*U42-100,1))&lt;999,ROUND(100/T42*U42-100,1),IF(ROUND(100/T42*U42-100,1)&gt;999,999,-999)))</f>
        <v>29.8</v>
      </c>
      <c r="W42" s="395"/>
      <c r="X42" s="393">
        <v>0</v>
      </c>
      <c r="Y42" s="330"/>
      <c r="Z42" s="395">
        <v>54</v>
      </c>
      <c r="AA42" s="393">
        <v>104</v>
      </c>
      <c r="AB42" s="330">
        <f t="shared" si="15"/>
        <v>92.6</v>
      </c>
      <c r="AC42" s="395"/>
      <c r="AD42" s="393"/>
      <c r="AE42" s="330"/>
      <c r="AF42" s="395"/>
      <c r="AG42" s="393">
        <v>0</v>
      </c>
      <c r="AH42" s="330"/>
      <c r="AI42" s="395"/>
      <c r="AJ42" s="393"/>
      <c r="AK42" s="330" t="str">
        <f t="shared" si="22"/>
        <v xml:space="preserve">    ---- </v>
      </c>
      <c r="AL42" s="390">
        <f t="shared" si="17"/>
        <v>14263.47527714</v>
      </c>
      <c r="AM42" s="390">
        <f t="shared" si="17"/>
        <v>7026.6903932200003</v>
      </c>
      <c r="AN42" s="330">
        <f t="shared" si="18"/>
        <v>-50.7</v>
      </c>
      <c r="AO42" s="390">
        <f t="shared" si="19"/>
        <v>14263.47527714</v>
      </c>
      <c r="AP42" s="390">
        <f t="shared" si="19"/>
        <v>7026.6903932200003</v>
      </c>
      <c r="AQ42" s="394">
        <f t="shared" si="20"/>
        <v>-50.7</v>
      </c>
      <c r="AR42" s="442"/>
      <c r="AS42" s="442"/>
      <c r="AT42" s="446"/>
    </row>
    <row r="43" spans="1:46" s="417" customFormat="1" ht="20.100000000000001" customHeight="1" x14ac:dyDescent="0.3">
      <c r="A43" s="411" t="s">
        <v>223</v>
      </c>
      <c r="B43" s="395">
        <v>0.56499999999999995</v>
      </c>
      <c r="C43" s="393">
        <v>0.56399999999999995</v>
      </c>
      <c r="D43" s="393">
        <f>IF(B43=0, "    ---- ", IF(ABS(ROUND(100/B43*C43-100,1))&lt;999,ROUND(100/B43*C43-100,1),IF(ROUND(100/B43*C43-100,1)&gt;999,999,-999)))</f>
        <v>-0.2</v>
      </c>
      <c r="E43" s="395">
        <v>250.29</v>
      </c>
      <c r="F43" s="393">
        <v>114.358</v>
      </c>
      <c r="G43" s="393">
        <f t="shared" si="14"/>
        <v>-54.3</v>
      </c>
      <c r="H43" s="395"/>
      <c r="I43" s="393"/>
      <c r="J43" s="393"/>
      <c r="K43" s="395"/>
      <c r="L43" s="393"/>
      <c r="M43" s="376"/>
      <c r="N43" s="395"/>
      <c r="O43" s="393"/>
      <c r="P43" s="330"/>
      <c r="Q43" s="395">
        <v>1345.2007042</v>
      </c>
      <c r="R43" s="393">
        <v>621.13880247999998</v>
      </c>
      <c r="S43" s="330">
        <f t="shared" si="24"/>
        <v>-53.8</v>
      </c>
      <c r="T43" s="395"/>
      <c r="U43" s="393"/>
      <c r="V43" s="330"/>
      <c r="W43" s="395">
        <v>11.50823014</v>
      </c>
      <c r="X43" s="393">
        <v>9.4064386300000002</v>
      </c>
      <c r="Y43" s="330">
        <f t="shared" si="21"/>
        <v>-18.3</v>
      </c>
      <c r="Z43" s="395">
        <v>331</v>
      </c>
      <c r="AA43" s="393">
        <v>31</v>
      </c>
      <c r="AB43" s="330">
        <f>IF(Z43=0, "    ---- ", IF(ABS(ROUND(100/Z43*AA43-100,1))&lt;999,ROUND(100/Z43*AA43-100,1),IF(ROUND(100/Z43*AA43-100,1)&gt;999,999,-999)))</f>
        <v>-90.6</v>
      </c>
      <c r="AC43" s="395"/>
      <c r="AD43" s="393"/>
      <c r="AE43" s="330"/>
      <c r="AF43" s="395">
        <v>24.530999999999999</v>
      </c>
      <c r="AG43" s="393">
        <v>11.03</v>
      </c>
      <c r="AH43" s="330">
        <f t="shared" si="16"/>
        <v>-55</v>
      </c>
      <c r="AI43" s="395">
        <v>159</v>
      </c>
      <c r="AJ43" s="393">
        <v>952</v>
      </c>
      <c r="AK43" s="330">
        <f t="shared" si="22"/>
        <v>498.7</v>
      </c>
      <c r="AL43" s="390">
        <f t="shared" si="17"/>
        <v>2122.0949343399998</v>
      </c>
      <c r="AM43" s="390">
        <f t="shared" si="17"/>
        <v>1739.49724111</v>
      </c>
      <c r="AN43" s="330">
        <f t="shared" si="18"/>
        <v>-18</v>
      </c>
      <c r="AO43" s="390">
        <f t="shared" si="19"/>
        <v>2122.0949343399998</v>
      </c>
      <c r="AP43" s="390">
        <f t="shared" si="19"/>
        <v>1739.49724111</v>
      </c>
      <c r="AQ43" s="394">
        <f t="shared" si="20"/>
        <v>-18</v>
      </c>
      <c r="AR43" s="442"/>
      <c r="AS43" s="442"/>
      <c r="AT43" s="446"/>
    </row>
    <row r="44" spans="1:46" s="417" customFormat="1" ht="20.100000000000001" customHeight="1" x14ac:dyDescent="0.3">
      <c r="A44" s="411" t="s">
        <v>224</v>
      </c>
      <c r="B44" s="395">
        <v>68.278000000000006</v>
      </c>
      <c r="C44" s="393">
        <v>100.102</v>
      </c>
      <c r="D44" s="393">
        <f>IF(B44=0, "    ---- ", IF(ABS(ROUND(100/B44*C44-100,1))&lt;999,ROUND(100/B44*C44-100,1),IF(ROUND(100/B44*C44-100,1)&gt;999,999,-999)))</f>
        <v>46.6</v>
      </c>
      <c r="E44" s="395">
        <v>833.65599999999995</v>
      </c>
      <c r="F44" s="393">
        <v>752.27499999999998</v>
      </c>
      <c r="G44" s="393">
        <f t="shared" si="14"/>
        <v>-9.8000000000000007</v>
      </c>
      <c r="H44" s="395">
        <v>91.88</v>
      </c>
      <c r="I44" s="393">
        <v>134.19</v>
      </c>
      <c r="J44" s="393">
        <f t="shared" si="25"/>
        <v>46</v>
      </c>
      <c r="K44" s="395">
        <v>161.9</v>
      </c>
      <c r="L44" s="393">
        <v>28.2</v>
      </c>
      <c r="M44" s="376">
        <f t="shared" si="23"/>
        <v>-82.6</v>
      </c>
      <c r="N44" s="395"/>
      <c r="O44" s="393"/>
      <c r="P44" s="330"/>
      <c r="Q44" s="395">
        <v>662.43160610999996</v>
      </c>
      <c r="R44" s="393">
        <v>685.59869867999998</v>
      </c>
      <c r="S44" s="330">
        <f t="shared" si="24"/>
        <v>3.5</v>
      </c>
      <c r="T44" s="395"/>
      <c r="U44" s="393"/>
      <c r="V44" s="330"/>
      <c r="W44" s="395">
        <v>253.48696168999999</v>
      </c>
      <c r="X44" s="393">
        <v>258.94285034000001</v>
      </c>
      <c r="Y44" s="330">
        <f t="shared" si="21"/>
        <v>2.2000000000000002</v>
      </c>
      <c r="Z44" s="395">
        <v>2021</v>
      </c>
      <c r="AA44" s="393">
        <v>1750</v>
      </c>
      <c r="AB44" s="330">
        <f>IF(Z44=0, "    ---- ", IF(ABS(ROUND(100/Z44*AA44-100,1))&lt;999,ROUND(100/Z44*AA44-100,1),IF(ROUND(100/Z44*AA44-100,1)&gt;999,999,-999)))</f>
        <v>-13.4</v>
      </c>
      <c r="AC44" s="395"/>
      <c r="AD44" s="393"/>
      <c r="AE44" s="330"/>
      <c r="AF44" s="395">
        <v>160.215</v>
      </c>
      <c r="AG44" s="393">
        <v>26.635000000000002</v>
      </c>
      <c r="AH44" s="330">
        <f t="shared" si="16"/>
        <v>-83.4</v>
      </c>
      <c r="AI44" s="395"/>
      <c r="AJ44" s="393"/>
      <c r="AK44" s="330" t="str">
        <f t="shared" si="22"/>
        <v xml:space="preserve">    ---- </v>
      </c>
      <c r="AL44" s="390">
        <f t="shared" si="17"/>
        <v>4252.8475677999995</v>
      </c>
      <c r="AM44" s="390">
        <f t="shared" si="17"/>
        <v>3735.9435490200003</v>
      </c>
      <c r="AN44" s="330">
        <f t="shared" si="18"/>
        <v>-12.2</v>
      </c>
      <c r="AO44" s="390">
        <f t="shared" si="19"/>
        <v>4252.8475677999995</v>
      </c>
      <c r="AP44" s="390">
        <f t="shared" si="19"/>
        <v>3735.9435490200003</v>
      </c>
      <c r="AQ44" s="394">
        <f t="shared" si="20"/>
        <v>-12.2</v>
      </c>
      <c r="AR44" s="442"/>
      <c r="AS44" s="442"/>
      <c r="AT44" s="446"/>
    </row>
    <row r="45" spans="1:46" s="417" customFormat="1" ht="20.100000000000001" customHeight="1" x14ac:dyDescent="0.3">
      <c r="A45" s="412" t="s">
        <v>225</v>
      </c>
      <c r="B45" s="379">
        <v>1056.297</v>
      </c>
      <c r="C45" s="393">
        <f>SUM(C33+C34+C35+C39)</f>
        <v>1186.5480000000002</v>
      </c>
      <c r="D45" s="330">
        <f>IF(B45=0, "    ---- ", IF(ABS(ROUND(100/B45*C45-100,1))&lt;999,ROUND(100/B45*C45-100,1),IF(ROUND(100/B45*C45-100,1)&gt;999,999,-999)))</f>
        <v>12.3</v>
      </c>
      <c r="E45" s="395">
        <v>208394.89499999999</v>
      </c>
      <c r="F45" s="393">
        <f>SUM(F33+F34+F35+F39)</f>
        <v>206958.62400000001</v>
      </c>
      <c r="G45" s="330">
        <f t="shared" si="14"/>
        <v>-0.7</v>
      </c>
      <c r="H45" s="395">
        <v>804.05100000000004</v>
      </c>
      <c r="I45" s="393">
        <f>SUM(I33+I34+I35+I39)</f>
        <v>1058.1289999999999</v>
      </c>
      <c r="J45" s="330">
        <f t="shared" si="25"/>
        <v>31.6</v>
      </c>
      <c r="K45" s="395">
        <v>6174.1</v>
      </c>
      <c r="L45" s="393">
        <f>SUM(L33+L34+L35+L39)</f>
        <v>6440</v>
      </c>
      <c r="M45" s="376">
        <f t="shared" si="23"/>
        <v>4.3</v>
      </c>
      <c r="N45" s="395"/>
      <c r="O45" s="393">
        <f>SUM(O33+O34+O35+O39)</f>
        <v>0</v>
      </c>
      <c r="P45" s="330"/>
      <c r="Q45" s="395">
        <v>495146.46428833</v>
      </c>
      <c r="R45" s="393">
        <f>SUM(R33+R34+R35+R39)</f>
        <v>529900.45560104004</v>
      </c>
      <c r="S45" s="330">
        <f t="shared" si="24"/>
        <v>7</v>
      </c>
      <c r="T45" s="395">
        <v>1664.6000000000001</v>
      </c>
      <c r="U45" s="393">
        <f>SUM(U33+U34+U35+U39)</f>
        <v>1741.8</v>
      </c>
      <c r="V45" s="330">
        <f>IF(T45=0, "    ---- ", IF(ABS(ROUND(100/T45*U45-100,1))&lt;999,ROUND(100/T45*U45-100,1),IF(ROUND(100/T45*U45-100,1)&gt;999,999,-999)))</f>
        <v>4.5999999999999996</v>
      </c>
      <c r="W45" s="395">
        <v>50191.968831729901</v>
      </c>
      <c r="X45" s="393">
        <f>SUM(X33+X34+X35+X39)</f>
        <v>51325.191868509901</v>
      </c>
      <c r="Y45" s="330">
        <f t="shared" si="21"/>
        <v>2.2999999999999998</v>
      </c>
      <c r="Z45" s="395">
        <v>82677</v>
      </c>
      <c r="AA45" s="393">
        <f>SUM(AA33+AA34+AA35+AA39)</f>
        <v>88768</v>
      </c>
      <c r="AB45" s="330">
        <f>IF(Z45=0, "    ---- ", IF(ABS(ROUND(100/Z45*AA45-100,1))&lt;999,ROUND(100/Z45*AA45-100,1),IF(ROUND(100/Z45*AA45-100,1)&gt;999,999,-999)))</f>
        <v>7.4</v>
      </c>
      <c r="AC45" s="395"/>
      <c r="AD45" s="393">
        <f>SUM(AD33+AD34+AD35+AD39)</f>
        <v>0</v>
      </c>
      <c r="AE45" s="330"/>
      <c r="AF45" s="395">
        <v>22635.482000000004</v>
      </c>
      <c r="AG45" s="393">
        <f>SUM(AG33+AG34+AG35+AG39)</f>
        <v>23743.975000000002</v>
      </c>
      <c r="AH45" s="330">
        <f t="shared" si="16"/>
        <v>4.9000000000000004</v>
      </c>
      <c r="AI45" s="395">
        <v>189241</v>
      </c>
      <c r="AJ45" s="393">
        <f>SUM(AJ33+AJ34+AJ35+AJ39)</f>
        <v>189173</v>
      </c>
      <c r="AK45" s="330">
        <f t="shared" si="22"/>
        <v>0</v>
      </c>
      <c r="AL45" s="390">
        <f t="shared" si="17"/>
        <v>1057985.8581200601</v>
      </c>
      <c r="AM45" s="390">
        <f t="shared" si="17"/>
        <v>1100295.7234695498</v>
      </c>
      <c r="AN45" s="330">
        <f t="shared" si="18"/>
        <v>4</v>
      </c>
      <c r="AO45" s="390">
        <f t="shared" si="19"/>
        <v>1057985.8581200601</v>
      </c>
      <c r="AP45" s="390">
        <f t="shared" si="19"/>
        <v>1100295.7234695498</v>
      </c>
      <c r="AQ45" s="394">
        <f t="shared" si="20"/>
        <v>4</v>
      </c>
      <c r="AR45" s="442"/>
      <c r="AS45" s="442"/>
      <c r="AT45" s="446"/>
    </row>
    <row r="46" spans="1:46" s="417" customFormat="1" ht="20.100000000000001" customHeight="1" x14ac:dyDescent="0.3">
      <c r="A46" s="409" t="s">
        <v>344</v>
      </c>
      <c r="B46" s="395">
        <v>127.095</v>
      </c>
      <c r="C46" s="393">
        <v>147.261</v>
      </c>
      <c r="D46" s="330">
        <f>IF(B46=0, "    ---- ", IF(ABS(ROUND(100/B46*C46-100,1))&lt;999,ROUND(100/B46*C46-100,1),IF(ROUND(100/B46*C46-100,1)&gt;999,999,-999)))</f>
        <v>15.9</v>
      </c>
      <c r="E46" s="395"/>
      <c r="F46" s="393">
        <v>241.40600000000001</v>
      </c>
      <c r="G46" s="330"/>
      <c r="H46" s="395">
        <v>107.61799999999999</v>
      </c>
      <c r="I46" s="393">
        <v>108.571</v>
      </c>
      <c r="J46" s="330">
        <f t="shared" si="25"/>
        <v>0.9</v>
      </c>
      <c r="K46" s="395">
        <v>27.3</v>
      </c>
      <c r="L46" s="393">
        <v>401.2</v>
      </c>
      <c r="M46" s="376"/>
      <c r="N46" s="395"/>
      <c r="O46" s="393"/>
      <c r="P46" s="330"/>
      <c r="Q46" s="395"/>
      <c r="R46" s="393"/>
      <c r="S46" s="330"/>
      <c r="T46" s="395"/>
      <c r="U46" s="393"/>
      <c r="V46" s="330"/>
      <c r="W46" s="395">
        <v>93.3</v>
      </c>
      <c r="X46" s="393">
        <v>49.87</v>
      </c>
      <c r="Y46" s="330">
        <f t="shared" si="21"/>
        <v>-46.5</v>
      </c>
      <c r="Z46" s="395"/>
      <c r="AA46" s="393"/>
      <c r="AB46" s="330"/>
      <c r="AC46" s="395"/>
      <c r="AD46" s="393"/>
      <c r="AE46" s="330"/>
      <c r="AF46" s="395">
        <v>446.34199999999998</v>
      </c>
      <c r="AG46" s="393">
        <v>516.36599999999999</v>
      </c>
      <c r="AH46" s="330">
        <f t="shared" si="16"/>
        <v>15.7</v>
      </c>
      <c r="AI46" s="395"/>
      <c r="AJ46" s="393"/>
      <c r="AK46" s="330"/>
      <c r="AL46" s="390">
        <f t="shared" si="17"/>
        <v>801.65499999999997</v>
      </c>
      <c r="AM46" s="390">
        <f t="shared" si="17"/>
        <v>1464.674</v>
      </c>
      <c r="AN46" s="330">
        <f t="shared" si="18"/>
        <v>82.7</v>
      </c>
      <c r="AO46" s="390">
        <f t="shared" si="19"/>
        <v>801.65499999999997</v>
      </c>
      <c r="AP46" s="390">
        <f t="shared" si="19"/>
        <v>1464.674</v>
      </c>
      <c r="AQ46" s="394">
        <f t="shared" si="20"/>
        <v>82.7</v>
      </c>
      <c r="AR46" s="442"/>
      <c r="AS46" s="442"/>
      <c r="AT46" s="446"/>
    </row>
    <row r="47" spans="1:46" s="417" customFormat="1" ht="20.100000000000001" customHeight="1" x14ac:dyDescent="0.3">
      <c r="A47" s="409" t="s">
        <v>226</v>
      </c>
      <c r="B47" s="395"/>
      <c r="C47" s="393"/>
      <c r="D47" s="393"/>
      <c r="E47" s="395"/>
      <c r="F47" s="393"/>
      <c r="G47" s="393"/>
      <c r="H47" s="395"/>
      <c r="I47" s="393"/>
      <c r="J47" s="393"/>
      <c r="K47" s="395"/>
      <c r="L47" s="393"/>
      <c r="M47" s="376"/>
      <c r="N47" s="395"/>
      <c r="O47" s="393"/>
      <c r="P47" s="330"/>
      <c r="Q47" s="395"/>
      <c r="R47" s="393"/>
      <c r="S47" s="330"/>
      <c r="T47" s="395"/>
      <c r="U47" s="393"/>
      <c r="V47" s="330"/>
      <c r="W47" s="395"/>
      <c r="X47" s="393"/>
      <c r="Y47" s="330"/>
      <c r="Z47" s="395"/>
      <c r="AA47" s="393"/>
      <c r="AB47" s="330"/>
      <c r="AC47" s="395"/>
      <c r="AD47" s="393"/>
      <c r="AE47" s="330"/>
      <c r="AF47" s="395"/>
      <c r="AG47" s="393"/>
      <c r="AH47" s="330"/>
      <c r="AI47" s="395"/>
      <c r="AJ47" s="393"/>
      <c r="AK47" s="330"/>
      <c r="AL47" s="379"/>
      <c r="AM47" s="379"/>
      <c r="AN47" s="330"/>
      <c r="AO47" s="379"/>
      <c r="AP47" s="379"/>
      <c r="AQ47" s="394"/>
      <c r="AR47" s="442"/>
      <c r="AS47" s="442"/>
      <c r="AT47" s="446"/>
    </row>
    <row r="48" spans="1:46" s="417" customFormat="1" ht="20.100000000000001" customHeight="1" x14ac:dyDescent="0.3">
      <c r="A48" s="411" t="s">
        <v>227</v>
      </c>
      <c r="B48" s="395"/>
      <c r="C48" s="393"/>
      <c r="D48" s="393"/>
      <c r="E48" s="395"/>
      <c r="F48" s="393"/>
      <c r="G48" s="393"/>
      <c r="H48" s="395"/>
      <c r="I48" s="393"/>
      <c r="J48" s="393"/>
      <c r="K48" s="395"/>
      <c r="L48" s="393"/>
      <c r="M48" s="376"/>
      <c r="N48" s="395"/>
      <c r="O48" s="393"/>
      <c r="P48" s="330"/>
      <c r="Q48" s="395"/>
      <c r="R48" s="393"/>
      <c r="S48" s="330"/>
      <c r="T48" s="395"/>
      <c r="U48" s="393"/>
      <c r="V48" s="330"/>
      <c r="W48" s="395"/>
      <c r="X48" s="393">
        <v>0</v>
      </c>
      <c r="Y48" s="330"/>
      <c r="Z48" s="395"/>
      <c r="AA48" s="393"/>
      <c r="AB48" s="330"/>
      <c r="AC48" s="395"/>
      <c r="AD48" s="393"/>
      <c r="AE48" s="330"/>
      <c r="AF48" s="395"/>
      <c r="AG48" s="393"/>
      <c r="AH48" s="330"/>
      <c r="AI48" s="395"/>
      <c r="AJ48" s="393"/>
      <c r="AK48" s="330"/>
      <c r="AL48" s="390">
        <f t="shared" ref="AL48:AM62" si="26">B48+E48+H48+K48+Q48+T48+W48+Z48+AF48+AI48</f>
        <v>0</v>
      </c>
      <c r="AM48" s="390">
        <f t="shared" si="26"/>
        <v>0</v>
      </c>
      <c r="AN48" s="330" t="str">
        <f t="shared" si="18"/>
        <v xml:space="preserve">    ---- </v>
      </c>
      <c r="AO48" s="390">
        <f t="shared" ref="AO48:AP62" si="27">B48+E48+H48+K48+N48+Q48+T48+W48+Z48+AC48+AF48+AI48</f>
        <v>0</v>
      </c>
      <c r="AP48" s="390">
        <f t="shared" si="27"/>
        <v>0</v>
      </c>
      <c r="AQ48" s="394" t="str">
        <f t="shared" si="20"/>
        <v xml:space="preserve">    ---- </v>
      </c>
      <c r="AR48" s="442"/>
      <c r="AS48" s="442"/>
      <c r="AT48" s="446"/>
    </row>
    <row r="49" spans="1:46" s="417" customFormat="1" ht="20.100000000000001" customHeight="1" x14ac:dyDescent="0.3">
      <c r="A49" s="411" t="s">
        <v>228</v>
      </c>
      <c r="B49" s="395"/>
      <c r="C49" s="393"/>
      <c r="D49" s="393"/>
      <c r="E49" s="395"/>
      <c r="F49" s="393"/>
      <c r="G49" s="393"/>
      <c r="H49" s="395"/>
      <c r="I49" s="393"/>
      <c r="J49" s="393"/>
      <c r="K49" s="395"/>
      <c r="L49" s="393">
        <v>826.6</v>
      </c>
      <c r="M49" s="376"/>
      <c r="N49" s="395"/>
      <c r="O49" s="393"/>
      <c r="P49" s="330"/>
      <c r="Q49" s="395">
        <v>288.44931087999998</v>
      </c>
      <c r="R49" s="393">
        <v>302.17106688000001</v>
      </c>
      <c r="S49" s="330">
        <f t="shared" ref="S49:S60" si="28">IF(Q49=0, "    ---- ", IF(ABS(ROUND(100/Q49*R49-100,1))&lt;999,ROUND(100/Q49*R49-100,1),IF(ROUND(100/Q49*R49-100,1)&gt;999,999,-999)))</f>
        <v>4.8</v>
      </c>
      <c r="T49" s="395"/>
      <c r="U49" s="393"/>
      <c r="V49" s="330"/>
      <c r="W49" s="395"/>
      <c r="X49" s="393">
        <v>0</v>
      </c>
      <c r="Y49" s="330"/>
      <c r="Z49" s="395"/>
      <c r="AA49" s="393"/>
      <c r="AB49" s="330"/>
      <c r="AC49" s="395"/>
      <c r="AD49" s="393"/>
      <c r="AE49" s="330"/>
      <c r="AF49" s="395"/>
      <c r="AG49" s="393"/>
      <c r="AH49" s="330"/>
      <c r="AI49" s="395">
        <v>3847</v>
      </c>
      <c r="AJ49" s="393">
        <v>17390</v>
      </c>
      <c r="AK49" s="330">
        <f t="shared" si="22"/>
        <v>352</v>
      </c>
      <c r="AL49" s="390">
        <f t="shared" si="26"/>
        <v>4135.4493108799998</v>
      </c>
      <c r="AM49" s="390">
        <f t="shared" si="26"/>
        <v>18518.771066879999</v>
      </c>
      <c r="AN49" s="330">
        <f t="shared" si="18"/>
        <v>347.8</v>
      </c>
      <c r="AO49" s="390">
        <f t="shared" si="27"/>
        <v>4135.4493108799998</v>
      </c>
      <c r="AP49" s="390">
        <f t="shared" si="27"/>
        <v>18518.771066879999</v>
      </c>
      <c r="AQ49" s="394">
        <f t="shared" si="20"/>
        <v>347.8</v>
      </c>
      <c r="AR49" s="442"/>
      <c r="AS49" s="442"/>
      <c r="AT49" s="446"/>
    </row>
    <row r="50" spans="1:46" s="417" customFormat="1" ht="20.100000000000001" customHeight="1" x14ac:dyDescent="0.3">
      <c r="A50" s="411" t="s">
        <v>229</v>
      </c>
      <c r="B50" s="379"/>
      <c r="C50" s="393">
        <f>SUM(C51+C53)</f>
        <v>0</v>
      </c>
      <c r="D50" s="393"/>
      <c r="E50" s="395"/>
      <c r="F50" s="393">
        <f>SUM(F51+F53)</f>
        <v>0</v>
      </c>
      <c r="G50" s="393"/>
      <c r="H50" s="395"/>
      <c r="I50" s="393">
        <f>SUM(I51+I53)</f>
        <v>0</v>
      </c>
      <c r="J50" s="393"/>
      <c r="K50" s="395"/>
      <c r="L50" s="393">
        <f>SUM(L51+L53)</f>
        <v>0</v>
      </c>
      <c r="M50" s="376"/>
      <c r="N50" s="395"/>
      <c r="O50" s="393">
        <f>SUM(O51+O53)</f>
        <v>0</v>
      </c>
      <c r="P50" s="330"/>
      <c r="Q50" s="395">
        <v>809.54137703000004</v>
      </c>
      <c r="R50" s="393">
        <f>SUM(R51+R53)</f>
        <v>884.80892838</v>
      </c>
      <c r="S50" s="330">
        <f t="shared" si="28"/>
        <v>9.3000000000000007</v>
      </c>
      <c r="T50" s="395"/>
      <c r="U50" s="393">
        <f>SUM(U51+U53)</f>
        <v>0</v>
      </c>
      <c r="V50" s="330"/>
      <c r="W50" s="395"/>
      <c r="X50" s="393">
        <f>SUM(X51+X53)</f>
        <v>0</v>
      </c>
      <c r="Y50" s="330"/>
      <c r="Z50" s="395"/>
      <c r="AA50" s="393">
        <f>SUM(AA51+AA53)</f>
        <v>0</v>
      </c>
      <c r="AB50" s="330"/>
      <c r="AC50" s="395"/>
      <c r="AD50" s="393">
        <f>SUM(AD51+AD53)</f>
        <v>0</v>
      </c>
      <c r="AE50" s="330"/>
      <c r="AF50" s="395"/>
      <c r="AG50" s="393">
        <f>SUM(AG51+AG53)</f>
        <v>0</v>
      </c>
      <c r="AH50" s="330"/>
      <c r="AI50" s="395">
        <v>218</v>
      </c>
      <c r="AJ50" s="393">
        <f>SUM(AJ51+AJ53)</f>
        <v>587</v>
      </c>
      <c r="AK50" s="330"/>
      <c r="AL50" s="390">
        <f t="shared" si="26"/>
        <v>1027.5413770300001</v>
      </c>
      <c r="AM50" s="390">
        <f t="shared" si="26"/>
        <v>1471.80892838</v>
      </c>
      <c r="AN50" s="330">
        <f t="shared" si="18"/>
        <v>43.2</v>
      </c>
      <c r="AO50" s="390">
        <f t="shared" si="27"/>
        <v>1027.5413770300001</v>
      </c>
      <c r="AP50" s="390">
        <f t="shared" si="27"/>
        <v>1471.80892838</v>
      </c>
      <c r="AQ50" s="394">
        <f t="shared" si="20"/>
        <v>43.2</v>
      </c>
      <c r="AR50" s="442"/>
      <c r="AS50" s="442"/>
      <c r="AT50" s="446"/>
    </row>
    <row r="51" spans="1:46" s="417" customFormat="1" ht="20.100000000000001" customHeight="1" x14ac:dyDescent="0.3">
      <c r="A51" s="411" t="s">
        <v>230</v>
      </c>
      <c r="B51" s="395"/>
      <c r="C51" s="393"/>
      <c r="D51" s="330"/>
      <c r="E51" s="395"/>
      <c r="F51" s="393"/>
      <c r="G51" s="330"/>
      <c r="H51" s="395"/>
      <c r="I51" s="393"/>
      <c r="J51" s="330"/>
      <c r="K51" s="395"/>
      <c r="L51" s="393"/>
      <c r="M51" s="376"/>
      <c r="N51" s="395"/>
      <c r="O51" s="393"/>
      <c r="P51" s="330"/>
      <c r="Q51" s="395">
        <v>89.865540809999999</v>
      </c>
      <c r="R51" s="393">
        <v>81.664443840000004</v>
      </c>
      <c r="S51" s="330">
        <f t="shared" si="28"/>
        <v>-9.1</v>
      </c>
      <c r="T51" s="395"/>
      <c r="U51" s="393"/>
      <c r="V51" s="330"/>
      <c r="W51" s="395"/>
      <c r="X51" s="393"/>
      <c r="Y51" s="330"/>
      <c r="Z51" s="395"/>
      <c r="AA51" s="393"/>
      <c r="AB51" s="330"/>
      <c r="AC51" s="395"/>
      <c r="AD51" s="393"/>
      <c r="AE51" s="330"/>
      <c r="AF51" s="395"/>
      <c r="AG51" s="393"/>
      <c r="AH51" s="330"/>
      <c r="AI51" s="395"/>
      <c r="AJ51" s="393"/>
      <c r="AK51" s="330"/>
      <c r="AL51" s="390">
        <f t="shared" si="26"/>
        <v>89.865540809999999</v>
      </c>
      <c r="AM51" s="390">
        <f t="shared" si="26"/>
        <v>81.664443840000004</v>
      </c>
      <c r="AN51" s="330">
        <f t="shared" si="18"/>
        <v>-9.1</v>
      </c>
      <c r="AO51" s="390">
        <f t="shared" si="27"/>
        <v>89.865540809999999</v>
      </c>
      <c r="AP51" s="390">
        <f t="shared" si="27"/>
        <v>81.664443840000004</v>
      </c>
      <c r="AQ51" s="394">
        <f t="shared" si="20"/>
        <v>-9.1</v>
      </c>
      <c r="AR51" s="442"/>
      <c r="AS51" s="442"/>
      <c r="AT51" s="446"/>
    </row>
    <row r="52" spans="1:46" s="444" customFormat="1" ht="20.100000000000001" customHeight="1" x14ac:dyDescent="0.3">
      <c r="A52" s="411" t="s">
        <v>200</v>
      </c>
      <c r="B52" s="391"/>
      <c r="C52" s="389"/>
      <c r="D52" s="389"/>
      <c r="E52" s="391"/>
      <c r="F52" s="389"/>
      <c r="G52" s="389"/>
      <c r="H52" s="391"/>
      <c r="I52" s="389"/>
      <c r="J52" s="389"/>
      <c r="K52" s="391"/>
      <c r="L52" s="389"/>
      <c r="M52" s="386"/>
      <c r="N52" s="391"/>
      <c r="O52" s="389"/>
      <c r="P52" s="389"/>
      <c r="Q52" s="391">
        <v>89.865540809999999</v>
      </c>
      <c r="R52" s="389">
        <v>81.664443840000004</v>
      </c>
      <c r="S52" s="389"/>
      <c r="T52" s="391"/>
      <c r="U52" s="389"/>
      <c r="V52" s="389"/>
      <c r="W52" s="391"/>
      <c r="X52" s="389"/>
      <c r="Y52" s="389"/>
      <c r="Z52" s="391"/>
      <c r="AA52" s="389"/>
      <c r="AB52" s="389"/>
      <c r="AC52" s="391"/>
      <c r="AD52" s="389"/>
      <c r="AE52" s="389"/>
      <c r="AF52" s="391"/>
      <c r="AG52" s="389"/>
      <c r="AH52" s="389"/>
      <c r="AI52" s="391"/>
      <c r="AJ52" s="389"/>
      <c r="AK52" s="389"/>
      <c r="AL52" s="390">
        <f t="shared" si="26"/>
        <v>89.865540809999999</v>
      </c>
      <c r="AM52" s="390">
        <f t="shared" si="26"/>
        <v>81.664443840000004</v>
      </c>
      <c r="AN52" s="389">
        <f t="shared" si="18"/>
        <v>-9.1</v>
      </c>
      <c r="AO52" s="390">
        <f t="shared" si="27"/>
        <v>89.865540809999999</v>
      </c>
      <c r="AP52" s="390">
        <f t="shared" si="27"/>
        <v>81.664443840000004</v>
      </c>
      <c r="AQ52" s="392">
        <f t="shared" si="20"/>
        <v>-9.1</v>
      </c>
      <c r="AR52" s="443"/>
      <c r="AS52" s="443"/>
      <c r="AT52" s="445"/>
    </row>
    <row r="53" spans="1:46" s="417" customFormat="1" ht="20.100000000000001" customHeight="1" x14ac:dyDescent="0.3">
      <c r="A53" s="411" t="s">
        <v>231</v>
      </c>
      <c r="B53" s="395"/>
      <c r="C53" s="393"/>
      <c r="D53" s="393"/>
      <c r="E53" s="395"/>
      <c r="F53" s="393"/>
      <c r="G53" s="393"/>
      <c r="H53" s="395"/>
      <c r="I53" s="393"/>
      <c r="J53" s="393"/>
      <c r="K53" s="395"/>
      <c r="L53" s="393"/>
      <c r="M53" s="376"/>
      <c r="N53" s="395"/>
      <c r="O53" s="393"/>
      <c r="P53" s="330"/>
      <c r="Q53" s="395">
        <v>719.67583622000006</v>
      </c>
      <c r="R53" s="393">
        <v>803.14448454000001</v>
      </c>
      <c r="S53" s="330">
        <f t="shared" si="28"/>
        <v>11.6</v>
      </c>
      <c r="T53" s="395"/>
      <c r="U53" s="393"/>
      <c r="V53" s="330"/>
      <c r="W53" s="395"/>
      <c r="X53" s="393"/>
      <c r="Y53" s="330"/>
      <c r="Z53" s="395"/>
      <c r="AA53" s="393"/>
      <c r="AB53" s="330"/>
      <c r="AC53" s="395"/>
      <c r="AD53" s="393"/>
      <c r="AE53" s="330"/>
      <c r="AF53" s="395"/>
      <c r="AG53" s="393"/>
      <c r="AH53" s="330"/>
      <c r="AI53" s="395">
        <v>218</v>
      </c>
      <c r="AJ53" s="393">
        <v>587</v>
      </c>
      <c r="AK53" s="330"/>
      <c r="AL53" s="390">
        <f t="shared" si="26"/>
        <v>937.67583622000006</v>
      </c>
      <c r="AM53" s="390">
        <f t="shared" si="26"/>
        <v>1390.1444845400001</v>
      </c>
      <c r="AN53" s="330">
        <f t="shared" si="18"/>
        <v>48.3</v>
      </c>
      <c r="AO53" s="390">
        <f t="shared" si="27"/>
        <v>937.67583622000006</v>
      </c>
      <c r="AP53" s="390">
        <f t="shared" si="27"/>
        <v>1390.1444845400001</v>
      </c>
      <c r="AQ53" s="394">
        <f t="shared" si="20"/>
        <v>48.3</v>
      </c>
      <c r="AR53" s="442"/>
      <c r="AS53" s="442"/>
      <c r="AT53" s="446"/>
    </row>
    <row r="54" spans="1:46" s="417" customFormat="1" ht="20.100000000000001" customHeight="1" x14ac:dyDescent="0.3">
      <c r="A54" s="411" t="s">
        <v>232</v>
      </c>
      <c r="B54" s="379">
        <v>16706.584999999999</v>
      </c>
      <c r="C54" s="393">
        <f>SUM(C55:C59)</f>
        <v>18231.059000000001</v>
      </c>
      <c r="D54" s="393">
        <f>IF(B54=0, "    ---- ", IF(ABS(ROUND(100/B54*C54-100,1))&lt;999,ROUND(100/B54*C54-100,1),IF(ROUND(100/B54*C54-100,1)&gt;999,999,-999)))</f>
        <v>9.1</v>
      </c>
      <c r="E54" s="395">
        <v>74630.254000000001</v>
      </c>
      <c r="F54" s="393">
        <f>SUM(F55:F59)</f>
        <v>85192.428</v>
      </c>
      <c r="G54" s="393">
        <f t="shared" si="14"/>
        <v>14.2</v>
      </c>
      <c r="H54" s="395">
        <v>3185.848</v>
      </c>
      <c r="I54" s="393">
        <f>SUM(I55:I59)</f>
        <v>3631.1309999999999</v>
      </c>
      <c r="J54" s="393">
        <f>IF(H54=0, "    ---- ", IF(ABS(ROUND(100/H54*I54-100,1))&lt;999,ROUND(100/H54*I54-100,1),IF(ROUND(100/H54*I54-100,1)&gt;999,999,-999)))</f>
        <v>14</v>
      </c>
      <c r="K54" s="395">
        <v>22784</v>
      </c>
      <c r="L54" s="393">
        <f>SUM(L55:L59)</f>
        <v>26055.5</v>
      </c>
      <c r="M54" s="376">
        <f t="shared" si="23"/>
        <v>14.4</v>
      </c>
      <c r="N54" s="395"/>
      <c r="O54" s="393">
        <f>SUM(O55:O59)</f>
        <v>0</v>
      </c>
      <c r="P54" s="330"/>
      <c r="Q54" s="395">
        <v>1252.7597231499999</v>
      </c>
      <c r="R54" s="393">
        <f>SUM(R55:R59)</f>
        <v>1304.2761852000001</v>
      </c>
      <c r="S54" s="330">
        <f t="shared" si="28"/>
        <v>4.0999999999999996</v>
      </c>
      <c r="T54" s="395">
        <v>2816.1000000000004</v>
      </c>
      <c r="U54" s="393">
        <f>SUM(U55:U59)</f>
        <v>3950.6</v>
      </c>
      <c r="V54" s="330">
        <f>IF(T54=0, "    ---- ", IF(ABS(ROUND(100/T54*U54-100,1))&lt;999,ROUND(100/T54*U54-100,1),IF(ROUND(100/T54*U54-100,1)&gt;999,999,-999)))</f>
        <v>40.299999999999997</v>
      </c>
      <c r="W54" s="395">
        <v>58444.289999999994</v>
      </c>
      <c r="X54" s="393">
        <f>SUM(X55:X59)</f>
        <v>64970.060000000005</v>
      </c>
      <c r="Y54" s="330">
        <f t="shared" si="21"/>
        <v>11.2</v>
      </c>
      <c r="Z54" s="395"/>
      <c r="AA54" s="393">
        <f>SUM(AA55:AA59)</f>
        <v>0</v>
      </c>
      <c r="AB54" s="330"/>
      <c r="AC54" s="395">
        <v>2056</v>
      </c>
      <c r="AD54" s="393">
        <f>SUM(AD55:AD59)</f>
        <v>2236.8637755899999</v>
      </c>
      <c r="AE54" s="330">
        <f>IF(AC54=0, "    ---- ", IF(ABS(ROUND(100/AC54*AD54-100,1))&lt;999,ROUND(100/AC54*AD54-100,1),IF(ROUND(100/AC54*AD54-100,1)&gt;999,999,-999)))</f>
        <v>8.8000000000000007</v>
      </c>
      <c r="AF54" s="395">
        <v>26220.514999999999</v>
      </c>
      <c r="AG54" s="393">
        <f>SUM(AG55:AG59)</f>
        <v>30789.231000000003</v>
      </c>
      <c r="AH54" s="330">
        <f t="shared" si="16"/>
        <v>17.399999999999999</v>
      </c>
      <c r="AI54" s="395">
        <v>85436</v>
      </c>
      <c r="AJ54" s="393">
        <f>SUM(AJ55:AJ59)</f>
        <v>81957.799999999988</v>
      </c>
      <c r="AK54" s="330">
        <f t="shared" si="22"/>
        <v>-4.0999999999999996</v>
      </c>
      <c r="AL54" s="390">
        <f t="shared" si="26"/>
        <v>291476.35172315</v>
      </c>
      <c r="AM54" s="390">
        <f t="shared" si="26"/>
        <v>316082.08518519998</v>
      </c>
      <c r="AN54" s="330">
        <f t="shared" si="18"/>
        <v>8.4</v>
      </c>
      <c r="AO54" s="390">
        <f t="shared" si="27"/>
        <v>293532.35172315</v>
      </c>
      <c r="AP54" s="390">
        <f t="shared" si="27"/>
        <v>318318.94896078994</v>
      </c>
      <c r="AQ54" s="394">
        <f t="shared" si="20"/>
        <v>8.4</v>
      </c>
      <c r="AR54" s="442"/>
      <c r="AS54" s="442"/>
      <c r="AT54" s="446"/>
    </row>
    <row r="55" spans="1:46" s="417" customFormat="1" ht="20.100000000000001" customHeight="1" x14ac:dyDescent="0.3">
      <c r="A55" s="411" t="s">
        <v>233</v>
      </c>
      <c r="B55" s="395">
        <v>9802.241</v>
      </c>
      <c r="C55" s="393">
        <v>10925.012000000001</v>
      </c>
      <c r="D55" s="393">
        <f>IF(B55=0, "    ---- ", IF(ABS(ROUND(100/B55*C55-100,1))&lt;999,ROUND(100/B55*C55-100,1),IF(ROUND(100/B55*C55-100,1)&gt;999,999,-999)))</f>
        <v>11.5</v>
      </c>
      <c r="E55" s="395">
        <v>40220.902000000002</v>
      </c>
      <c r="F55" s="393">
        <v>46742.811999999998</v>
      </c>
      <c r="G55" s="393">
        <f t="shared" si="14"/>
        <v>16.2</v>
      </c>
      <c r="H55" s="395">
        <v>2057.7060000000001</v>
      </c>
      <c r="I55" s="393">
        <f>3631.131-I59</f>
        <v>2372.7739999999999</v>
      </c>
      <c r="J55" s="393">
        <f>IF(H55=0, "    ---- ", IF(ABS(ROUND(100/H55*I55-100,1))&lt;999,ROUND(100/H55*I55-100,1),IF(ROUND(100/H55*I55-100,1)&gt;999,999,-999)))</f>
        <v>15.3</v>
      </c>
      <c r="K55" s="395">
        <v>19953.3</v>
      </c>
      <c r="L55" s="393">
        <v>22165.3</v>
      </c>
      <c r="M55" s="376">
        <f t="shared" si="23"/>
        <v>11.1</v>
      </c>
      <c r="N55" s="395"/>
      <c r="O55" s="393"/>
      <c r="P55" s="330"/>
      <c r="Q55" s="395">
        <v>605.65662555999995</v>
      </c>
      <c r="R55" s="393">
        <v>669.68168179999998</v>
      </c>
      <c r="S55" s="330">
        <f t="shared" si="28"/>
        <v>10.6</v>
      </c>
      <c r="T55" s="395">
        <v>2809.3</v>
      </c>
      <c r="U55" s="393">
        <v>3945.9</v>
      </c>
      <c r="V55" s="330">
        <f>IF(T55=0, "    ---- ", IF(ABS(ROUND(100/T55*U55-100,1))&lt;999,ROUND(100/T55*U55-100,1),IF(ROUND(100/T55*U55-100,1)&gt;999,999,-999)))</f>
        <v>40.5</v>
      </c>
      <c r="W55" s="395">
        <v>58092.34</v>
      </c>
      <c r="X55" s="393">
        <v>32757.65</v>
      </c>
      <c r="Y55" s="330">
        <f t="shared" si="21"/>
        <v>-43.6</v>
      </c>
      <c r="Z55" s="395"/>
      <c r="AA55" s="393"/>
      <c r="AB55" s="330"/>
      <c r="AC55" s="395">
        <v>2056</v>
      </c>
      <c r="AD55" s="393">
        <v>2236.8637755899999</v>
      </c>
      <c r="AE55" s="330">
        <f>IF(AC55=0, "    ---- ", IF(ABS(ROUND(100/AC55*AD55-100,1))&lt;999,ROUND(100/AC55*AD55-100,1),IF(ROUND(100/AC55*AD55-100,1)&gt;999,999,-999)))</f>
        <v>8.8000000000000007</v>
      </c>
      <c r="AF55" s="395">
        <v>15305.967000000001</v>
      </c>
      <c r="AG55" s="393">
        <v>18551.686000000002</v>
      </c>
      <c r="AH55" s="330">
        <f t="shared" si="16"/>
        <v>21.2</v>
      </c>
      <c r="AI55" s="395">
        <v>52666</v>
      </c>
      <c r="AJ55" s="393">
        <v>46674</v>
      </c>
      <c r="AK55" s="330">
        <f t="shared" si="22"/>
        <v>-11.4</v>
      </c>
      <c r="AL55" s="390">
        <f t="shared" si="26"/>
        <v>201513.41262556001</v>
      </c>
      <c r="AM55" s="390">
        <f t="shared" si="26"/>
        <v>184804.81568180001</v>
      </c>
      <c r="AN55" s="330">
        <f t="shared" si="18"/>
        <v>-8.3000000000000007</v>
      </c>
      <c r="AO55" s="390">
        <f t="shared" si="27"/>
        <v>203569.41262556001</v>
      </c>
      <c r="AP55" s="390">
        <f t="shared" si="27"/>
        <v>187041.67945738998</v>
      </c>
      <c r="AQ55" s="394">
        <f t="shared" si="20"/>
        <v>-8.1</v>
      </c>
      <c r="AR55" s="442"/>
      <c r="AS55" s="442"/>
      <c r="AT55" s="446"/>
    </row>
    <row r="56" spans="1:46" s="417" customFormat="1" ht="20.100000000000001" customHeight="1" x14ac:dyDescent="0.3">
      <c r="A56" s="411" t="s">
        <v>234</v>
      </c>
      <c r="B56" s="395">
        <v>6796.62</v>
      </c>
      <c r="C56" s="393">
        <v>6941.3320000000003</v>
      </c>
      <c r="D56" s="393">
        <f>IF(B56=0, "    ---- ", IF(ABS(ROUND(100/B56*C56-100,1))&lt;999,ROUND(100/B56*C56-100,1),IF(ROUND(100/B56*C56-100,1)&gt;999,999,-999)))</f>
        <v>2.1</v>
      </c>
      <c r="E56" s="395">
        <v>32878.684999999998</v>
      </c>
      <c r="F56" s="393">
        <v>36992.75</v>
      </c>
      <c r="G56" s="393">
        <f t="shared" si="14"/>
        <v>12.5</v>
      </c>
      <c r="H56" s="395"/>
      <c r="I56" s="393"/>
      <c r="J56" s="393" t="str">
        <f>IF(H56=0, "    ---- ", IF(ABS(ROUND(100/H56*I56-100,1))&lt;999,ROUND(100/H56*I56-100,1),IF(ROUND(100/H56*I56-100,1)&gt;999,999,-999)))</f>
        <v xml:space="preserve">    ---- </v>
      </c>
      <c r="K56" s="395">
        <v>2775.2</v>
      </c>
      <c r="L56" s="393">
        <v>3653.3</v>
      </c>
      <c r="M56" s="376">
        <f t="shared" si="23"/>
        <v>31.6</v>
      </c>
      <c r="N56" s="395"/>
      <c r="O56" s="393"/>
      <c r="P56" s="330"/>
      <c r="Q56" s="395">
        <v>594.42886320000002</v>
      </c>
      <c r="R56" s="393">
        <v>581.96458432000009</v>
      </c>
      <c r="S56" s="330">
        <f t="shared" si="28"/>
        <v>-2.1</v>
      </c>
      <c r="T56" s="395"/>
      <c r="U56" s="393"/>
      <c r="V56" s="330" t="str">
        <f>IF(T56=0, "    ---- ", IF(ABS(ROUND(100/T56*U56-100,1))&lt;999,ROUND(100/T56*U56-100,1),IF(ROUND(100/T56*U56-100,1)&gt;999,999,-999)))</f>
        <v xml:space="preserve">    ---- </v>
      </c>
      <c r="W56" s="395"/>
      <c r="X56" s="393">
        <v>31207.11</v>
      </c>
      <c r="Y56" s="330"/>
      <c r="Z56" s="395"/>
      <c r="AA56" s="393"/>
      <c r="AB56" s="330"/>
      <c r="AC56" s="395"/>
      <c r="AD56" s="393"/>
      <c r="AE56" s="330"/>
      <c r="AF56" s="395">
        <v>10753.755999999999</v>
      </c>
      <c r="AG56" s="393">
        <v>12219.591</v>
      </c>
      <c r="AH56" s="330">
        <f t="shared" si="16"/>
        <v>13.6</v>
      </c>
      <c r="AI56" s="395">
        <v>32679</v>
      </c>
      <c r="AJ56" s="393">
        <f>34846+344+0.4</f>
        <v>35190.400000000001</v>
      </c>
      <c r="AK56" s="330">
        <f t="shared" si="22"/>
        <v>7.7</v>
      </c>
      <c r="AL56" s="390">
        <f t="shared" si="26"/>
        <v>86477.689863200008</v>
      </c>
      <c r="AM56" s="390">
        <f t="shared" si="26"/>
        <v>126786.44758432001</v>
      </c>
      <c r="AN56" s="330">
        <f t="shared" si="18"/>
        <v>46.6</v>
      </c>
      <c r="AO56" s="390">
        <f t="shared" si="27"/>
        <v>86477.689863200008</v>
      </c>
      <c r="AP56" s="390">
        <f t="shared" si="27"/>
        <v>126786.44758432001</v>
      </c>
      <c r="AQ56" s="394">
        <f t="shared" si="20"/>
        <v>46.6</v>
      </c>
      <c r="AR56" s="442"/>
      <c r="AS56" s="442"/>
      <c r="AT56" s="446"/>
    </row>
    <row r="57" spans="1:46" s="417" customFormat="1" ht="20.100000000000001" customHeight="1" x14ac:dyDescent="0.3">
      <c r="A57" s="411" t="s">
        <v>235</v>
      </c>
      <c r="B57" s="395"/>
      <c r="C57" s="393"/>
      <c r="D57" s="330"/>
      <c r="E57" s="395">
        <v>1530.6669999999999</v>
      </c>
      <c r="F57" s="393">
        <v>1456.866</v>
      </c>
      <c r="G57" s="330">
        <f t="shared" si="14"/>
        <v>-4.8</v>
      </c>
      <c r="H57" s="395"/>
      <c r="I57" s="393"/>
      <c r="J57" s="330"/>
      <c r="K57" s="395">
        <v>32.299999999999997</v>
      </c>
      <c r="L57" s="393"/>
      <c r="M57" s="330">
        <f t="shared" si="23"/>
        <v>-100</v>
      </c>
      <c r="N57" s="395"/>
      <c r="O57" s="393"/>
      <c r="P57" s="330"/>
      <c r="Q57" s="395">
        <v>45.479678569999997</v>
      </c>
      <c r="R57" s="393">
        <v>50.725631189999994</v>
      </c>
      <c r="S57" s="330">
        <f t="shared" si="28"/>
        <v>11.5</v>
      </c>
      <c r="T57" s="395">
        <v>5.9</v>
      </c>
      <c r="U57" s="393">
        <v>4.7</v>
      </c>
      <c r="V57" s="330">
        <f>IF(T57=0, "    ---- ", IF(ABS(ROUND(100/T57*U57-100,1))&lt;999,ROUND(100/T57*U57-100,1),IF(ROUND(100/T57*U57-100,1)&gt;999,999,-999)))</f>
        <v>-20.3</v>
      </c>
      <c r="W57" s="395"/>
      <c r="X57" s="393">
        <v>0</v>
      </c>
      <c r="Y57" s="330"/>
      <c r="Z57" s="395"/>
      <c r="AA57" s="393"/>
      <c r="AB57" s="330"/>
      <c r="AC57" s="395"/>
      <c r="AD57" s="393"/>
      <c r="AE57" s="330"/>
      <c r="AF57" s="395"/>
      <c r="AG57" s="393">
        <v>0</v>
      </c>
      <c r="AH57" s="330"/>
      <c r="AI57" s="395"/>
      <c r="AJ57" s="393"/>
      <c r="AK57" s="330" t="str">
        <f t="shared" si="22"/>
        <v xml:space="preserve">    ---- </v>
      </c>
      <c r="AL57" s="390">
        <f t="shared" si="26"/>
        <v>1614.34667857</v>
      </c>
      <c r="AM57" s="390">
        <f t="shared" si="26"/>
        <v>1512.2916311900001</v>
      </c>
      <c r="AN57" s="330">
        <f t="shared" si="18"/>
        <v>-6.3</v>
      </c>
      <c r="AO57" s="390">
        <f t="shared" si="27"/>
        <v>1614.34667857</v>
      </c>
      <c r="AP57" s="390">
        <f t="shared" si="27"/>
        <v>1512.2916311900001</v>
      </c>
      <c r="AQ57" s="394">
        <f t="shared" si="20"/>
        <v>-6.3</v>
      </c>
      <c r="AR57" s="442"/>
      <c r="AS57" s="442"/>
      <c r="AT57" s="446"/>
    </row>
    <row r="58" spans="1:46" s="417" customFormat="1" ht="20.100000000000001" customHeight="1" x14ac:dyDescent="0.3">
      <c r="A58" s="411" t="s">
        <v>236</v>
      </c>
      <c r="B58" s="395"/>
      <c r="C58" s="393"/>
      <c r="D58" s="330"/>
      <c r="E58" s="395"/>
      <c r="F58" s="393"/>
      <c r="G58" s="330"/>
      <c r="H58" s="395"/>
      <c r="I58" s="393"/>
      <c r="J58" s="330"/>
      <c r="K58" s="395"/>
      <c r="L58" s="393"/>
      <c r="M58" s="330"/>
      <c r="N58" s="395"/>
      <c r="O58" s="393"/>
      <c r="P58" s="330"/>
      <c r="Q58" s="395">
        <v>3.5315217900000002</v>
      </c>
      <c r="R58" s="393">
        <v>1.6231172600000001</v>
      </c>
      <c r="S58" s="330">
        <f t="shared" si="28"/>
        <v>-54</v>
      </c>
      <c r="T58" s="395"/>
      <c r="U58" s="393"/>
      <c r="V58" s="330"/>
      <c r="W58" s="395"/>
      <c r="X58" s="393">
        <v>0</v>
      </c>
      <c r="Y58" s="330"/>
      <c r="Z58" s="395"/>
      <c r="AA58" s="393"/>
      <c r="AB58" s="330"/>
      <c r="AC58" s="395"/>
      <c r="AD58" s="393"/>
      <c r="AE58" s="330"/>
      <c r="AF58" s="395">
        <v>63.311999999999998</v>
      </c>
      <c r="AG58" s="393">
        <v>0</v>
      </c>
      <c r="AH58" s="330"/>
      <c r="AI58" s="395">
        <v>91</v>
      </c>
      <c r="AJ58" s="393">
        <v>93.4</v>
      </c>
      <c r="AK58" s="330">
        <f t="shared" si="22"/>
        <v>2.6</v>
      </c>
      <c r="AL58" s="390">
        <f t="shared" si="26"/>
        <v>157.84352179000001</v>
      </c>
      <c r="AM58" s="390">
        <f t="shared" si="26"/>
        <v>95.023117260000006</v>
      </c>
      <c r="AN58" s="330">
        <f t="shared" si="18"/>
        <v>-39.799999999999997</v>
      </c>
      <c r="AO58" s="390">
        <f t="shared" si="27"/>
        <v>157.84352179000001</v>
      </c>
      <c r="AP58" s="390">
        <f t="shared" si="27"/>
        <v>95.023117260000006</v>
      </c>
      <c r="AQ58" s="394">
        <f t="shared" si="20"/>
        <v>-39.799999999999997</v>
      </c>
      <c r="AR58" s="442"/>
      <c r="AS58" s="442"/>
      <c r="AT58" s="446"/>
    </row>
    <row r="59" spans="1:46" s="417" customFormat="1" ht="20.100000000000001" customHeight="1" x14ac:dyDescent="0.3">
      <c r="A59" s="411" t="s">
        <v>237</v>
      </c>
      <c r="B59" s="395">
        <v>107.724</v>
      </c>
      <c r="C59" s="393">
        <f>233.834-18.27+149.151</f>
        <v>364.71500000000003</v>
      </c>
      <c r="D59" s="330">
        <f>IF(B59=0, "    ---- ", IF(ABS(ROUND(100/B59*C59-100,1))&lt;999,ROUND(100/B59*C59-100,1),IF(ROUND(100/B59*C59-100,1)&gt;999,999,-999)))</f>
        <v>238.6</v>
      </c>
      <c r="E59" s="395"/>
      <c r="F59" s="393"/>
      <c r="G59" s="330"/>
      <c r="H59" s="395">
        <v>1128.1420000000001</v>
      </c>
      <c r="I59" s="393">
        <v>1258.357</v>
      </c>
      <c r="J59" s="330">
        <f>IF(H59=0, "    ---- ", IF(ABS(ROUND(100/H59*I59-100,1))&lt;999,ROUND(100/H59*I59-100,1),IF(ROUND(100/H59*I59-100,1)&gt;999,999,-999)))</f>
        <v>11.5</v>
      </c>
      <c r="K59" s="395">
        <v>23.2</v>
      </c>
      <c r="L59" s="393">
        <f>47.5+189.4</f>
        <v>236.9</v>
      </c>
      <c r="M59" s="330">
        <f>IF(K59=0, "    ---- ", IF(ABS(ROUND(100/K59*L59-100,1))&lt;999,ROUND(100/K59*L59-100,1),IF(ROUND(100/K59*L59-100,1)&gt;999,999,-999)))</f>
        <v>921.1</v>
      </c>
      <c r="N59" s="395"/>
      <c r="O59" s="393"/>
      <c r="P59" s="330"/>
      <c r="Q59" s="395">
        <v>3.6630340299999999</v>
      </c>
      <c r="R59" s="393">
        <v>0.28117062999999998</v>
      </c>
      <c r="S59" s="330">
        <f t="shared" si="28"/>
        <v>-92.3</v>
      </c>
      <c r="T59" s="395">
        <v>0.9</v>
      </c>
      <c r="U59" s="393"/>
      <c r="V59" s="330"/>
      <c r="W59" s="395">
        <v>351.95</v>
      </c>
      <c r="X59" s="393">
        <v>1005.3</v>
      </c>
      <c r="Y59" s="330">
        <f t="shared" si="21"/>
        <v>185.6</v>
      </c>
      <c r="Z59" s="395"/>
      <c r="AA59" s="393"/>
      <c r="AB59" s="330"/>
      <c r="AC59" s="395"/>
      <c r="AD59" s="393"/>
      <c r="AE59" s="330"/>
      <c r="AF59" s="395">
        <v>97.48</v>
      </c>
      <c r="AG59" s="393">
        <v>17.954000000000001</v>
      </c>
      <c r="AH59" s="330">
        <f t="shared" si="16"/>
        <v>-81.599999999999994</v>
      </c>
      <c r="AI59" s="395"/>
      <c r="AJ59" s="393"/>
      <c r="AK59" s="330" t="str">
        <f t="shared" si="22"/>
        <v xml:space="preserve">    ---- </v>
      </c>
      <c r="AL59" s="390">
        <f t="shared" si="26"/>
        <v>1713.0590340300002</v>
      </c>
      <c r="AM59" s="390">
        <f t="shared" si="26"/>
        <v>2883.50717063</v>
      </c>
      <c r="AN59" s="330">
        <f t="shared" si="18"/>
        <v>68.3</v>
      </c>
      <c r="AO59" s="390">
        <f t="shared" si="27"/>
        <v>1713.0590340300002</v>
      </c>
      <c r="AP59" s="390">
        <f t="shared" si="27"/>
        <v>2883.50717063</v>
      </c>
      <c r="AQ59" s="394">
        <f t="shared" si="20"/>
        <v>68.3</v>
      </c>
      <c r="AR59" s="442"/>
      <c r="AS59" s="442"/>
      <c r="AT59" s="446"/>
    </row>
    <row r="60" spans="1:46" s="417" customFormat="1" ht="20.100000000000001" customHeight="1" x14ac:dyDescent="0.3">
      <c r="A60" s="412" t="s">
        <v>238</v>
      </c>
      <c r="B60" s="379">
        <v>16706.584999999999</v>
      </c>
      <c r="C60" s="393">
        <f>SUM(C48+C49+C50+C54)</f>
        <v>18231.059000000001</v>
      </c>
      <c r="D60" s="330">
        <f>IF(B60=0, "    ---- ", IF(ABS(ROUND(100/B60*C60-100,1))&lt;999,ROUND(100/B60*C60-100,1),IF(ROUND(100/B60*C60-100,1)&gt;999,999,-999)))</f>
        <v>9.1</v>
      </c>
      <c r="E60" s="395">
        <v>74630.254000000001</v>
      </c>
      <c r="F60" s="393">
        <f>SUM(F48+F49+F50+F54)</f>
        <v>85192.428</v>
      </c>
      <c r="G60" s="330">
        <f t="shared" si="14"/>
        <v>14.2</v>
      </c>
      <c r="H60" s="395">
        <v>3185.848</v>
      </c>
      <c r="I60" s="393">
        <f>SUM(I48+I49+I50+I54)</f>
        <v>3631.1309999999999</v>
      </c>
      <c r="J60" s="330">
        <f>IF(H60=0, "    ---- ", IF(ABS(ROUND(100/H60*I60-100,1))&lt;999,ROUND(100/H60*I60-100,1),IF(ROUND(100/H60*I60-100,1)&gt;999,999,-999)))</f>
        <v>14</v>
      </c>
      <c r="K60" s="395">
        <v>22784</v>
      </c>
      <c r="L60" s="393">
        <f>SUM(L48+L49+L50+L54)</f>
        <v>26882.1</v>
      </c>
      <c r="M60" s="330">
        <f>IF(K60=0, "    ---- ", IF(ABS(ROUND(100/K60*L60-100,1))&lt;999,ROUND(100/K60*L60-100,1),IF(ROUND(100/K60*L60-100,1)&gt;999,999,-999)))</f>
        <v>18</v>
      </c>
      <c r="N60" s="395"/>
      <c r="O60" s="393">
        <f>SUM(O48+O49+O50+O54)</f>
        <v>0</v>
      </c>
      <c r="P60" s="330"/>
      <c r="Q60" s="395">
        <v>2350.7504110599998</v>
      </c>
      <c r="R60" s="393">
        <f>SUM(R48+R49+R50+R54)</f>
        <v>2491.25618046</v>
      </c>
      <c r="S60" s="330">
        <f t="shared" si="28"/>
        <v>6</v>
      </c>
      <c r="T60" s="395">
        <v>2816.1000000000004</v>
      </c>
      <c r="U60" s="393">
        <f>SUM(U48+U49+U50+U54)</f>
        <v>3950.6</v>
      </c>
      <c r="V60" s="330">
        <f>IF(T60=0, "    ---- ", IF(ABS(ROUND(100/T60*U60-100,1))&lt;999,ROUND(100/T60*U60-100,1),IF(ROUND(100/T60*U60-100,1)&gt;999,999,-999)))</f>
        <v>40.299999999999997</v>
      </c>
      <c r="W60" s="395">
        <v>58444.289999999994</v>
      </c>
      <c r="X60" s="393">
        <f>SUM(X48+X49+X50+X54)</f>
        <v>64970.060000000005</v>
      </c>
      <c r="Y60" s="330">
        <f t="shared" si="21"/>
        <v>11.2</v>
      </c>
      <c r="Z60" s="395"/>
      <c r="AA60" s="393">
        <f>SUM(AA48+AA49+AA50+AA54)</f>
        <v>0</v>
      </c>
      <c r="AB60" s="330"/>
      <c r="AC60" s="395">
        <v>2056</v>
      </c>
      <c r="AD60" s="393">
        <f>SUM(AD48+AD49+AD50+AD54)</f>
        <v>2236.8637755899999</v>
      </c>
      <c r="AE60" s="330">
        <f>IF(AC60=0, "    ---- ", IF(ABS(ROUND(100/AC60*AD60-100,1))&lt;999,ROUND(100/AC60*AD60-100,1),IF(ROUND(100/AC60*AD60-100,1)&gt;999,999,-999)))</f>
        <v>8.8000000000000007</v>
      </c>
      <c r="AF60" s="395">
        <v>26220.514999999999</v>
      </c>
      <c r="AG60" s="393">
        <f>SUM(AG48+AG49+AG50+AG54)</f>
        <v>30789.231000000003</v>
      </c>
      <c r="AH60" s="330">
        <f t="shared" si="16"/>
        <v>17.399999999999999</v>
      </c>
      <c r="AI60" s="395">
        <v>89501</v>
      </c>
      <c r="AJ60" s="393">
        <f>SUM(AJ48+AJ49+AJ50+AJ54)</f>
        <v>99934.799999999988</v>
      </c>
      <c r="AK60" s="330">
        <f t="shared" si="22"/>
        <v>11.7</v>
      </c>
      <c r="AL60" s="390">
        <f t="shared" si="26"/>
        <v>296639.34241106</v>
      </c>
      <c r="AM60" s="390">
        <f t="shared" si="26"/>
        <v>336072.66518045997</v>
      </c>
      <c r="AN60" s="330">
        <f t="shared" si="18"/>
        <v>13.3</v>
      </c>
      <c r="AO60" s="390">
        <f t="shared" si="27"/>
        <v>298695.34241106</v>
      </c>
      <c r="AP60" s="390">
        <f t="shared" si="27"/>
        <v>338309.52895605</v>
      </c>
      <c r="AQ60" s="394">
        <f t="shared" si="20"/>
        <v>13.3</v>
      </c>
      <c r="AR60" s="442"/>
      <c r="AS60" s="442"/>
      <c r="AT60" s="446"/>
    </row>
    <row r="61" spans="1:46" s="417" customFormat="1" ht="20.100000000000001" customHeight="1" x14ac:dyDescent="0.3">
      <c r="A61" s="409" t="s">
        <v>345</v>
      </c>
      <c r="B61" s="395"/>
      <c r="C61" s="393"/>
      <c r="D61" s="330"/>
      <c r="E61" s="395"/>
      <c r="F61" s="393"/>
      <c r="G61" s="330"/>
      <c r="H61" s="395"/>
      <c r="I61" s="393"/>
      <c r="J61" s="330"/>
      <c r="K61" s="395"/>
      <c r="L61" s="393"/>
      <c r="M61" s="330"/>
      <c r="N61" s="395"/>
      <c r="O61" s="393"/>
      <c r="P61" s="330"/>
      <c r="Q61" s="395"/>
      <c r="R61" s="393"/>
      <c r="S61" s="330"/>
      <c r="T61" s="395"/>
      <c r="U61" s="393"/>
      <c r="V61" s="330"/>
      <c r="W61" s="395"/>
      <c r="X61" s="393"/>
      <c r="Y61" s="330"/>
      <c r="Z61" s="395"/>
      <c r="AA61" s="393"/>
      <c r="AB61" s="330"/>
      <c r="AC61" s="395"/>
      <c r="AD61" s="393"/>
      <c r="AE61" s="330"/>
      <c r="AF61" s="395"/>
      <c r="AG61" s="393"/>
      <c r="AH61" s="330"/>
      <c r="AI61" s="395">
        <v>63</v>
      </c>
      <c r="AJ61" s="393">
        <v>85.6</v>
      </c>
      <c r="AK61" s="330"/>
      <c r="AL61" s="390">
        <f t="shared" si="26"/>
        <v>63</v>
      </c>
      <c r="AM61" s="390">
        <f t="shared" si="26"/>
        <v>85.6</v>
      </c>
      <c r="AN61" s="330">
        <f t="shared" si="18"/>
        <v>35.9</v>
      </c>
      <c r="AO61" s="390">
        <f t="shared" si="27"/>
        <v>63</v>
      </c>
      <c r="AP61" s="390">
        <f t="shared" si="27"/>
        <v>85.6</v>
      </c>
      <c r="AQ61" s="394">
        <f t="shared" si="20"/>
        <v>35.9</v>
      </c>
      <c r="AR61" s="442"/>
      <c r="AS61" s="442"/>
      <c r="AT61" s="446"/>
    </row>
    <row r="62" spans="1:46" s="417" customFormat="1" ht="20.100000000000001" customHeight="1" x14ac:dyDescent="0.3">
      <c r="A62" s="411" t="s">
        <v>239</v>
      </c>
      <c r="B62" s="379">
        <v>17889.976999999999</v>
      </c>
      <c r="C62" s="393">
        <f>SUM(C45+C46+C60+C61)</f>
        <v>19564.868000000002</v>
      </c>
      <c r="D62" s="330">
        <f>IF(B62=0, "    ---- ", IF(ABS(ROUND(100/B62*C62-100,1))&lt;999,ROUND(100/B62*C62-100,1),IF(ROUND(100/B62*C62-100,1)&gt;999,999,-999)))</f>
        <v>9.4</v>
      </c>
      <c r="E62" s="395">
        <v>283025.14899999998</v>
      </c>
      <c r="F62" s="393">
        <f>SUM(F45+F46+F60+F61)</f>
        <v>292392.45799999998</v>
      </c>
      <c r="G62" s="330">
        <f t="shared" si="14"/>
        <v>3.3</v>
      </c>
      <c r="H62" s="395">
        <v>4097.5169999999998</v>
      </c>
      <c r="I62" s="393">
        <f>SUM(I45+I46+I60+I61)</f>
        <v>4797.8310000000001</v>
      </c>
      <c r="J62" s="330">
        <f>IF(H62=0, "    ---- ", IF(ABS(ROUND(100/H62*I62-100,1))&lt;999,ROUND(100/H62*I62-100,1),IF(ROUND(100/H62*I62-100,1)&gt;999,999,-999)))</f>
        <v>17.100000000000001</v>
      </c>
      <c r="K62" s="395">
        <v>28985.4</v>
      </c>
      <c r="L62" s="393">
        <f>SUM(L45+L46+L60+L61)</f>
        <v>33723.299999999996</v>
      </c>
      <c r="M62" s="330">
        <f>IF(K62=0, "    ---- ", IF(ABS(ROUND(100/K62*L62-100,1))&lt;999,ROUND(100/K62*L62-100,1),IF(ROUND(100/K62*L62-100,1)&gt;999,999,-999)))</f>
        <v>16.3</v>
      </c>
      <c r="N62" s="395"/>
      <c r="O62" s="393">
        <f>SUM(O45+O46+O60+O61)</f>
        <v>0</v>
      </c>
      <c r="P62" s="330"/>
      <c r="Q62" s="395">
        <v>497497.21469939</v>
      </c>
      <c r="R62" s="393">
        <f>SUM(R45+R46+R60+R61)</f>
        <v>532391.71178150002</v>
      </c>
      <c r="S62" s="330">
        <f>IF(Q62=0, "    ---- ", IF(ABS(ROUND(100/Q62*R62-100,1))&lt;999,ROUND(100/Q62*R62-100,1),IF(ROUND(100/Q62*R62-100,1)&gt;999,999,-999)))</f>
        <v>7</v>
      </c>
      <c r="T62" s="395">
        <v>4480.7000000000007</v>
      </c>
      <c r="U62" s="393">
        <f>SUM(U45+U46+U60+U61)</f>
        <v>5692.4</v>
      </c>
      <c r="V62" s="330">
        <f>IF(T62=0, "    ---- ", IF(ABS(ROUND(100/T62*U62-100,1))&lt;999,ROUND(100/T62*U62-100,1),IF(ROUND(100/T62*U62-100,1)&gt;999,999,-999)))</f>
        <v>27</v>
      </c>
      <c r="W62" s="395">
        <v>108729.5588317299</v>
      </c>
      <c r="X62" s="393">
        <f>SUM(X45+X46+X60+X61)</f>
        <v>116345.12186850992</v>
      </c>
      <c r="Y62" s="330">
        <f t="shared" si="21"/>
        <v>7</v>
      </c>
      <c r="Z62" s="395">
        <v>82677</v>
      </c>
      <c r="AA62" s="393">
        <f>SUM(AA45+AA46+AA60+AA61)</f>
        <v>88768</v>
      </c>
      <c r="AB62" s="330">
        <f>IF(Z62=0, "    ---- ", IF(ABS(ROUND(100/Z62*AA62-100,1))&lt;999,ROUND(100/Z62*AA62-100,1),IF(ROUND(100/Z62*AA62-100,1)&gt;999,999,-999)))</f>
        <v>7.4</v>
      </c>
      <c r="AC62" s="395">
        <v>2056</v>
      </c>
      <c r="AD62" s="393">
        <f>SUM(AD45+AD46+AD60+AD61)</f>
        <v>2236.8637755899999</v>
      </c>
      <c r="AE62" s="330">
        <f>IF(AC62=0, "    ---- ", IF(ABS(ROUND(100/AC62*AD62-100,1))&lt;999,ROUND(100/AC62*AD62-100,1),IF(ROUND(100/AC62*AD62-100,1)&gt;999,999,-999)))</f>
        <v>8.8000000000000007</v>
      </c>
      <c r="AF62" s="395">
        <v>49302.339000000007</v>
      </c>
      <c r="AG62" s="393">
        <f>SUM(AG45+AG46+AG60+AG61)</f>
        <v>55049.572</v>
      </c>
      <c r="AH62" s="330">
        <f t="shared" si="16"/>
        <v>11.7</v>
      </c>
      <c r="AI62" s="395">
        <v>278805</v>
      </c>
      <c r="AJ62" s="393">
        <f>SUM(AJ45+AJ46+AJ60+AJ61)</f>
        <v>289193.39999999997</v>
      </c>
      <c r="AK62" s="330">
        <f t="shared" si="22"/>
        <v>3.7</v>
      </c>
      <c r="AL62" s="390">
        <f t="shared" si="26"/>
        <v>1355489.8555311197</v>
      </c>
      <c r="AM62" s="390">
        <f t="shared" si="26"/>
        <v>1437918.6626500099</v>
      </c>
      <c r="AN62" s="330">
        <f t="shared" si="18"/>
        <v>6.1</v>
      </c>
      <c r="AO62" s="390">
        <f t="shared" si="27"/>
        <v>1357545.8555311197</v>
      </c>
      <c r="AP62" s="390">
        <f t="shared" si="27"/>
        <v>1440155.5264255998</v>
      </c>
      <c r="AQ62" s="394">
        <f t="shared" si="20"/>
        <v>6.1</v>
      </c>
      <c r="AR62" s="442"/>
      <c r="AS62" s="447"/>
      <c r="AT62" s="446"/>
    </row>
    <row r="63" spans="1:46" s="450" customFormat="1" ht="20.100000000000001" customHeight="1" x14ac:dyDescent="0.3">
      <c r="A63" s="409"/>
      <c r="B63" s="382"/>
      <c r="C63" s="383"/>
      <c r="D63" s="381"/>
      <c r="E63" s="382"/>
      <c r="F63" s="383"/>
      <c r="G63" s="381"/>
      <c r="H63" s="382"/>
      <c r="I63" s="383"/>
      <c r="J63" s="381"/>
      <c r="K63" s="382"/>
      <c r="L63" s="383"/>
      <c r="M63" s="396"/>
      <c r="N63" s="382"/>
      <c r="O63" s="383"/>
      <c r="P63" s="381"/>
      <c r="Q63" s="382"/>
      <c r="R63" s="383"/>
      <c r="S63" s="381"/>
      <c r="T63" s="382"/>
      <c r="U63" s="383"/>
      <c r="V63" s="381"/>
      <c r="W63" s="382"/>
      <c r="X63" s="383"/>
      <c r="Y63" s="381"/>
      <c r="Z63" s="382"/>
      <c r="AA63" s="383"/>
      <c r="AB63" s="381"/>
      <c r="AC63" s="382"/>
      <c r="AD63" s="383"/>
      <c r="AE63" s="381"/>
      <c r="AF63" s="382"/>
      <c r="AG63" s="383"/>
      <c r="AH63" s="381"/>
      <c r="AI63" s="382"/>
      <c r="AJ63" s="383"/>
      <c r="AK63" s="381"/>
      <c r="AL63" s="397"/>
      <c r="AM63" s="397"/>
      <c r="AN63" s="381"/>
      <c r="AO63" s="397"/>
      <c r="AP63" s="397"/>
      <c r="AQ63" s="398"/>
      <c r="AR63" s="448"/>
      <c r="AS63" s="448"/>
      <c r="AT63" s="449"/>
    </row>
    <row r="64" spans="1:46" s="450" customFormat="1" ht="20.100000000000001" customHeight="1" x14ac:dyDescent="0.3">
      <c r="A64" s="409" t="s">
        <v>240</v>
      </c>
      <c r="B64" s="397">
        <v>18387.423999999999</v>
      </c>
      <c r="C64" s="383">
        <v>20057.489000000001</v>
      </c>
      <c r="D64" s="381">
        <f>IF(B64=0, "    ---- ", IF(ABS(ROUND(100/B64*C64-100,1))&lt;999,ROUND(100/B64*C64-100,1),IF(ROUND(100/B64*C64-100,1)&gt;999,999,-999)))</f>
        <v>9.1</v>
      </c>
      <c r="E64" s="382">
        <v>315934.67199999996</v>
      </c>
      <c r="F64" s="383">
        <v>324140.08799999999</v>
      </c>
      <c r="G64" s="381">
        <f t="shared" si="14"/>
        <v>2.6</v>
      </c>
      <c r="H64" s="382">
        <v>4913.3719999999994</v>
      </c>
      <c r="I64" s="383">
        <v>5520.1480000000001</v>
      </c>
      <c r="J64" s="381">
        <f>IF(H64=0, "    ---- ", IF(ABS(ROUND(100/H64*I64-100,1))&lt;999,ROUND(100/H64*I64-100,1),IF(ROUND(100/H64*I64-100,1)&gt;999,999,-999)))</f>
        <v>12.3</v>
      </c>
      <c r="K64" s="382">
        <v>30172.600000000002</v>
      </c>
      <c r="L64" s="383">
        <v>35085.899999999994</v>
      </c>
      <c r="M64" s="396">
        <f>IF(K64=0, "    ---- ", IF(ABS(ROUND(100/K64*L64-100,1))&lt;999,ROUND(100/K64*L64-100,1),IF(ROUND(100/K64*L64-100,1)&gt;999,999,-999)))</f>
        <v>16.3</v>
      </c>
      <c r="N64" s="382">
        <v>144</v>
      </c>
      <c r="O64" s="383">
        <v>145.92903175999999</v>
      </c>
      <c r="P64" s="381">
        <f>IF(N64=0, "    ---- ", IF(ABS(ROUND(100/N64*O64-100,1))&lt;999,ROUND(100/N64*O64-100,1),IF(ROUND(100/N64*O64-100,1)&gt;999,999,-999)))</f>
        <v>1.3</v>
      </c>
      <c r="Q64" s="382">
        <v>535695.10448294994</v>
      </c>
      <c r="R64" s="383">
        <v>573857.47327243001</v>
      </c>
      <c r="S64" s="381">
        <f>IF(Q64=0, "    ---- ", IF(ABS(ROUND(100/Q64*R64-100,1))&lt;999,ROUND(100/Q64*R64-100,1),IF(ROUND(100/Q64*R64-100,1)&gt;999,999,-999)))</f>
        <v>7.1</v>
      </c>
      <c r="T64" s="382">
        <v>5036.3000000000011</v>
      </c>
      <c r="U64" s="383">
        <f>SUM(U29+U62)</f>
        <v>6216.9</v>
      </c>
      <c r="V64" s="381">
        <f>IF(T64=0, "    ---- ", IF(ABS(ROUND(100/T64*U64-100,1))&lt;999,ROUND(100/T64*U64-100,1),IF(ROUND(100/T64*U64-100,1)&gt;999,999,-999)))</f>
        <v>23.4</v>
      </c>
      <c r="W64" s="382">
        <v>119054.0888317299</v>
      </c>
      <c r="X64" s="383">
        <v>127219.72186850992</v>
      </c>
      <c r="Y64" s="381">
        <f t="shared" si="21"/>
        <v>6.9</v>
      </c>
      <c r="Z64" s="382">
        <v>92424</v>
      </c>
      <c r="AA64" s="383">
        <v>98875</v>
      </c>
      <c r="AB64" s="381">
        <f>IF(Z64=0, "    ---- ", IF(ABS(ROUND(100/Z64*AA64-100,1))&lt;999,ROUND(100/Z64*AA64-100,1),IF(ROUND(100/Z64*AA64-100,1)&gt;999,999,-999)))</f>
        <v>7</v>
      </c>
      <c r="AC64" s="382">
        <v>2105</v>
      </c>
      <c r="AD64" s="383">
        <v>2304.0107393899998</v>
      </c>
      <c r="AE64" s="381">
        <f>IF(AC64=0, "    ---- ", IF(ABS(ROUND(100/AC64*AD64-100,1))&lt;999,ROUND(100/AC64*AD64-100,1),IF(ROUND(100/AC64*AD64-100,1)&gt;999,999,-999)))</f>
        <v>9.5</v>
      </c>
      <c r="AF64" s="382">
        <v>56252.879000000008</v>
      </c>
      <c r="AG64" s="383">
        <v>62126.252</v>
      </c>
      <c r="AH64" s="381">
        <f t="shared" si="16"/>
        <v>10.4</v>
      </c>
      <c r="AI64" s="382">
        <v>316136</v>
      </c>
      <c r="AJ64" s="383">
        <v>328405.39999999997</v>
      </c>
      <c r="AK64" s="381">
        <f t="shared" si="22"/>
        <v>3.9</v>
      </c>
      <c r="AL64" s="399">
        <f>B64+E64+H64+K64+Q64+T64+W64+Z64+AF64+AI64</f>
        <v>1494006.4403146799</v>
      </c>
      <c r="AM64" s="399">
        <f>C64+F64+I64+L64+R64+U64+X64+AA64+AG64+AJ64</f>
        <v>1581504.37214094</v>
      </c>
      <c r="AN64" s="381">
        <f t="shared" si="18"/>
        <v>5.9</v>
      </c>
      <c r="AO64" s="399">
        <f>B64+E64+H64+K64+N64+Q64+T64+W64+Z64+AC64+AF64+AI64</f>
        <v>1496255.4403146799</v>
      </c>
      <c r="AP64" s="399">
        <f>C64+F64+I64+L64+O64+R64+U64+X64+AA64+AD64+AG64+AJ64</f>
        <v>1583954.3119120901</v>
      </c>
      <c r="AQ64" s="398">
        <f t="shared" si="20"/>
        <v>5.9</v>
      </c>
      <c r="AR64" s="448"/>
      <c r="AS64" s="448"/>
      <c r="AT64" s="446"/>
    </row>
    <row r="65" spans="1:46" s="417" customFormat="1" ht="20.100000000000001" customHeight="1" x14ac:dyDescent="0.3">
      <c r="A65" s="413"/>
      <c r="B65" s="395"/>
      <c r="C65" s="393"/>
      <c r="D65" s="330"/>
      <c r="E65" s="395"/>
      <c r="F65" s="393"/>
      <c r="G65" s="330"/>
      <c r="H65" s="395"/>
      <c r="I65" s="393"/>
      <c r="J65" s="330"/>
      <c r="K65" s="395"/>
      <c r="L65" s="393"/>
      <c r="M65" s="376"/>
      <c r="N65" s="395"/>
      <c r="O65" s="393"/>
      <c r="P65" s="330"/>
      <c r="Q65" s="395"/>
      <c r="R65" s="393"/>
      <c r="S65" s="330"/>
      <c r="T65" s="395"/>
      <c r="U65" s="393"/>
      <c r="V65" s="330"/>
      <c r="W65" s="395"/>
      <c r="X65" s="393"/>
      <c r="Y65" s="330"/>
      <c r="Z65" s="395"/>
      <c r="AA65" s="393"/>
      <c r="AB65" s="330"/>
      <c r="AC65" s="395"/>
      <c r="AD65" s="393"/>
      <c r="AE65" s="330"/>
      <c r="AF65" s="395"/>
      <c r="AG65" s="393"/>
      <c r="AH65" s="330"/>
      <c r="AI65" s="395"/>
      <c r="AJ65" s="393"/>
      <c r="AK65" s="330"/>
      <c r="AL65" s="379"/>
      <c r="AM65" s="379"/>
      <c r="AN65" s="330"/>
      <c r="AO65" s="379"/>
      <c r="AP65" s="379"/>
      <c r="AQ65" s="394"/>
      <c r="AR65" s="442"/>
      <c r="AS65" s="442"/>
      <c r="AT65" s="446"/>
    </row>
    <row r="66" spans="1:46" s="417" customFormat="1" ht="20.100000000000001" customHeight="1" x14ac:dyDescent="0.3">
      <c r="A66" s="409" t="s">
        <v>241</v>
      </c>
      <c r="B66" s="395"/>
      <c r="C66" s="393"/>
      <c r="D66" s="330"/>
      <c r="E66" s="395"/>
      <c r="F66" s="393"/>
      <c r="G66" s="330"/>
      <c r="H66" s="395"/>
      <c r="I66" s="393"/>
      <c r="J66" s="330"/>
      <c r="K66" s="395"/>
      <c r="L66" s="393"/>
      <c r="M66" s="376"/>
      <c r="N66" s="395"/>
      <c r="O66" s="393"/>
      <c r="P66" s="330"/>
      <c r="Q66" s="395"/>
      <c r="R66" s="393"/>
      <c r="S66" s="330"/>
      <c r="T66" s="395"/>
      <c r="U66" s="393"/>
      <c r="V66" s="330"/>
      <c r="W66" s="395"/>
      <c r="X66" s="393"/>
      <c r="Y66" s="330"/>
      <c r="Z66" s="395"/>
      <c r="AA66" s="393"/>
      <c r="AB66" s="330"/>
      <c r="AC66" s="395"/>
      <c r="AD66" s="393"/>
      <c r="AE66" s="330"/>
      <c r="AF66" s="395"/>
      <c r="AG66" s="393"/>
      <c r="AH66" s="330"/>
      <c r="AI66" s="395"/>
      <c r="AJ66" s="393"/>
      <c r="AK66" s="330"/>
      <c r="AL66" s="379"/>
      <c r="AM66" s="379"/>
      <c r="AN66" s="330"/>
      <c r="AO66" s="379"/>
      <c r="AP66" s="379"/>
      <c r="AQ66" s="394"/>
      <c r="AR66" s="442"/>
      <c r="AS66" s="442"/>
      <c r="AT66" s="446"/>
    </row>
    <row r="67" spans="1:46" s="417" customFormat="1" ht="20.100000000000001" customHeight="1" x14ac:dyDescent="0.3">
      <c r="A67" s="409"/>
      <c r="B67" s="395"/>
      <c r="C67" s="393"/>
      <c r="D67" s="330"/>
      <c r="E67" s="395"/>
      <c r="F67" s="393"/>
      <c r="G67" s="330"/>
      <c r="H67" s="395"/>
      <c r="I67" s="393"/>
      <c r="J67" s="330"/>
      <c r="K67" s="395"/>
      <c r="L67" s="393"/>
      <c r="M67" s="376"/>
      <c r="N67" s="395"/>
      <c r="O67" s="393"/>
      <c r="P67" s="330"/>
      <c r="Q67" s="395"/>
      <c r="R67" s="393"/>
      <c r="S67" s="330"/>
      <c r="T67" s="395"/>
      <c r="U67" s="393"/>
      <c r="V67" s="330"/>
      <c r="W67" s="395"/>
      <c r="X67" s="393"/>
      <c r="Y67" s="330"/>
      <c r="Z67" s="395"/>
      <c r="AA67" s="393"/>
      <c r="AB67" s="330"/>
      <c r="AC67" s="395"/>
      <c r="AD67" s="393"/>
      <c r="AE67" s="330"/>
      <c r="AF67" s="395"/>
      <c r="AG67" s="393"/>
      <c r="AH67" s="330"/>
      <c r="AI67" s="395"/>
      <c r="AJ67" s="393"/>
      <c r="AK67" s="330"/>
      <c r="AL67" s="379"/>
      <c r="AM67" s="379"/>
      <c r="AN67" s="330"/>
      <c r="AO67" s="379"/>
      <c r="AP67" s="379"/>
      <c r="AQ67" s="394"/>
      <c r="AR67" s="442"/>
      <c r="AS67" s="442"/>
      <c r="AT67" s="446"/>
    </row>
    <row r="68" spans="1:46" s="417" customFormat="1" ht="20.100000000000001" customHeight="1" x14ac:dyDescent="0.3">
      <c r="A68" s="411" t="s">
        <v>242</v>
      </c>
      <c r="B68" s="395">
        <v>141.16</v>
      </c>
      <c r="C68" s="393">
        <v>141.16</v>
      </c>
      <c r="D68" s="330">
        <f>IF(B68=0, "    ---- ", IF(ABS(ROUND(100/B68*C68-100,1))&lt;999,ROUND(100/B68*C68-100,1),IF(ROUND(100/B68*C68-100,1)&gt;999,999,-999)))</f>
        <v>0</v>
      </c>
      <c r="E68" s="395">
        <v>7765.924</v>
      </c>
      <c r="F68" s="393">
        <v>7765.924</v>
      </c>
      <c r="G68" s="330">
        <f t="shared" si="14"/>
        <v>0</v>
      </c>
      <c r="H68" s="395">
        <v>175</v>
      </c>
      <c r="I68" s="393">
        <v>210</v>
      </c>
      <c r="J68" s="330">
        <f>IF(H68=0, "    ---- ", IF(ABS(ROUND(100/H68*I68-100,1))&lt;999,ROUND(100/H68*I68-100,1),IF(ROUND(100/H68*I68-100,1)&gt;999,999,-999)))</f>
        <v>20</v>
      </c>
      <c r="K68" s="395">
        <v>120.7</v>
      </c>
      <c r="L68" s="393">
        <v>120.3</v>
      </c>
      <c r="M68" s="376">
        <f>IF(K68=0, "    ---- ", IF(ABS(ROUND(100/K68*L68-100,1))&lt;999,ROUND(100/K68*L68-100,1),IF(ROUND(100/K68*L68-100,1)&gt;999,999,-999)))</f>
        <v>-0.3</v>
      </c>
      <c r="N68" s="395">
        <v>5</v>
      </c>
      <c r="O68" s="393">
        <v>5</v>
      </c>
      <c r="P68" s="330">
        <f>IF(N68=0, "    ---- ", IF(ABS(ROUND(100/N68*O68-100,1))&lt;999,ROUND(100/N68*O68-100,1),IF(ROUND(100/N68*O68-100,1)&gt;999,999,-999)))</f>
        <v>0</v>
      </c>
      <c r="Q68" s="395">
        <v>13111.465407</v>
      </c>
      <c r="R68" s="393">
        <v>14545.030070000001</v>
      </c>
      <c r="S68" s="330">
        <f t="shared" ref="S68:S79" si="29">IF(Q68=0, "    ---- ", IF(ABS(ROUND(100/Q68*R68-100,1))&lt;999,ROUND(100/Q68*R68-100,1),IF(ROUND(100/Q68*R68-100,1)&gt;999,999,-999)))</f>
        <v>10.9</v>
      </c>
      <c r="T68" s="395">
        <v>741.3</v>
      </c>
      <c r="U68" s="393">
        <v>741.3</v>
      </c>
      <c r="V68" s="330">
        <f>IF(T68=0, "    ---- ", IF(ABS(ROUND(100/T68*U68-100,1))&lt;999,ROUND(100/T68*U68-100,1),IF(ROUND(100/T68*U68-100,1)&gt;999,999,-999)))</f>
        <v>0</v>
      </c>
      <c r="W68" s="395">
        <v>1126.76</v>
      </c>
      <c r="X68" s="393">
        <v>1126.76</v>
      </c>
      <c r="Y68" s="330">
        <f t="shared" si="21"/>
        <v>0</v>
      </c>
      <c r="Z68" s="395">
        <v>1430</v>
      </c>
      <c r="AA68" s="393">
        <v>1430</v>
      </c>
      <c r="AB68" s="330">
        <f>IF(Z68=0, "    ---- ", IF(ABS(ROUND(100/Z68*AA68-100,1))&lt;999,ROUND(100/Z68*AA68-100,1),IF(ROUND(100/Z68*AA68-100,1)&gt;999,999,-999)))</f>
        <v>0</v>
      </c>
      <c r="AC68" s="395">
        <v>49</v>
      </c>
      <c r="AD68" s="393">
        <v>48.519831859999996</v>
      </c>
      <c r="AE68" s="330">
        <f>IF(AC68=0, "    ---- ", IF(ABS(ROUND(100/AC68*AD68-100,1))&lt;999,ROUND(100/AC68*AD68-100,1),IF(ROUND(100/AC68*AD68-100,1)&gt;999,999,-999)))</f>
        <v>-1</v>
      </c>
      <c r="AF68" s="395">
        <v>2696.0329999999999</v>
      </c>
      <c r="AG68" s="393">
        <v>2702.741</v>
      </c>
      <c r="AH68" s="330">
        <f t="shared" si="16"/>
        <v>0.2</v>
      </c>
      <c r="AI68" s="395">
        <v>13251</v>
      </c>
      <c r="AJ68" s="393">
        <v>13335</v>
      </c>
      <c r="AK68" s="330">
        <f t="shared" si="22"/>
        <v>0.6</v>
      </c>
      <c r="AL68" s="390">
        <f t="shared" ref="AL68:AM71" si="30">B68+E68+H68+K68+Q68+T68+W68+Z68+AF68+AI68</f>
        <v>40559.342406999996</v>
      </c>
      <c r="AM68" s="390">
        <f t="shared" si="30"/>
        <v>42118.215069999998</v>
      </c>
      <c r="AN68" s="330">
        <f t="shared" si="18"/>
        <v>3.8</v>
      </c>
      <c r="AO68" s="390">
        <f t="shared" ref="AO68:AP71" si="31">B68+E68+H68+K68+N68+Q68+T68+W68+Z68+AC68+AF68+AI68</f>
        <v>40613.342406999996</v>
      </c>
      <c r="AP68" s="390">
        <f t="shared" si="31"/>
        <v>42171.73490186</v>
      </c>
      <c r="AQ68" s="394">
        <f t="shared" si="20"/>
        <v>3.8</v>
      </c>
      <c r="AR68" s="442"/>
      <c r="AS68" s="442"/>
      <c r="AT68" s="446"/>
    </row>
    <row r="69" spans="1:46" s="417" customFormat="1" ht="20.100000000000001" customHeight="1" x14ac:dyDescent="0.3">
      <c r="A69" s="411" t="s">
        <v>243</v>
      </c>
      <c r="B69" s="395">
        <v>322.03399999999999</v>
      </c>
      <c r="C69" s="393">
        <v>368.762</v>
      </c>
      <c r="D69" s="330">
        <f>IF(B69=0, "    ---- ", IF(ABS(ROUND(100/B69*C69-100,1))&lt;999,ROUND(100/B69*C69-100,1),IF(ROUND(100/B69*C69-100,1)&gt;999,999,-999)))</f>
        <v>14.5</v>
      </c>
      <c r="E69" s="395">
        <v>17132.194</v>
      </c>
      <c r="F69" s="393">
        <v>14355.501</v>
      </c>
      <c r="G69" s="330">
        <f t="shared" si="14"/>
        <v>-16.2</v>
      </c>
      <c r="H69" s="395">
        <v>140.31399999999999</v>
      </c>
      <c r="I69" s="393">
        <v>181.637</v>
      </c>
      <c r="J69" s="330">
        <f>IF(H69=0, "    ---- ", IF(ABS(ROUND(100/H69*I69-100,1))&lt;999,ROUND(100/H69*I69-100,1),IF(ROUND(100/H69*I69-100,1)&gt;999,999,-999)))</f>
        <v>29.5</v>
      </c>
      <c r="K69" s="395">
        <v>632.79999999999995</v>
      </c>
      <c r="L69" s="393">
        <v>673.2</v>
      </c>
      <c r="M69" s="376">
        <f>IF(K69=0, "    ---- ", IF(ABS(ROUND(100/K69*L69-100,1))&lt;999,ROUND(100/K69*L69-100,1),IF(ROUND(100/K69*L69-100,1)&gt;999,999,-999)))</f>
        <v>6.4</v>
      </c>
      <c r="N69" s="395">
        <v>77</v>
      </c>
      <c r="O69" s="393">
        <v>87.315381290000005</v>
      </c>
      <c r="P69" s="330">
        <f>IF(N69=0, "    ---- ", IF(ABS(ROUND(100/N69*O69-100,1))&lt;999,ROUND(100/N69*O69-100,1),IF(ROUND(100/N69*O69-100,1)&gt;999,999,-999)))</f>
        <v>13.4</v>
      </c>
      <c r="Q69" s="395">
        <v>18155.632204860001</v>
      </c>
      <c r="R69" s="393">
        <v>19897.797849080001</v>
      </c>
      <c r="S69" s="330">
        <f t="shared" si="29"/>
        <v>9.6</v>
      </c>
      <c r="T69" s="395">
        <v>-226.5</v>
      </c>
      <c r="U69" s="393">
        <v>-240.6</v>
      </c>
      <c r="V69" s="330">
        <f>IF(T69=0, "    ---- ", IF(ABS(ROUND(100/T69*U69-100,1))&lt;999,ROUND(100/T69*U69-100,1),IF(ROUND(100/T69*U69-100,1)&gt;999,999,-999)))</f>
        <v>6.2</v>
      </c>
      <c r="W69" s="395">
        <v>6081.9</v>
      </c>
      <c r="X69" s="393">
        <v>6463.48</v>
      </c>
      <c r="Y69" s="330">
        <f t="shared" si="21"/>
        <v>6.3</v>
      </c>
      <c r="Z69" s="395">
        <v>6594</v>
      </c>
      <c r="AA69" s="393">
        <v>7303</v>
      </c>
      <c r="AB69" s="330">
        <f>IF(Z69=0, "    ---- ", IF(ABS(ROUND(100/Z69*AA69-100,1))&lt;999,ROUND(100/Z69*AA69-100,1),IF(ROUND(100/Z69*AA69-100,1)&gt;999,999,-999)))</f>
        <v>10.8</v>
      </c>
      <c r="AC69" s="395">
        <v>-5</v>
      </c>
      <c r="AD69" s="393">
        <v>7.6333138699998297</v>
      </c>
      <c r="AE69" s="330">
        <f>IF(AC69=0, "    ---- ", IF(ABS(ROUND(100/AC69*AD69-100,1))&lt;999,ROUND(100/AC69*AD69-100,1),IF(ROUND(100/AC69*AD69-100,1)&gt;999,999,-999)))</f>
        <v>-252.7</v>
      </c>
      <c r="AF69" s="395">
        <v>960.60699999999997</v>
      </c>
      <c r="AG69" s="393">
        <v>1652.1780000000001</v>
      </c>
      <c r="AH69" s="330">
        <f t="shared" si="16"/>
        <v>72</v>
      </c>
      <c r="AI69" s="395">
        <v>12019</v>
      </c>
      <c r="AJ69" s="393">
        <v>12191</v>
      </c>
      <c r="AK69" s="330">
        <f t="shared" si="22"/>
        <v>1.4</v>
      </c>
      <c r="AL69" s="390">
        <f t="shared" si="30"/>
        <v>61811.98120486</v>
      </c>
      <c r="AM69" s="390">
        <f t="shared" si="30"/>
        <v>62845.955849080012</v>
      </c>
      <c r="AN69" s="330">
        <f t="shared" si="18"/>
        <v>1.7</v>
      </c>
      <c r="AO69" s="390">
        <f t="shared" si="31"/>
        <v>61883.98120486</v>
      </c>
      <c r="AP69" s="390">
        <f t="shared" si="31"/>
        <v>62940.904544240009</v>
      </c>
      <c r="AQ69" s="394">
        <f t="shared" si="20"/>
        <v>1.7</v>
      </c>
      <c r="AR69" s="442"/>
      <c r="AS69" s="442"/>
      <c r="AT69" s="446"/>
    </row>
    <row r="70" spans="1:46" s="417" customFormat="1" ht="20.100000000000001" customHeight="1" x14ac:dyDescent="0.3">
      <c r="A70" s="411" t="s">
        <v>244</v>
      </c>
      <c r="B70" s="395">
        <v>3.4529999999999998</v>
      </c>
      <c r="C70" s="393">
        <v>3.4529999999999998</v>
      </c>
      <c r="D70" s="330"/>
      <c r="E70" s="395">
        <v>516.08000000000004</v>
      </c>
      <c r="F70" s="393">
        <v>600.71199999999999</v>
      </c>
      <c r="G70" s="330">
        <f>IF(E70=0, "    ---- ", IF(ABS(ROUND(100/E70*F70-100,1))&lt;999,ROUND(100/E70*F70-100,1),IF(ROUND(100/E70*F70-100,1)&gt;999,999,-999)))</f>
        <v>16.399999999999999</v>
      </c>
      <c r="H70" s="395">
        <v>59.231999999999999</v>
      </c>
      <c r="I70" s="393">
        <v>65.844999999999999</v>
      </c>
      <c r="J70" s="330"/>
      <c r="K70" s="395"/>
      <c r="L70" s="393">
        <v>15.3</v>
      </c>
      <c r="M70" s="330" t="str">
        <f>IF(K70=0, "    ---- ", IF(ABS(ROUND(100/K70*L70-100,1))&lt;999,ROUND(100/K70*L70-100,1),IF(ROUND(100/K70*L70-100,1)&gt;999,999,-999)))</f>
        <v xml:space="preserve">    ---- </v>
      </c>
      <c r="N70" s="395"/>
      <c r="O70" s="393"/>
      <c r="P70" s="330"/>
      <c r="Q70" s="395">
        <v>4154.3046469999999</v>
      </c>
      <c r="R70" s="393">
        <v>4944.8378439999997</v>
      </c>
      <c r="S70" s="330">
        <f t="shared" si="29"/>
        <v>19</v>
      </c>
      <c r="T70" s="395">
        <v>1.8</v>
      </c>
      <c r="U70" s="393">
        <v>3.4</v>
      </c>
      <c r="V70" s="330">
        <f>IF(T70=0, "    ---- ", IF(ABS(ROUND(100/T70*U70-100,1))&lt;999,ROUND(100/T70*U70-100,1),IF(ROUND(100/T70*U70-100,1)&gt;999,999,-999)))</f>
        <v>88.9</v>
      </c>
      <c r="W70" s="395">
        <v>105.06</v>
      </c>
      <c r="X70" s="393">
        <v>66.64</v>
      </c>
      <c r="Y70" s="330">
        <f t="shared" si="21"/>
        <v>-36.6</v>
      </c>
      <c r="Z70" s="395"/>
      <c r="AA70" s="393"/>
      <c r="AB70" s="330" t="str">
        <f>IF(Z70=0, "    ---- ", IF(ABS(ROUND(100/Z70*AA70-100,1))&lt;999,ROUND(100/Z70*AA70-100,1),IF(ROUND(100/Z70*AA70-100,1)&gt;999,999,-999)))</f>
        <v xml:space="preserve">    ---- </v>
      </c>
      <c r="AC70" s="395"/>
      <c r="AD70" s="393"/>
      <c r="AE70" s="330"/>
      <c r="AF70" s="395">
        <v>57.61</v>
      </c>
      <c r="AG70" s="393">
        <v>89.34</v>
      </c>
      <c r="AH70" s="330">
        <f>IF(AF70=0, "    ---- ", IF(ABS(ROUND(100/AF70*AG70-100,1))&lt;999,ROUND(100/AF70*AG70-100,1),IF(ROUND(100/AF70*AG70-100,1)&gt;999,999,-999)))</f>
        <v>55.1</v>
      </c>
      <c r="AI70" s="395">
        <v>34</v>
      </c>
      <c r="AJ70" s="393">
        <v>295</v>
      </c>
      <c r="AK70" s="330">
        <f t="shared" si="22"/>
        <v>767.6</v>
      </c>
      <c r="AL70" s="390">
        <f t="shared" si="30"/>
        <v>4931.5396470000005</v>
      </c>
      <c r="AM70" s="390">
        <f t="shared" si="30"/>
        <v>6084.5278439999993</v>
      </c>
      <c r="AN70" s="330">
        <f t="shared" si="18"/>
        <v>23.4</v>
      </c>
      <c r="AO70" s="390">
        <f t="shared" si="31"/>
        <v>4931.5396470000005</v>
      </c>
      <c r="AP70" s="390">
        <f t="shared" si="31"/>
        <v>6084.5278439999993</v>
      </c>
      <c r="AQ70" s="394">
        <f t="shared" si="20"/>
        <v>23.4</v>
      </c>
      <c r="AR70" s="442"/>
      <c r="AS70" s="442"/>
      <c r="AT70" s="446"/>
    </row>
    <row r="71" spans="1:46" s="417" customFormat="1" ht="20.100000000000001" customHeight="1" x14ac:dyDescent="0.3">
      <c r="A71" s="411" t="s">
        <v>245</v>
      </c>
      <c r="B71" s="395"/>
      <c r="C71" s="393"/>
      <c r="D71" s="330"/>
      <c r="E71" s="395">
        <v>5500</v>
      </c>
      <c r="F71" s="393">
        <v>7000</v>
      </c>
      <c r="G71" s="330">
        <f t="shared" si="14"/>
        <v>27.3</v>
      </c>
      <c r="H71" s="395"/>
      <c r="I71" s="393"/>
      <c r="J71" s="330"/>
      <c r="K71" s="395">
        <v>299.60000000000002</v>
      </c>
      <c r="L71" s="393">
        <v>299.7</v>
      </c>
      <c r="M71" s="376"/>
      <c r="N71" s="395"/>
      <c r="O71" s="393"/>
      <c r="P71" s="330"/>
      <c r="Q71" s="395">
        <v>7463.5218313800005</v>
      </c>
      <c r="R71" s="393">
        <v>7635.3253456099992</v>
      </c>
      <c r="S71" s="330">
        <f t="shared" si="29"/>
        <v>2.2999999999999998</v>
      </c>
      <c r="T71" s="395"/>
      <c r="U71" s="393"/>
      <c r="V71" s="330"/>
      <c r="W71" s="395">
        <v>2830</v>
      </c>
      <c r="X71" s="393">
        <v>2830</v>
      </c>
      <c r="Y71" s="330">
        <f t="shared" si="21"/>
        <v>0</v>
      </c>
      <c r="Z71" s="395">
        <v>1240</v>
      </c>
      <c r="AA71" s="393">
        <v>1240</v>
      </c>
      <c r="AB71" s="330">
        <f>IF(Z71=0, "    ---- ", IF(ABS(ROUND(100/Z71*AA71-100,1))&lt;999,ROUND(100/Z71*AA71-100,1),IF(ROUND(100/Z71*AA71-100,1)&gt;999,999,-999)))</f>
        <v>0</v>
      </c>
      <c r="AC71" s="395"/>
      <c r="AD71" s="393"/>
      <c r="AE71" s="330"/>
      <c r="AF71" s="395">
        <v>1000</v>
      </c>
      <c r="AG71" s="393">
        <v>1000</v>
      </c>
      <c r="AH71" s="330">
        <f t="shared" si="16"/>
        <v>0</v>
      </c>
      <c r="AI71" s="395">
        <v>9204</v>
      </c>
      <c r="AJ71" s="393">
        <v>7807</v>
      </c>
      <c r="AK71" s="330">
        <f t="shared" si="22"/>
        <v>-15.2</v>
      </c>
      <c r="AL71" s="390">
        <f t="shared" si="30"/>
        <v>27537.121831380002</v>
      </c>
      <c r="AM71" s="390">
        <f t="shared" si="30"/>
        <v>27812.02534561</v>
      </c>
      <c r="AN71" s="330">
        <f t="shared" si="18"/>
        <v>1</v>
      </c>
      <c r="AO71" s="390">
        <f t="shared" si="31"/>
        <v>27537.121831380002</v>
      </c>
      <c r="AP71" s="390">
        <f t="shared" si="31"/>
        <v>27812.02534561</v>
      </c>
      <c r="AQ71" s="394">
        <f t="shared" si="20"/>
        <v>1</v>
      </c>
      <c r="AR71" s="442"/>
      <c r="AT71" s="446"/>
    </row>
    <row r="72" spans="1:46" s="417" customFormat="1" ht="20.100000000000001" customHeight="1" x14ac:dyDescent="0.3">
      <c r="A72" s="411" t="s">
        <v>246</v>
      </c>
      <c r="B72" s="395"/>
      <c r="C72" s="393"/>
      <c r="D72" s="330"/>
      <c r="E72" s="395"/>
      <c r="F72" s="393"/>
      <c r="G72" s="330"/>
      <c r="H72" s="395"/>
      <c r="I72" s="393"/>
      <c r="J72" s="330"/>
      <c r="K72" s="395"/>
      <c r="L72" s="393"/>
      <c r="M72" s="376"/>
      <c r="N72" s="395"/>
      <c r="O72" s="393"/>
      <c r="P72" s="330"/>
      <c r="Q72" s="395"/>
      <c r="R72" s="393"/>
      <c r="S72" s="330"/>
      <c r="T72" s="395"/>
      <c r="U72" s="393"/>
      <c r="V72" s="330"/>
      <c r="W72" s="395"/>
      <c r="X72" s="393"/>
      <c r="Y72" s="330"/>
      <c r="Z72" s="395"/>
      <c r="AA72" s="393"/>
      <c r="AB72" s="330"/>
      <c r="AC72" s="395"/>
      <c r="AD72" s="393"/>
      <c r="AE72" s="330"/>
      <c r="AF72" s="395"/>
      <c r="AG72" s="393"/>
      <c r="AH72" s="330"/>
      <c r="AI72" s="395"/>
      <c r="AJ72" s="393"/>
      <c r="AK72" s="330"/>
      <c r="AL72" s="379"/>
      <c r="AM72" s="379"/>
      <c r="AN72" s="330"/>
      <c r="AO72" s="379"/>
      <c r="AP72" s="379"/>
      <c r="AQ72" s="394"/>
      <c r="AR72" s="442"/>
      <c r="AS72" s="442"/>
      <c r="AT72" s="446"/>
    </row>
    <row r="73" spans="1:46" s="417" customFormat="1" ht="20.100000000000001" customHeight="1" x14ac:dyDescent="0.3">
      <c r="A73" s="411" t="s">
        <v>403</v>
      </c>
      <c r="B73" s="395">
        <v>934.02099999999996</v>
      </c>
      <c r="C73" s="393">
        <v>1067.0060000000001</v>
      </c>
      <c r="D73" s="330">
        <f>IF(B73=0, "    ---- ", IF(ABS(ROUND(100/B73*C73-100,1))&lt;999,ROUND(100/B73*C73-100,1),IF(ROUND(100/B73*C73-100,1)&gt;999,999,-999)))</f>
        <v>14.2</v>
      </c>
      <c r="E73" s="395">
        <v>196761.527</v>
      </c>
      <c r="F73" s="393">
        <v>194897.391</v>
      </c>
      <c r="G73" s="330">
        <f t="shared" si="14"/>
        <v>-0.9</v>
      </c>
      <c r="H73" s="395">
        <v>1246.5820000000001</v>
      </c>
      <c r="I73" s="393">
        <v>1404.425</v>
      </c>
      <c r="J73" s="330">
        <f>IF(H73=0, "    ---- ", IF(ABS(ROUND(100/H73*I73-100,1))&lt;999,ROUND(100/H73*I73-100,1),IF(ROUND(100/H73*I73-100,1)&gt;999,999,-999)))</f>
        <v>12.7</v>
      </c>
      <c r="K73" s="395">
        <v>5950.4</v>
      </c>
      <c r="L73" s="393">
        <v>6518.9</v>
      </c>
      <c r="M73" s="376">
        <f>IF(K73=0, "    ---- ", IF(ABS(ROUND(100/K73*L73-100,1))&lt;999,ROUND(100/K73*L73-100,1),IF(ROUND(100/K73*L73-100,1)&gt;999,999,-999)))</f>
        <v>9.6</v>
      </c>
      <c r="N73" s="395">
        <v>52</v>
      </c>
      <c r="O73" s="393">
        <v>46.736684629999999</v>
      </c>
      <c r="P73" s="330"/>
      <c r="Q73" s="395">
        <v>407269.96843933</v>
      </c>
      <c r="R73" s="393">
        <v>434772.74934271001</v>
      </c>
      <c r="S73" s="330">
        <f t="shared" si="29"/>
        <v>6.8</v>
      </c>
      <c r="T73" s="395">
        <v>1517.1</v>
      </c>
      <c r="U73" s="393">
        <v>1573.6</v>
      </c>
      <c r="V73" s="330">
        <f>IF(T73=0, "    ---- ", IF(ABS(ROUND(100/T73*U73-100,1))&lt;999,ROUND(100/T73*U73-100,1),IF(ROUND(100/T73*U73-100,1)&gt;999,999,-999)))</f>
        <v>3.7</v>
      </c>
      <c r="W73" s="395">
        <v>46390.498831999997</v>
      </c>
      <c r="X73" s="393">
        <v>46655.612000000001</v>
      </c>
      <c r="Y73" s="330">
        <f t="shared" si="21"/>
        <v>0.6</v>
      </c>
      <c r="Z73" s="395">
        <v>61002</v>
      </c>
      <c r="AA73" s="393">
        <v>64239</v>
      </c>
      <c r="AB73" s="330">
        <f>IF(Z73=0, "    ---- ", IF(ABS(ROUND(100/Z73*AA73-100,1))&lt;999,ROUND(100/Z73*AA73-100,1),IF(ROUND(100/Z73*AA73-100,1)&gt;999,999,-999)))</f>
        <v>5.3</v>
      </c>
      <c r="AC73" s="395"/>
      <c r="AD73" s="393"/>
      <c r="AE73" s="330"/>
      <c r="AF73" s="395">
        <v>19705.764999999999</v>
      </c>
      <c r="AG73" s="393">
        <v>20929.569</v>
      </c>
      <c r="AH73" s="330">
        <f t="shared" si="16"/>
        <v>6.2</v>
      </c>
      <c r="AI73" s="395">
        <v>172256</v>
      </c>
      <c r="AJ73" s="393">
        <v>172847</v>
      </c>
      <c r="AK73" s="330">
        <f t="shared" si="22"/>
        <v>0.3</v>
      </c>
      <c r="AL73" s="390">
        <f t="shared" ref="AL73:AM79" si="32">B73+E73+H73+K73+Q73+T73+W73+Z73+AF73+AI73</f>
        <v>913033.86227132997</v>
      </c>
      <c r="AM73" s="390">
        <f t="shared" si="32"/>
        <v>944905.25234270992</v>
      </c>
      <c r="AN73" s="330">
        <f t="shared" si="18"/>
        <v>3.5</v>
      </c>
      <c r="AO73" s="390">
        <f t="shared" ref="AO73:AP79" si="33">B73+E73+H73+K73+N73+Q73+T73+W73+Z73+AC73+AF73+AI73</f>
        <v>913085.86227132997</v>
      </c>
      <c r="AP73" s="390">
        <f t="shared" si="33"/>
        <v>944951.98902733997</v>
      </c>
      <c r="AQ73" s="394">
        <f t="shared" si="20"/>
        <v>3.5</v>
      </c>
      <c r="AR73" s="442"/>
      <c r="AS73" s="442"/>
      <c r="AT73" s="446"/>
    </row>
    <row r="74" spans="1:46" s="417" customFormat="1" ht="20.100000000000001" customHeight="1" x14ac:dyDescent="0.3">
      <c r="A74" s="411" t="s">
        <v>247</v>
      </c>
      <c r="B74" s="395">
        <v>15.303000000000001</v>
      </c>
      <c r="C74" s="393">
        <v>15.791</v>
      </c>
      <c r="D74" s="330">
        <f>IF(B74=0, "    ---- ", IF(ABS(ROUND(100/B74*C74-100,1))&lt;999,ROUND(100/B74*C74-100,1),IF(ROUND(100/B74*C74-100,1)&gt;999,999,-999)))</f>
        <v>3.2</v>
      </c>
      <c r="E74" s="395">
        <v>7528.067</v>
      </c>
      <c r="F74" s="393">
        <v>7277.4459999999999</v>
      </c>
      <c r="G74" s="330">
        <f t="shared" si="14"/>
        <v>-3.3</v>
      </c>
      <c r="H74" s="395">
        <v>3.4990000000000001</v>
      </c>
      <c r="I74" s="393">
        <v>1.101</v>
      </c>
      <c r="J74" s="330">
        <f>IF(H74=0, "    ---- ", IF(ABS(ROUND(100/H74*I74-100,1))&lt;999,ROUND(100/H74*I74-100,1),IF(ROUND(100/H74*I74-100,1)&gt;999,999,-999)))</f>
        <v>-68.5</v>
      </c>
      <c r="K74" s="395">
        <v>177.4</v>
      </c>
      <c r="L74" s="393">
        <v>242.8</v>
      </c>
      <c r="M74" s="376">
        <f>IF(K74=0, "    ---- ", IF(ABS(ROUND(100/K74*L74-100,1))&lt;999,ROUND(100/K74*L74-100,1),IF(ROUND(100/K74*L74-100,1)&gt;999,999,-999)))</f>
        <v>36.9</v>
      </c>
      <c r="N74" s="395"/>
      <c r="O74" s="393"/>
      <c r="P74" s="330"/>
      <c r="Q74" s="395">
        <v>25401.347023999999</v>
      </c>
      <c r="R74" s="393">
        <v>28206.462697999999</v>
      </c>
      <c r="S74" s="330">
        <f t="shared" si="29"/>
        <v>11</v>
      </c>
      <c r="T74" s="395">
        <v>106.3</v>
      </c>
      <c r="U74" s="393">
        <v>111.7</v>
      </c>
      <c r="V74" s="330">
        <f>IF(T74=0, "    ---- ", IF(ABS(ROUND(100/T74*U74-100,1))&lt;999,ROUND(100/T74*U74-100,1),IF(ROUND(100/T74*U74-100,1)&gt;999,999,-999)))</f>
        <v>5.0999999999999996</v>
      </c>
      <c r="W74" s="395">
        <v>1623.46</v>
      </c>
      <c r="X74" s="393">
        <v>2051.5500000000002</v>
      </c>
      <c r="Y74" s="330">
        <f t="shared" si="21"/>
        <v>26.4</v>
      </c>
      <c r="Z74" s="395">
        <v>7101</v>
      </c>
      <c r="AA74" s="393">
        <v>7492</v>
      </c>
      <c r="AB74" s="330">
        <f>IF(Z74=0, "    ---- ", IF(ABS(ROUND(100/Z74*AA74-100,1))&lt;999,ROUND(100/Z74*AA74-100,1),IF(ROUND(100/Z74*AA74-100,1)&gt;999,999,-999)))</f>
        <v>5.5</v>
      </c>
      <c r="AC74" s="395"/>
      <c r="AD74" s="393"/>
      <c r="AE74" s="330"/>
      <c r="AF74" s="395">
        <v>840.13099999999997</v>
      </c>
      <c r="AG74" s="393">
        <v>982.40599999999995</v>
      </c>
      <c r="AH74" s="330">
        <f t="shared" si="16"/>
        <v>16.899999999999999</v>
      </c>
      <c r="AI74" s="395">
        <v>8114</v>
      </c>
      <c r="AJ74" s="393">
        <v>8239</v>
      </c>
      <c r="AK74" s="330">
        <f t="shared" si="22"/>
        <v>1.5</v>
      </c>
      <c r="AL74" s="390">
        <f t="shared" si="32"/>
        <v>50910.507023999999</v>
      </c>
      <c r="AM74" s="390">
        <f t="shared" si="32"/>
        <v>54620.256698000005</v>
      </c>
      <c r="AN74" s="330">
        <f t="shared" si="18"/>
        <v>7.3</v>
      </c>
      <c r="AO74" s="390">
        <f t="shared" si="33"/>
        <v>50910.507023999999</v>
      </c>
      <c r="AP74" s="390">
        <f t="shared" si="33"/>
        <v>54620.256698000005</v>
      </c>
      <c r="AQ74" s="394">
        <f t="shared" si="20"/>
        <v>7.3</v>
      </c>
      <c r="AR74" s="442"/>
      <c r="AS74" s="442"/>
      <c r="AT74" s="446"/>
    </row>
    <row r="75" spans="1:46" s="417" customFormat="1" ht="20.100000000000001" customHeight="1" x14ac:dyDescent="0.3">
      <c r="A75" s="411" t="s">
        <v>248</v>
      </c>
      <c r="B75" s="395">
        <v>33.517000000000003</v>
      </c>
      <c r="C75" s="393">
        <v>37.843000000000004</v>
      </c>
      <c r="D75" s="330">
        <f>IF(B75=0, "    ---- ", IF(ABS(ROUND(100/B75*C75-100,1))&lt;999,ROUND(100/B75*C75-100,1),IF(ROUND(100/B75*C75-100,1)&gt;999,999,-999)))</f>
        <v>12.9</v>
      </c>
      <c r="E75" s="395">
        <v>2157.3919999999998</v>
      </c>
      <c r="F75" s="393">
        <v>3647.3310000000001</v>
      </c>
      <c r="G75" s="330">
        <f t="shared" si="14"/>
        <v>69.099999999999994</v>
      </c>
      <c r="H75" s="395"/>
      <c r="I75" s="393">
        <v>3.7639999999999998</v>
      </c>
      <c r="J75" s="330"/>
      <c r="K75" s="395">
        <v>9.6</v>
      </c>
      <c r="L75" s="393">
        <v>15.2</v>
      </c>
      <c r="M75" s="376">
        <f>IF(K75=0, "    ---- ", IF(ABS(ROUND(100/K75*L75-100,1))&lt;999,ROUND(100/K75*L75-100,1),IF(ROUND(100/K75*L75-100,1)&gt;999,999,-999)))</f>
        <v>58.3</v>
      </c>
      <c r="N75" s="395"/>
      <c r="O75" s="393"/>
      <c r="P75" s="330"/>
      <c r="Q75" s="395">
        <v>34656.238074000001</v>
      </c>
      <c r="R75" s="393">
        <v>44313.762024000003</v>
      </c>
      <c r="S75" s="330">
        <f t="shared" si="29"/>
        <v>27.9</v>
      </c>
      <c r="T75" s="395">
        <v>14.8</v>
      </c>
      <c r="U75" s="393">
        <v>13.1</v>
      </c>
      <c r="V75" s="330">
        <f>IF(T75=0, "    ---- ", IF(ABS(ROUND(100/T75*U75-100,1))&lt;999,ROUND(100/T75*U75-100,1),IF(ROUND(100/T75*U75-100,1)&gt;999,999,-999)))</f>
        <v>-11.5</v>
      </c>
      <c r="W75" s="395">
        <v>1129.76</v>
      </c>
      <c r="X75" s="393">
        <v>1512.32</v>
      </c>
      <c r="Y75" s="330">
        <f t="shared" si="21"/>
        <v>33.9</v>
      </c>
      <c r="Z75" s="395">
        <v>10520</v>
      </c>
      <c r="AA75" s="393">
        <v>12170</v>
      </c>
      <c r="AB75" s="330">
        <f>IF(Z75=0, "    ---- ", IF(ABS(ROUND(100/Z75*AA75-100,1))&lt;999,ROUND(100/Z75*AA75-100,1),IF(ROUND(100/Z75*AA75-100,1)&gt;999,999,-999)))</f>
        <v>15.7</v>
      </c>
      <c r="AC75" s="395"/>
      <c r="AD75" s="393"/>
      <c r="AE75" s="330"/>
      <c r="AF75" s="395">
        <v>2000.7460000000001</v>
      </c>
      <c r="AG75" s="393">
        <v>1947.19</v>
      </c>
      <c r="AH75" s="330">
        <f t="shared" si="16"/>
        <v>-2.7</v>
      </c>
      <c r="AI75" s="395">
        <v>2313</v>
      </c>
      <c r="AJ75" s="393">
        <v>4312</v>
      </c>
      <c r="AK75" s="330">
        <f t="shared" si="22"/>
        <v>86.4</v>
      </c>
      <c r="AL75" s="390">
        <f t="shared" si="32"/>
        <v>52835.053074000003</v>
      </c>
      <c r="AM75" s="390">
        <f t="shared" si="32"/>
        <v>67972.510024000003</v>
      </c>
      <c r="AN75" s="330">
        <f t="shared" si="18"/>
        <v>28.7</v>
      </c>
      <c r="AO75" s="390">
        <f t="shared" si="33"/>
        <v>52835.053074000003</v>
      </c>
      <c r="AP75" s="390">
        <f t="shared" si="33"/>
        <v>67972.510024000003</v>
      </c>
      <c r="AQ75" s="394">
        <f t="shared" si="20"/>
        <v>28.7</v>
      </c>
      <c r="AR75" s="442"/>
      <c r="AS75" s="442"/>
      <c r="AT75" s="446"/>
    </row>
    <row r="76" spans="1:46" s="417" customFormat="1" ht="20.100000000000001" customHeight="1" x14ac:dyDescent="0.3">
      <c r="A76" s="411" t="s">
        <v>404</v>
      </c>
      <c r="B76" s="395">
        <v>17.808</v>
      </c>
      <c r="C76" s="393">
        <v>15.746</v>
      </c>
      <c r="D76" s="330">
        <f>IF(B76=0, "    ---- ", IF(ABS(ROUND(100/B76*C76-100,1))&lt;999,ROUND(100/B76*C76-100,1),IF(ROUND(100/B76*C76-100,1)&gt;999,999,-999)))</f>
        <v>-11.6</v>
      </c>
      <c r="E76" s="395">
        <v>1084.6110000000001</v>
      </c>
      <c r="F76" s="393">
        <v>750.54100000000005</v>
      </c>
      <c r="G76" s="330">
        <f t="shared" si="14"/>
        <v>-30.8</v>
      </c>
      <c r="H76" s="395"/>
      <c r="I76" s="393"/>
      <c r="J76" s="330"/>
      <c r="K76" s="395">
        <v>1.1000000000000001</v>
      </c>
      <c r="L76" s="393">
        <v>1.3</v>
      </c>
      <c r="M76" s="376"/>
      <c r="N76" s="395"/>
      <c r="O76" s="393"/>
      <c r="P76" s="330"/>
      <c r="Q76" s="395">
        <v>15048.864717</v>
      </c>
      <c r="R76" s="393">
        <v>12216.307993</v>
      </c>
      <c r="S76" s="330">
        <f t="shared" si="29"/>
        <v>-18.8</v>
      </c>
      <c r="T76" s="395">
        <v>26</v>
      </c>
      <c r="U76" s="393">
        <v>30.5</v>
      </c>
      <c r="V76" s="330">
        <f>IF(T76=0, "    ---- ", IF(ABS(ROUND(100/T76*U76-100,1))&lt;999,ROUND(100/T76*U76-100,1),IF(ROUND(100/T76*U76-100,1)&gt;999,999,-999)))</f>
        <v>17.3</v>
      </c>
      <c r="W76" s="395">
        <v>688.01</v>
      </c>
      <c r="X76" s="393">
        <v>654.91999999999996</v>
      </c>
      <c r="Y76" s="330">
        <f t="shared" si="21"/>
        <v>-4.8</v>
      </c>
      <c r="Z76" s="395">
        <v>2216</v>
      </c>
      <c r="AA76" s="393">
        <v>3195</v>
      </c>
      <c r="AB76" s="330"/>
      <c r="AC76" s="395"/>
      <c r="AD76" s="393"/>
      <c r="AE76" s="330"/>
      <c r="AF76" s="395">
        <v>379.47800000000001</v>
      </c>
      <c r="AG76" s="393">
        <v>187.113</v>
      </c>
      <c r="AH76" s="330">
        <f t="shared" si="16"/>
        <v>-50.7</v>
      </c>
      <c r="AI76" s="395">
        <v>2402</v>
      </c>
      <c r="AJ76" s="393">
        <v>2047</v>
      </c>
      <c r="AK76" s="330">
        <f t="shared" si="22"/>
        <v>-14.8</v>
      </c>
      <c r="AL76" s="390">
        <f t="shared" si="32"/>
        <v>21863.871716999998</v>
      </c>
      <c r="AM76" s="390">
        <f t="shared" si="32"/>
        <v>19098.427993000001</v>
      </c>
      <c r="AN76" s="330">
        <f t="shared" si="18"/>
        <v>-12.6</v>
      </c>
      <c r="AO76" s="390">
        <f t="shared" si="33"/>
        <v>21863.871716999998</v>
      </c>
      <c r="AP76" s="390">
        <f t="shared" si="33"/>
        <v>19098.427993000001</v>
      </c>
      <c r="AQ76" s="394">
        <f t="shared" si="20"/>
        <v>-12.6</v>
      </c>
      <c r="AR76" s="442"/>
      <c r="AS76" s="442"/>
      <c r="AT76" s="446"/>
    </row>
    <row r="77" spans="1:46" s="417" customFormat="1" ht="20.100000000000001" customHeight="1" x14ac:dyDescent="0.3">
      <c r="A77" s="411" t="s">
        <v>368</v>
      </c>
      <c r="B77" s="395">
        <v>55.649000000000001</v>
      </c>
      <c r="C77" s="393">
        <v>50.161000000000001</v>
      </c>
      <c r="D77" s="330">
        <f>IF(B77=0, "    ---- ", IF(ABS(ROUND(100/B77*C77-100,1))&lt;999,ROUND(100/B77*C77-100,1),IF(ROUND(100/B77*C77-100,1)&gt;999,999,-999)))</f>
        <v>-9.9</v>
      </c>
      <c r="E77" s="395">
        <v>246.071</v>
      </c>
      <c r="F77" s="393">
        <v>302.45400000000001</v>
      </c>
      <c r="G77" s="330">
        <f t="shared" si="14"/>
        <v>22.9</v>
      </c>
      <c r="H77" s="395">
        <v>24.013999999999999</v>
      </c>
      <c r="I77" s="393">
        <v>28.236000000000001</v>
      </c>
      <c r="J77" s="330">
        <f>IF(H77=0, "    ---- ", IF(ABS(ROUND(100/H77*I77-100,1))&lt;999,ROUND(100/H77*I77-100,1),IF(ROUND(100/H77*I77-100,1)&gt;999,999,-999)))</f>
        <v>17.600000000000001</v>
      </c>
      <c r="K77" s="395"/>
      <c r="L77" s="393"/>
      <c r="M77" s="376"/>
      <c r="N77" s="395"/>
      <c r="O77" s="393"/>
      <c r="P77" s="330"/>
      <c r="Q77" s="395"/>
      <c r="R77" s="393"/>
      <c r="S77" s="330"/>
      <c r="T77" s="395"/>
      <c r="U77" s="393"/>
      <c r="V77" s="330"/>
      <c r="W77" s="395">
        <v>0</v>
      </c>
      <c r="X77" s="393">
        <v>0</v>
      </c>
      <c r="Y77" s="330" t="str">
        <f t="shared" si="21"/>
        <v xml:space="preserve">    ---- </v>
      </c>
      <c r="Z77" s="395">
        <v>471</v>
      </c>
      <c r="AA77" s="393">
        <v>445</v>
      </c>
      <c r="AB77" s="330"/>
      <c r="AC77" s="395"/>
      <c r="AD77" s="393"/>
      <c r="AE77" s="330"/>
      <c r="AF77" s="395"/>
      <c r="AG77" s="393"/>
      <c r="AH77" s="330" t="str">
        <f t="shared" si="16"/>
        <v xml:space="preserve">    ---- </v>
      </c>
      <c r="AI77" s="395">
        <v>623</v>
      </c>
      <c r="AJ77" s="393">
        <v>675</v>
      </c>
      <c r="AK77" s="330">
        <f t="shared" si="22"/>
        <v>8.3000000000000007</v>
      </c>
      <c r="AL77" s="390">
        <f t="shared" si="32"/>
        <v>1419.7339999999999</v>
      </c>
      <c r="AM77" s="390">
        <f t="shared" si="32"/>
        <v>1500.8510000000001</v>
      </c>
      <c r="AN77" s="330">
        <f t="shared" si="18"/>
        <v>5.7</v>
      </c>
      <c r="AO77" s="390">
        <f t="shared" si="33"/>
        <v>1419.7339999999999</v>
      </c>
      <c r="AP77" s="390">
        <f t="shared" si="33"/>
        <v>1500.8510000000001</v>
      </c>
      <c r="AQ77" s="394">
        <f t="shared" si="20"/>
        <v>5.7</v>
      </c>
      <c r="AR77" s="442"/>
      <c r="AS77" s="442"/>
      <c r="AT77" s="446"/>
    </row>
    <row r="78" spans="1:46" s="417" customFormat="1" ht="20.100000000000001" customHeight="1" x14ac:dyDescent="0.3">
      <c r="A78" s="411" t="s">
        <v>249</v>
      </c>
      <c r="B78" s="395"/>
      <c r="C78" s="393"/>
      <c r="D78" s="330"/>
      <c r="E78" s="395"/>
      <c r="F78" s="393"/>
      <c r="G78" s="330"/>
      <c r="H78" s="395"/>
      <c r="I78" s="393"/>
      <c r="J78" s="330"/>
      <c r="K78" s="395">
        <v>57</v>
      </c>
      <c r="L78" s="393">
        <v>20.3</v>
      </c>
      <c r="M78" s="376"/>
      <c r="N78" s="395"/>
      <c r="O78" s="393"/>
      <c r="P78" s="330"/>
      <c r="Q78" s="395">
        <v>3010.5106369999999</v>
      </c>
      <c r="R78" s="393">
        <v>2088.448073</v>
      </c>
      <c r="S78" s="330"/>
      <c r="T78" s="395">
        <v>10.9</v>
      </c>
      <c r="U78" s="393">
        <v>4</v>
      </c>
      <c r="V78" s="330"/>
      <c r="W78" s="395"/>
      <c r="X78" s="393"/>
      <c r="Y78" s="330"/>
      <c r="Z78" s="395">
        <v>482</v>
      </c>
      <c r="AA78" s="393">
        <v>50</v>
      </c>
      <c r="AB78" s="330"/>
      <c r="AC78" s="395"/>
      <c r="AD78" s="393"/>
      <c r="AE78" s="330"/>
      <c r="AF78" s="395">
        <v>123.65141704999989</v>
      </c>
      <c r="AG78" s="393">
        <v>4.2599488100001883</v>
      </c>
      <c r="AH78" s="330"/>
      <c r="AI78" s="395">
        <v>406</v>
      </c>
      <c r="AJ78" s="393">
        <v>144</v>
      </c>
      <c r="AK78" s="330"/>
      <c r="AL78" s="390">
        <f t="shared" si="32"/>
        <v>4090.0620540499999</v>
      </c>
      <c r="AM78" s="390">
        <f t="shared" si="32"/>
        <v>2311.0080218100002</v>
      </c>
      <c r="AN78" s="330">
        <f t="shared" si="18"/>
        <v>-43.5</v>
      </c>
      <c r="AO78" s="390">
        <f t="shared" si="33"/>
        <v>4090.0620540499999</v>
      </c>
      <c r="AP78" s="390">
        <f t="shared" si="33"/>
        <v>2311.0080218100002</v>
      </c>
      <c r="AQ78" s="394">
        <f t="shared" si="20"/>
        <v>-43.5</v>
      </c>
      <c r="AR78" s="442"/>
      <c r="AS78" s="442"/>
      <c r="AT78" s="446"/>
    </row>
    <row r="79" spans="1:46" s="417" customFormat="1" ht="20.100000000000001" customHeight="1" x14ac:dyDescent="0.3">
      <c r="A79" s="412" t="s">
        <v>250</v>
      </c>
      <c r="B79" s="379">
        <v>1056.298</v>
      </c>
      <c r="C79" s="393">
        <f>SUM(C73:C78)</f>
        <v>1186.5470000000003</v>
      </c>
      <c r="D79" s="330">
        <f>IF(B79=0, "    ---- ", IF(ABS(ROUND(100/B79*C79-100,1))&lt;999,ROUND(100/B79*C79-100,1),IF(ROUND(100/B79*C79-100,1)&gt;999,999,-999)))</f>
        <v>12.3</v>
      </c>
      <c r="E79" s="395">
        <v>207777.66800000001</v>
      </c>
      <c r="F79" s="393">
        <f>SUM(F73:F78)</f>
        <v>206875.163</v>
      </c>
      <c r="G79" s="330">
        <f t="shared" si="14"/>
        <v>-0.4</v>
      </c>
      <c r="H79" s="395">
        <v>1274.095</v>
      </c>
      <c r="I79" s="393">
        <f>SUM(I73:I78)</f>
        <v>1437.5260000000001</v>
      </c>
      <c r="J79" s="330">
        <f>IF(H79=0, "    ---- ", IF(ABS(ROUND(100/H79*I79-100,1))&lt;999,ROUND(100/H79*I79-100,1),IF(ROUND(100/H79*I79-100,1)&gt;999,999,-999)))</f>
        <v>12.8</v>
      </c>
      <c r="K79" s="395">
        <v>6195.5</v>
      </c>
      <c r="L79" s="393">
        <f>SUM(L73:L78)</f>
        <v>6798.5</v>
      </c>
      <c r="M79" s="376">
        <f>IF(K79=0, "    ---- ", IF(ABS(ROUND(100/K79*L79-100,1))&lt;999,ROUND(100/K79*L79-100,1),IF(ROUND(100/K79*L79-100,1)&gt;999,999,-999)))</f>
        <v>9.6999999999999993</v>
      </c>
      <c r="N79" s="395">
        <v>52</v>
      </c>
      <c r="O79" s="393">
        <f>SUM(O73:O78)</f>
        <v>46.736684629999999</v>
      </c>
      <c r="P79" s="330">
        <f>IF(N79=0, "    ---- ", IF(ABS(ROUND(100/N79*O79-100,1))&lt;999,ROUND(100/N79*O79-100,1),IF(ROUND(100/N79*O79-100,1)&gt;999,999,-999)))</f>
        <v>-10.1</v>
      </c>
      <c r="Q79" s="395">
        <v>485386.92889133003</v>
      </c>
      <c r="R79" s="393">
        <f>SUM(R73:R78)</f>
        <v>521597.73013071006</v>
      </c>
      <c r="S79" s="330">
        <f t="shared" si="29"/>
        <v>7.5</v>
      </c>
      <c r="T79" s="395">
        <v>1675.1</v>
      </c>
      <c r="U79" s="393">
        <f>SUM(U73:U78)</f>
        <v>1732.8999999999999</v>
      </c>
      <c r="V79" s="330">
        <f>IF(T79=0, "    ---- ", IF(ABS(ROUND(100/T79*U79-100,1))&lt;999,ROUND(100/T79*U79-100,1),IF(ROUND(100/T79*U79-100,1)&gt;999,999,-999)))</f>
        <v>3.5</v>
      </c>
      <c r="W79" s="395">
        <v>49831.728832000001</v>
      </c>
      <c r="X79" s="393">
        <f>SUM(X73:X78)</f>
        <v>50874.402000000002</v>
      </c>
      <c r="Y79" s="330">
        <f t="shared" si="21"/>
        <v>2.1</v>
      </c>
      <c r="Z79" s="395">
        <v>81792</v>
      </c>
      <c r="AA79" s="393">
        <f>SUM(AA73:AA78)</f>
        <v>87591</v>
      </c>
      <c r="AB79" s="330">
        <f>IF(Z79=0, "    ---- ", IF(ABS(ROUND(100/Z79*AA79-100,1))&lt;999,ROUND(100/Z79*AA79-100,1),IF(ROUND(100/Z79*AA79-100,1)&gt;999,999,-999)))</f>
        <v>7.1</v>
      </c>
      <c r="AC79" s="395">
        <v>0</v>
      </c>
      <c r="AD79" s="393">
        <f>SUM(AD73:AD78)</f>
        <v>0</v>
      </c>
      <c r="AE79" s="330"/>
      <c r="AF79" s="395">
        <v>23049.77141705</v>
      </c>
      <c r="AG79" s="393">
        <f>SUM(AG73:AG78)</f>
        <v>24050.537948809997</v>
      </c>
      <c r="AH79" s="330">
        <f t="shared" si="16"/>
        <v>4.3</v>
      </c>
      <c r="AI79" s="395">
        <v>186114</v>
      </c>
      <c r="AJ79" s="393">
        <f>SUM(AJ73:AJ78)</f>
        <v>188264</v>
      </c>
      <c r="AK79" s="330">
        <f t="shared" si="22"/>
        <v>1.2</v>
      </c>
      <c r="AL79" s="390">
        <f t="shared" si="32"/>
        <v>1044153.0901403801</v>
      </c>
      <c r="AM79" s="390">
        <f t="shared" si="32"/>
        <v>1090408.3060795201</v>
      </c>
      <c r="AN79" s="330">
        <f t="shared" si="18"/>
        <v>4.4000000000000004</v>
      </c>
      <c r="AO79" s="390">
        <f t="shared" si="33"/>
        <v>1044205.0901403801</v>
      </c>
      <c r="AP79" s="390">
        <f t="shared" si="33"/>
        <v>1090455.0427641501</v>
      </c>
      <c r="AQ79" s="394">
        <f t="shared" si="20"/>
        <v>4.4000000000000004</v>
      </c>
      <c r="AR79" s="442"/>
      <c r="AS79" s="442"/>
      <c r="AT79" s="446"/>
    </row>
    <row r="80" spans="1:46" s="417" customFormat="1" ht="20.100000000000001" customHeight="1" x14ac:dyDescent="0.3">
      <c r="A80" s="411" t="s">
        <v>251</v>
      </c>
      <c r="B80" s="395"/>
      <c r="C80" s="393"/>
      <c r="D80" s="330"/>
      <c r="E80" s="395"/>
      <c r="F80" s="393"/>
      <c r="G80" s="330"/>
      <c r="H80" s="395"/>
      <c r="I80" s="393"/>
      <c r="J80" s="330"/>
      <c r="K80" s="395"/>
      <c r="L80" s="393"/>
      <c r="M80" s="376"/>
      <c r="N80" s="395"/>
      <c r="O80" s="393"/>
      <c r="P80" s="330"/>
      <c r="Q80" s="395"/>
      <c r="R80" s="393"/>
      <c r="S80" s="330"/>
      <c r="T80" s="395"/>
      <c r="U80" s="393"/>
      <c r="V80" s="330"/>
      <c r="W80" s="395"/>
      <c r="X80" s="393"/>
      <c r="Y80" s="330"/>
      <c r="Z80" s="395"/>
      <c r="AA80" s="393"/>
      <c r="AB80" s="330"/>
      <c r="AC80" s="395"/>
      <c r="AD80" s="393"/>
      <c r="AE80" s="330"/>
      <c r="AF80" s="395"/>
      <c r="AG80" s="393"/>
      <c r="AH80" s="330"/>
      <c r="AI80" s="395"/>
      <c r="AJ80" s="393"/>
      <c r="AK80" s="330"/>
      <c r="AL80" s="379"/>
      <c r="AM80" s="379"/>
      <c r="AN80" s="330"/>
      <c r="AO80" s="379"/>
      <c r="AP80" s="379"/>
      <c r="AQ80" s="394"/>
      <c r="AR80" s="442"/>
      <c r="AS80" s="442"/>
      <c r="AT80" s="446"/>
    </row>
    <row r="81" spans="1:46" s="417" customFormat="1" ht="20.100000000000001" customHeight="1" x14ac:dyDescent="0.3">
      <c r="A81" s="411" t="s">
        <v>405</v>
      </c>
      <c r="B81" s="395">
        <v>16629.526999999998</v>
      </c>
      <c r="C81" s="393">
        <v>18168.047999999999</v>
      </c>
      <c r="D81" s="330">
        <f>IF(B81=0, "    ---- ", IF(ABS(ROUND(100/B81*C81-100,1))&lt;999,ROUND(100/B81*C81-100,1),IF(ROUND(100/B81*C81-100,1)&gt;999,999,-999)))</f>
        <v>9.3000000000000007</v>
      </c>
      <c r="E81" s="395">
        <v>73979.475999999995</v>
      </c>
      <c r="F81" s="393">
        <v>84532.13</v>
      </c>
      <c r="G81" s="330">
        <f t="shared" si="14"/>
        <v>14.3</v>
      </c>
      <c r="H81" s="395">
        <v>3185.848</v>
      </c>
      <c r="I81" s="393">
        <v>3631.1309999999999</v>
      </c>
      <c r="J81" s="330">
        <f>IF(H81=0, "    ---- ", IF(ABS(ROUND(100/H81*I81-100,1))&lt;999,ROUND(100/H81*I81-100,1),IF(ROUND(100/H81*I81-100,1)&gt;999,999,-999)))</f>
        <v>14</v>
      </c>
      <c r="K81" s="395">
        <v>22459.5</v>
      </c>
      <c r="L81" s="393">
        <v>26575.7</v>
      </c>
      <c r="M81" s="376">
        <f>IF(K81=0, "    ---- ", IF(ABS(ROUND(100/K81*L81-100,1))&lt;999,ROUND(100/K81*L81-100,1),IF(ROUND(100/K81*L81-100,1)&gt;999,999,-999)))</f>
        <v>18.3</v>
      </c>
      <c r="N81" s="395"/>
      <c r="O81" s="393"/>
      <c r="P81" s="330"/>
      <c r="Q81" s="395">
        <v>1852.7851331500001</v>
      </c>
      <c r="R81" s="393">
        <v>1942.5973611500001</v>
      </c>
      <c r="S81" s="330">
        <f t="shared" ref="S81:S91" si="34">IF(Q81=0, "    ---- ", IF(ABS(ROUND(100/Q81*R81-100,1))&lt;999,ROUND(100/Q81*R81-100,1),IF(ROUND(100/Q81*R81-100,1)&gt;999,999,-999)))</f>
        <v>4.8</v>
      </c>
      <c r="T81" s="395">
        <v>2804.2</v>
      </c>
      <c r="U81" s="393">
        <v>3934.1</v>
      </c>
      <c r="V81" s="330">
        <f>IF(T81=0, "    ---- ", IF(ABS(ROUND(100/T81*U81-100,1))&lt;999,ROUND(100/T81*U81-100,1),IF(ROUND(100/T81*U81-100,1)&gt;999,999,-999)))</f>
        <v>40.299999999999997</v>
      </c>
      <c r="W81" s="395">
        <v>58443.27</v>
      </c>
      <c r="X81" s="393">
        <v>64970.07</v>
      </c>
      <c r="Y81" s="330">
        <f t="shared" si="21"/>
        <v>11.2</v>
      </c>
      <c r="Z81" s="395"/>
      <c r="AA81" s="393"/>
      <c r="AB81" s="330"/>
      <c r="AC81" s="395">
        <v>2055</v>
      </c>
      <c r="AD81" s="393">
        <v>2236.8637614700001</v>
      </c>
      <c r="AE81" s="330">
        <f>IF(AC81=0, "    ---- ", IF(ABS(ROUND(100/AC81*AD81-100,1))&lt;999,ROUND(100/AC81*AD81-100,1),IF(ROUND(100/AC81*AD81-100,1)&gt;999,999,-999)))</f>
        <v>8.8000000000000007</v>
      </c>
      <c r="AF81" s="395">
        <v>25669.919999999998</v>
      </c>
      <c r="AG81" s="393">
        <v>30278.267</v>
      </c>
      <c r="AH81" s="330">
        <f t="shared" si="16"/>
        <v>18</v>
      </c>
      <c r="AI81" s="395">
        <v>89340</v>
      </c>
      <c r="AJ81" s="393">
        <v>99920</v>
      </c>
      <c r="AK81" s="330">
        <f t="shared" si="22"/>
        <v>11.8</v>
      </c>
      <c r="AL81" s="390">
        <f t="shared" ref="AL81:AM89" si="35">B81+E81+H81+K81+Q81+T81+W81+Z81+AF81+AI81</f>
        <v>294364.52613314998</v>
      </c>
      <c r="AM81" s="390">
        <f t="shared" si="35"/>
        <v>333952.04336114996</v>
      </c>
      <c r="AN81" s="330">
        <f t="shared" si="18"/>
        <v>13.4</v>
      </c>
      <c r="AO81" s="390">
        <f t="shared" ref="AO81:AP89" si="36">B81+E81+H81+K81+N81+Q81+T81+W81+Z81+AC81+AF81+AI81</f>
        <v>296419.52613314998</v>
      </c>
      <c r="AP81" s="390">
        <f t="shared" si="36"/>
        <v>336188.90712262003</v>
      </c>
      <c r="AQ81" s="394">
        <f t="shared" si="20"/>
        <v>13.4</v>
      </c>
      <c r="AR81" s="442"/>
      <c r="AS81" s="442"/>
      <c r="AT81" s="446"/>
    </row>
    <row r="82" spans="1:46" s="417" customFormat="1" ht="20.100000000000001" customHeight="1" x14ac:dyDescent="0.3">
      <c r="A82" s="411" t="s">
        <v>406</v>
      </c>
      <c r="B82" s="395"/>
      <c r="C82" s="393"/>
      <c r="D82" s="330"/>
      <c r="E82" s="395"/>
      <c r="F82" s="393"/>
      <c r="G82" s="330"/>
      <c r="H82" s="395"/>
      <c r="I82" s="393"/>
      <c r="J82" s="330"/>
      <c r="K82" s="395"/>
      <c r="L82" s="393"/>
      <c r="M82" s="330"/>
      <c r="N82" s="395"/>
      <c r="O82" s="393"/>
      <c r="P82" s="330"/>
      <c r="Q82" s="395">
        <v>140.04001199999999</v>
      </c>
      <c r="R82" s="393">
        <v>99.874432999999996</v>
      </c>
      <c r="S82" s="330"/>
      <c r="T82" s="395"/>
      <c r="U82" s="393"/>
      <c r="V82" s="330"/>
      <c r="W82" s="395"/>
      <c r="X82" s="393">
        <v>0</v>
      </c>
      <c r="Y82" s="330" t="str">
        <f t="shared" si="21"/>
        <v xml:space="preserve">    ---- </v>
      </c>
      <c r="Z82" s="395"/>
      <c r="AA82" s="393"/>
      <c r="AB82" s="330"/>
      <c r="AC82" s="395"/>
      <c r="AD82" s="393"/>
      <c r="AE82" s="330"/>
      <c r="AF82" s="395"/>
      <c r="AG82" s="393">
        <v>0</v>
      </c>
      <c r="AH82" s="330" t="str">
        <f t="shared" si="16"/>
        <v xml:space="preserve">    ---- </v>
      </c>
      <c r="AI82" s="395"/>
      <c r="AJ82" s="393"/>
      <c r="AK82" s="330" t="str">
        <f t="shared" si="22"/>
        <v xml:space="preserve">    ---- </v>
      </c>
      <c r="AL82" s="390">
        <f t="shared" si="35"/>
        <v>140.04001199999999</v>
      </c>
      <c r="AM82" s="390">
        <f t="shared" si="35"/>
        <v>99.874432999999996</v>
      </c>
      <c r="AN82" s="330">
        <f t="shared" si="18"/>
        <v>-28.7</v>
      </c>
      <c r="AO82" s="390">
        <f t="shared" si="36"/>
        <v>140.04001199999999</v>
      </c>
      <c r="AP82" s="390">
        <f t="shared" si="36"/>
        <v>99.874432999999996</v>
      </c>
      <c r="AQ82" s="394">
        <f t="shared" si="20"/>
        <v>-28.7</v>
      </c>
      <c r="AR82" s="442"/>
      <c r="AS82" s="442"/>
      <c r="AT82" s="446"/>
    </row>
    <row r="83" spans="1:46" s="417" customFormat="1" ht="20.100000000000001" customHeight="1" x14ac:dyDescent="0.3">
      <c r="A83" s="411" t="s">
        <v>407</v>
      </c>
      <c r="B83" s="400">
        <v>77.057000000000002</v>
      </c>
      <c r="C83" s="330">
        <v>63.011000000000003</v>
      </c>
      <c r="D83" s="330">
        <f>IF(B83=0, "    ---- ", IF(ABS(ROUND(100/B83*C83-100,1))&lt;999,ROUND(100/B83*C83-100,1),IF(ROUND(100/B83*C83-100,1)&gt;999,999,-999)))</f>
        <v>-18.2</v>
      </c>
      <c r="E83" s="400">
        <v>650.77800000000002</v>
      </c>
      <c r="F83" s="330">
        <v>660.298</v>
      </c>
      <c r="G83" s="330">
        <f t="shared" si="14"/>
        <v>1.5</v>
      </c>
      <c r="H83" s="400"/>
      <c r="I83" s="330"/>
      <c r="J83" s="330"/>
      <c r="K83" s="400">
        <v>324.60000000000002</v>
      </c>
      <c r="L83" s="330">
        <v>306.5</v>
      </c>
      <c r="M83" s="330">
        <f>IF(K83=0, "    ---- ", IF(ABS(ROUND(100/K83*L83-100,1))&lt;999,ROUND(100/K83*L83-100,1),IF(ROUND(100/K83*L83-100,1)&gt;999,999,-999)))</f>
        <v>-5.6</v>
      </c>
      <c r="N83" s="400"/>
      <c r="O83" s="330"/>
      <c r="P83" s="330"/>
      <c r="Q83" s="400">
        <v>386.81713200000002</v>
      </c>
      <c r="R83" s="330">
        <v>379.41078299999998</v>
      </c>
      <c r="S83" s="330">
        <f t="shared" si="34"/>
        <v>-1.9</v>
      </c>
      <c r="T83" s="400">
        <v>11.9</v>
      </c>
      <c r="U83" s="330">
        <v>16.600000000000001</v>
      </c>
      <c r="V83" s="330">
        <f>IF(T83=0, "    ---- ", IF(ABS(ROUND(100/T83*U83-100,1))&lt;999,ROUND(100/T83*U83-100,1),IF(ROUND(100/T83*U83-100,1)&gt;999,999,-999)))</f>
        <v>39.5</v>
      </c>
      <c r="W83" s="400"/>
      <c r="X83" s="330">
        <v>0</v>
      </c>
      <c r="Y83" s="330"/>
      <c r="Z83" s="400"/>
      <c r="AA83" s="330"/>
      <c r="AB83" s="330"/>
      <c r="AC83" s="400"/>
      <c r="AD83" s="330"/>
      <c r="AE83" s="330"/>
      <c r="AF83" s="400">
        <v>550.59500000000003</v>
      </c>
      <c r="AG83" s="330">
        <v>513.84799999999996</v>
      </c>
      <c r="AH83" s="330">
        <f t="shared" si="16"/>
        <v>-6.7</v>
      </c>
      <c r="AI83" s="400"/>
      <c r="AJ83" s="330"/>
      <c r="AK83" s="330" t="str">
        <f t="shared" si="22"/>
        <v xml:space="preserve">    ---- </v>
      </c>
      <c r="AL83" s="390">
        <f t="shared" si="35"/>
        <v>2001.7471320000002</v>
      </c>
      <c r="AM83" s="390">
        <f t="shared" si="35"/>
        <v>1939.6677829999999</v>
      </c>
      <c r="AN83" s="330">
        <f t="shared" si="18"/>
        <v>-3.1</v>
      </c>
      <c r="AO83" s="390">
        <f t="shared" si="36"/>
        <v>2001.7471320000002</v>
      </c>
      <c r="AP83" s="390">
        <f t="shared" si="36"/>
        <v>1939.6677829999999</v>
      </c>
      <c r="AQ83" s="394">
        <f t="shared" si="20"/>
        <v>-3.1</v>
      </c>
      <c r="AR83" s="442"/>
      <c r="AS83" s="442"/>
      <c r="AT83" s="446"/>
    </row>
    <row r="84" spans="1:46" s="417" customFormat="1" ht="20.100000000000001" customHeight="1" x14ac:dyDescent="0.3">
      <c r="A84" s="411" t="s">
        <v>249</v>
      </c>
      <c r="B84" s="395"/>
      <c r="C84" s="393"/>
      <c r="D84" s="393"/>
      <c r="E84" s="395"/>
      <c r="F84" s="393"/>
      <c r="G84" s="393"/>
      <c r="H84" s="395"/>
      <c r="I84" s="393"/>
      <c r="J84" s="393"/>
      <c r="K84" s="395"/>
      <c r="L84" s="393"/>
      <c r="M84" s="376"/>
      <c r="N84" s="395"/>
      <c r="O84" s="393"/>
      <c r="P84" s="330"/>
      <c r="Q84" s="395">
        <v>-34.658535999999998</v>
      </c>
      <c r="R84" s="393">
        <v>75.336196999999999</v>
      </c>
      <c r="S84" s="330"/>
      <c r="T84" s="395"/>
      <c r="U84" s="393"/>
      <c r="V84" s="330"/>
      <c r="W84" s="395"/>
      <c r="X84" s="393"/>
      <c r="Y84" s="330"/>
      <c r="Z84" s="395"/>
      <c r="AA84" s="393"/>
      <c r="AB84" s="330"/>
      <c r="AC84" s="395"/>
      <c r="AD84" s="393"/>
      <c r="AE84" s="393"/>
      <c r="AF84" s="395"/>
      <c r="AG84" s="393"/>
      <c r="AH84" s="330"/>
      <c r="AI84" s="395"/>
      <c r="AJ84" s="393"/>
      <c r="AK84" s="330"/>
      <c r="AL84" s="390">
        <f t="shared" si="35"/>
        <v>-34.658535999999998</v>
      </c>
      <c r="AM84" s="390">
        <f t="shared" si="35"/>
        <v>75.336196999999999</v>
      </c>
      <c r="AN84" s="330">
        <f t="shared" si="18"/>
        <v>-317.39999999999998</v>
      </c>
      <c r="AO84" s="390">
        <f t="shared" si="36"/>
        <v>-34.658535999999998</v>
      </c>
      <c r="AP84" s="390">
        <f t="shared" si="36"/>
        <v>75.336196999999999</v>
      </c>
      <c r="AQ84" s="394">
        <f t="shared" si="20"/>
        <v>-317.39999999999998</v>
      </c>
      <c r="AR84" s="442"/>
      <c r="AS84" s="442"/>
      <c r="AT84" s="446"/>
    </row>
    <row r="85" spans="1:46" s="417" customFormat="1" ht="20.100000000000001" customHeight="1" x14ac:dyDescent="0.3">
      <c r="A85" s="412" t="s">
        <v>252</v>
      </c>
      <c r="B85" s="379">
        <v>16706.583999999999</v>
      </c>
      <c r="C85" s="393">
        <f>SUM(C81:C84)</f>
        <v>18231.058999999997</v>
      </c>
      <c r="D85" s="393">
        <f>IF(B85=0, "    ---- ", IF(ABS(ROUND(100/B85*C85-100,1))&lt;999,ROUND(100/B85*C85-100,1),IF(ROUND(100/B85*C85-100,1)&gt;999,999,-999)))</f>
        <v>9.1</v>
      </c>
      <c r="E85" s="395">
        <v>74630.254000000001</v>
      </c>
      <c r="F85" s="393">
        <f>SUM(F81:F84)</f>
        <v>85192.428</v>
      </c>
      <c r="G85" s="393">
        <f t="shared" si="14"/>
        <v>14.2</v>
      </c>
      <c r="H85" s="395">
        <v>3185.848</v>
      </c>
      <c r="I85" s="393">
        <f>SUM(I81:I84)</f>
        <v>3631.1309999999999</v>
      </c>
      <c r="J85" s="393">
        <f>IF(H85=0, "    ---- ", IF(ABS(ROUND(100/H85*I85-100,1))&lt;999,ROUND(100/H85*I85-100,1),IF(ROUND(100/H85*I85-100,1)&gt;999,999,-999)))</f>
        <v>14</v>
      </c>
      <c r="K85" s="395">
        <v>22784.1</v>
      </c>
      <c r="L85" s="393">
        <f>SUM(L81:L84)</f>
        <v>26882.2</v>
      </c>
      <c r="M85" s="376">
        <f>IF(K85=0, "    ---- ", IF(ABS(ROUND(100/K85*L85-100,1))&lt;999,ROUND(100/K85*L85-100,1),IF(ROUND(100/K85*L85-100,1)&gt;999,999,-999)))</f>
        <v>18</v>
      </c>
      <c r="N85" s="395"/>
      <c r="O85" s="393">
        <f>SUM(O81:O84)</f>
        <v>0</v>
      </c>
      <c r="P85" s="330"/>
      <c r="Q85" s="395">
        <v>2344.9837411500002</v>
      </c>
      <c r="R85" s="393">
        <f>SUM(R81:R84)</f>
        <v>2497.2187741500002</v>
      </c>
      <c r="S85" s="330">
        <f t="shared" si="34"/>
        <v>6.5</v>
      </c>
      <c r="T85" s="395">
        <v>2816.1</v>
      </c>
      <c r="U85" s="393">
        <f>SUM(U81:U84)</f>
        <v>3950.7</v>
      </c>
      <c r="V85" s="330">
        <f>IF(T85=0, "    ---- ", IF(ABS(ROUND(100/T85*U85-100,1))&lt;999,ROUND(100/T85*U85-100,1),IF(ROUND(100/T85*U85-100,1)&gt;999,999,-999)))</f>
        <v>40.299999999999997</v>
      </c>
      <c r="W85" s="395">
        <v>58443.27</v>
      </c>
      <c r="X85" s="393">
        <f>SUM(X81:X84)</f>
        <v>64970.07</v>
      </c>
      <c r="Y85" s="330">
        <f t="shared" si="21"/>
        <v>11.2</v>
      </c>
      <c r="Z85" s="395"/>
      <c r="AA85" s="393">
        <f>SUM(AA81:AA84)</f>
        <v>0</v>
      </c>
      <c r="AB85" s="330"/>
      <c r="AC85" s="395">
        <v>2055</v>
      </c>
      <c r="AD85" s="393">
        <f>SUM(AD81:AD84)</f>
        <v>2236.8637614700001</v>
      </c>
      <c r="AE85" s="393">
        <f>IF(AC85=0, "    ---- ", IF(ABS(ROUND(100/AC85*AD85-100,1))&lt;999,ROUND(100/AC85*AD85-100,1),IF(ROUND(100/AC85*AD85-100,1)&gt;999,999,-999)))</f>
        <v>8.8000000000000007</v>
      </c>
      <c r="AF85" s="395">
        <v>26220.514999999999</v>
      </c>
      <c r="AG85" s="393">
        <f>SUM(AG81:AG84)</f>
        <v>30792.114999999998</v>
      </c>
      <c r="AH85" s="330">
        <f t="shared" si="16"/>
        <v>17.399999999999999</v>
      </c>
      <c r="AI85" s="395">
        <v>89340</v>
      </c>
      <c r="AJ85" s="393">
        <f>SUM(AJ81:AJ84)</f>
        <v>99920</v>
      </c>
      <c r="AK85" s="330">
        <f t="shared" si="22"/>
        <v>11.8</v>
      </c>
      <c r="AL85" s="390">
        <f t="shared" si="35"/>
        <v>296471.65474114998</v>
      </c>
      <c r="AM85" s="390">
        <f t="shared" si="35"/>
        <v>336066.92177414999</v>
      </c>
      <c r="AN85" s="330">
        <f t="shared" si="18"/>
        <v>13.4</v>
      </c>
      <c r="AO85" s="390">
        <f t="shared" si="36"/>
        <v>298526.65474114998</v>
      </c>
      <c r="AP85" s="390">
        <f t="shared" si="36"/>
        <v>338303.78553562006</v>
      </c>
      <c r="AQ85" s="394">
        <f t="shared" si="20"/>
        <v>13.3</v>
      </c>
      <c r="AR85" s="442"/>
      <c r="AS85" s="442"/>
      <c r="AT85" s="446"/>
    </row>
    <row r="86" spans="1:46" s="417" customFormat="1" ht="20.100000000000001" customHeight="1" x14ac:dyDescent="0.3">
      <c r="A86" s="411" t="s">
        <v>253</v>
      </c>
      <c r="B86" s="395">
        <v>33.686999999999998</v>
      </c>
      <c r="C86" s="393">
        <v>18.565999999999999</v>
      </c>
      <c r="D86" s="330">
        <f>IF(B86=0, "    ---- ", IF(ABS(ROUND(100/B86*C86-100,1))&lt;999,ROUND(100/B86*C86-100,1),IF(ROUND(100/B86*C86-100,1)&gt;999,999,-999)))</f>
        <v>-44.9</v>
      </c>
      <c r="E86" s="395">
        <v>872.05200000000002</v>
      </c>
      <c r="F86" s="393">
        <v>1151.585</v>
      </c>
      <c r="G86" s="330">
        <f t="shared" si="14"/>
        <v>32.1</v>
      </c>
      <c r="H86" s="395">
        <v>117.04300000000001</v>
      </c>
      <c r="I86" s="393">
        <v>40.468000000000004</v>
      </c>
      <c r="J86" s="330">
        <f>IF(H86=0, "    ---- ", IF(ABS(ROUND(100/H86*I86-100,1))&lt;999,ROUND(100/H86*I86-100,1),IF(ROUND(100/H86*I86-100,1)&gt;999,999,-999)))</f>
        <v>-65.400000000000006</v>
      </c>
      <c r="K86" s="395">
        <v>30.7</v>
      </c>
      <c r="L86" s="393">
        <v>61.4</v>
      </c>
      <c r="M86" s="330">
        <f>IF(K86=0, "    ---- ", IF(ABS(ROUND(100/K86*L86-100,1))&lt;999,ROUND(100/K86*L86-100,1),IF(ROUND(100/K86*L86-100,1)&gt;999,999,-999)))</f>
        <v>100</v>
      </c>
      <c r="N86" s="395"/>
      <c r="O86" s="393"/>
      <c r="P86" s="330" t="str">
        <f>IF(N86=0, "    ---- ", IF(ABS(ROUND(100/N86*O86-100,1))&lt;999,ROUND(100/N86*O86-100,1),IF(ROUND(100/N86*O86-100,1)&gt;999,999,-999)))</f>
        <v xml:space="preserve">    ---- </v>
      </c>
      <c r="Q86" s="395">
        <v>915.27541152999993</v>
      </c>
      <c r="R86" s="393">
        <v>1659.9588492400001</v>
      </c>
      <c r="S86" s="330">
        <f t="shared" si="34"/>
        <v>81.400000000000006</v>
      </c>
      <c r="T86" s="395">
        <v>8</v>
      </c>
      <c r="U86" s="393">
        <v>9.6</v>
      </c>
      <c r="V86" s="330">
        <f>IF(T86=0, "    ---- ", IF(ABS(ROUND(100/T86*U86-100,1))&lt;999,ROUND(100/T86*U86-100,1),IF(ROUND(100/T86*U86-100,1)&gt;999,999,-999)))</f>
        <v>20</v>
      </c>
      <c r="W86" s="395">
        <v>487.68</v>
      </c>
      <c r="X86" s="393">
        <v>648.97</v>
      </c>
      <c r="Y86" s="330">
        <f t="shared" si="21"/>
        <v>33.1</v>
      </c>
      <c r="Z86" s="395">
        <v>1056</v>
      </c>
      <c r="AA86" s="393">
        <v>1070</v>
      </c>
      <c r="AB86" s="330">
        <f>IF(Z86=0, "    ---- ", IF(ABS(ROUND(100/Z86*AA86-100,1))&lt;999,ROUND(100/Z86*AA86-100,1),IF(ROUND(100/Z86*AA86-100,1)&gt;999,999,-999)))</f>
        <v>1.3</v>
      </c>
      <c r="AC86" s="395"/>
      <c r="AD86" s="393"/>
      <c r="AE86" s="330"/>
      <c r="AF86" s="395">
        <v>899.89499999999998</v>
      </c>
      <c r="AG86" s="393">
        <v>822.28</v>
      </c>
      <c r="AH86" s="330">
        <f t="shared" si="16"/>
        <v>-8.6</v>
      </c>
      <c r="AI86" s="395">
        <v>42</v>
      </c>
      <c r="AJ86" s="393">
        <v>12</v>
      </c>
      <c r="AK86" s="330">
        <f t="shared" si="22"/>
        <v>-71.400000000000006</v>
      </c>
      <c r="AL86" s="390">
        <f t="shared" si="35"/>
        <v>4462.3324115300002</v>
      </c>
      <c r="AM86" s="390">
        <f t="shared" si="35"/>
        <v>5494.8278492399995</v>
      </c>
      <c r="AN86" s="330">
        <f t="shared" si="18"/>
        <v>23.1</v>
      </c>
      <c r="AO86" s="390">
        <f t="shared" si="36"/>
        <v>4462.3324115300002</v>
      </c>
      <c r="AP86" s="390">
        <f t="shared" si="36"/>
        <v>5494.8278492399995</v>
      </c>
      <c r="AQ86" s="394">
        <f t="shared" si="20"/>
        <v>23.1</v>
      </c>
      <c r="AR86" s="442"/>
      <c r="AS86" s="442"/>
      <c r="AT86" s="446"/>
    </row>
    <row r="87" spans="1:46" s="417" customFormat="1" ht="20.100000000000001" customHeight="1" x14ac:dyDescent="0.3">
      <c r="A87" s="411" t="s">
        <v>254</v>
      </c>
      <c r="B87" s="395"/>
      <c r="C87" s="393"/>
      <c r="D87" s="330"/>
      <c r="E87" s="395"/>
      <c r="F87" s="393"/>
      <c r="G87" s="330"/>
      <c r="H87" s="395"/>
      <c r="I87" s="393"/>
      <c r="J87" s="330"/>
      <c r="K87" s="395"/>
      <c r="L87" s="393"/>
      <c r="M87" s="330"/>
      <c r="N87" s="395"/>
      <c r="O87" s="393"/>
      <c r="P87" s="330"/>
      <c r="Q87" s="395"/>
      <c r="R87" s="393"/>
      <c r="S87" s="330"/>
      <c r="T87" s="395"/>
      <c r="U87" s="393"/>
      <c r="V87" s="330"/>
      <c r="W87" s="395"/>
      <c r="X87" s="393">
        <v>0</v>
      </c>
      <c r="Y87" s="330"/>
      <c r="Z87" s="395"/>
      <c r="AA87" s="393"/>
      <c r="AB87" s="330"/>
      <c r="AC87" s="395"/>
      <c r="AD87" s="393"/>
      <c r="AE87" s="330"/>
      <c r="AF87" s="395">
        <v>276.88900000000001</v>
      </c>
      <c r="AG87" s="393">
        <v>357.935</v>
      </c>
      <c r="AH87" s="330">
        <f t="shared" si="16"/>
        <v>29.3</v>
      </c>
      <c r="AI87" s="395"/>
      <c r="AJ87" s="393"/>
      <c r="AK87" s="330"/>
      <c r="AL87" s="390">
        <f t="shared" si="35"/>
        <v>276.88900000000001</v>
      </c>
      <c r="AM87" s="390">
        <f t="shared" si="35"/>
        <v>357.935</v>
      </c>
      <c r="AN87" s="330">
        <f t="shared" si="18"/>
        <v>29.3</v>
      </c>
      <c r="AO87" s="390">
        <f t="shared" si="36"/>
        <v>276.88900000000001</v>
      </c>
      <c r="AP87" s="390">
        <f t="shared" si="36"/>
        <v>357.935</v>
      </c>
      <c r="AQ87" s="394">
        <f t="shared" si="20"/>
        <v>29.3</v>
      </c>
      <c r="AR87" s="442"/>
      <c r="AS87" s="442"/>
      <c r="AT87" s="446"/>
    </row>
    <row r="88" spans="1:46" s="417" customFormat="1" ht="20.100000000000001" customHeight="1" x14ac:dyDescent="0.3">
      <c r="A88" s="411" t="s">
        <v>255</v>
      </c>
      <c r="B88" s="395">
        <v>104.32599999999999</v>
      </c>
      <c r="C88" s="393">
        <v>75.03</v>
      </c>
      <c r="D88" s="393">
        <f>IF(B88=0, "    ---- ", IF(ABS(ROUND(100/B88*C88-100,1))&lt;999,ROUND(100/B88*C88-100,1),IF(ROUND(100/B88*C88-100,1)&gt;999,999,-999)))</f>
        <v>-28.1</v>
      </c>
      <c r="E88" s="395">
        <v>2094.1959999999999</v>
      </c>
      <c r="F88" s="393">
        <v>1695.4839999999999</v>
      </c>
      <c r="G88" s="393">
        <f t="shared" si="14"/>
        <v>-19</v>
      </c>
      <c r="H88" s="395"/>
      <c r="I88" s="393"/>
      <c r="J88" s="393"/>
      <c r="K88" s="395">
        <v>96.8</v>
      </c>
      <c r="L88" s="393">
        <v>238.1</v>
      </c>
      <c r="M88" s="376">
        <f>IF(K88=0, "    ---- ", IF(ABS(ROUND(100/K88*L88-100,1))&lt;999,ROUND(100/K88*L88-100,1),IF(ROUND(100/K88*L88-100,1)&gt;999,999,-999)))</f>
        <v>146</v>
      </c>
      <c r="N88" s="395">
        <v>9</v>
      </c>
      <c r="O88" s="393">
        <v>5.4658262400000002</v>
      </c>
      <c r="P88" s="330">
        <f>IF(N88=0, "    ---- ", IF(ABS(ROUND(100/N88*O88-100,1))&lt;999,ROUND(100/N88*O88-100,1),IF(ROUND(100/N88*O88-100,1)&gt;999,999,-999)))</f>
        <v>-39.299999999999997</v>
      </c>
      <c r="Q88" s="395">
        <v>8047.5008560100005</v>
      </c>
      <c r="R88" s="393">
        <v>5816.1414487799993</v>
      </c>
      <c r="S88" s="330">
        <f t="shared" si="34"/>
        <v>-27.7</v>
      </c>
      <c r="T88" s="395">
        <v>9.1</v>
      </c>
      <c r="U88" s="393">
        <v>9.5</v>
      </c>
      <c r="V88" s="330">
        <f>IF(T88=0, "    ---- ", IF(ABS(ROUND(100/T88*U88-100,1))&lt;999,ROUND(100/T88*U88-100,1),IF(ROUND(100/T88*U88-100,1)&gt;999,999,-999)))</f>
        <v>4.4000000000000004</v>
      </c>
      <c r="W88" s="395">
        <v>201.44</v>
      </c>
      <c r="X88" s="393">
        <v>267.81</v>
      </c>
      <c r="Y88" s="330">
        <f t="shared" si="21"/>
        <v>32.9</v>
      </c>
      <c r="Z88" s="395">
        <v>209</v>
      </c>
      <c r="AA88" s="393">
        <v>134</v>
      </c>
      <c r="AB88" s="330">
        <f>IF(Z88=0, "    ---- ", IF(ABS(ROUND(100/Z88*AA88-100,1))&lt;999,ROUND(100/Z88*AA88-100,1),IF(ROUND(100/Z88*AA88-100,1)&gt;999,999,-999)))</f>
        <v>-35.9</v>
      </c>
      <c r="AC88" s="395">
        <v>6</v>
      </c>
      <c r="AD88" s="393">
        <v>10.87101496</v>
      </c>
      <c r="AE88" s="330">
        <f>IF(AC88=0, "    ---- ", IF(ABS(ROUND(100/AC88*AD88-100,1))&lt;999,ROUND(100/AC88*AD88-100,1),IF(ROUND(100/AC88*AD88-100,1)&gt;999,999,-999)))</f>
        <v>81.2</v>
      </c>
      <c r="AF88" s="395">
        <v>1033.645</v>
      </c>
      <c r="AG88" s="393">
        <v>603.58900000000006</v>
      </c>
      <c r="AH88" s="330">
        <f t="shared" si="16"/>
        <v>-41.6</v>
      </c>
      <c r="AI88" s="395">
        <v>6031</v>
      </c>
      <c r="AJ88" s="393">
        <v>6729</v>
      </c>
      <c r="AK88" s="330">
        <f t="shared" si="22"/>
        <v>11.6</v>
      </c>
      <c r="AL88" s="390">
        <f t="shared" si="35"/>
        <v>17827.007856010001</v>
      </c>
      <c r="AM88" s="390">
        <f t="shared" si="35"/>
        <v>15568.654448779998</v>
      </c>
      <c r="AN88" s="330">
        <f t="shared" si="18"/>
        <v>-12.7</v>
      </c>
      <c r="AO88" s="390">
        <f t="shared" si="36"/>
        <v>17842.007856010001</v>
      </c>
      <c r="AP88" s="390">
        <f t="shared" si="36"/>
        <v>15584.991289979998</v>
      </c>
      <c r="AQ88" s="394">
        <f t="shared" si="20"/>
        <v>-12.7</v>
      </c>
      <c r="AR88" s="442"/>
      <c r="AS88" s="442"/>
      <c r="AT88" s="446"/>
    </row>
    <row r="89" spans="1:46" s="417" customFormat="1" ht="20.100000000000001" customHeight="1" x14ac:dyDescent="0.3">
      <c r="A89" s="411" t="s">
        <v>256</v>
      </c>
      <c r="B89" s="395">
        <v>23.337</v>
      </c>
      <c r="C89" s="393">
        <v>36.363</v>
      </c>
      <c r="D89" s="393">
        <f>IF(B89=0, "    ---- ", IF(ABS(ROUND(100/B89*C89-100,1))&lt;999,ROUND(100/B89*C89-100,1),IF(ROUND(100/B89*C89-100,1)&gt;999,999,-999)))</f>
        <v>55.8</v>
      </c>
      <c r="E89" s="395">
        <v>162.38200000000001</v>
      </c>
      <c r="F89" s="393">
        <v>104.002</v>
      </c>
      <c r="G89" s="393">
        <f t="shared" si="14"/>
        <v>-36</v>
      </c>
      <c r="H89" s="395">
        <v>21.073</v>
      </c>
      <c r="I89" s="393">
        <v>19.385000000000002</v>
      </c>
      <c r="J89" s="393">
        <f>IF(H89=0, "    ---- ", IF(ABS(ROUND(100/H89*I89-100,1))&lt;999,ROUND(100/H89*I89-100,1),IF(ROUND(100/H89*I89-100,1)&gt;999,999,-999)))</f>
        <v>-8</v>
      </c>
      <c r="K89" s="395">
        <v>12.4</v>
      </c>
      <c r="L89" s="393">
        <v>12.8</v>
      </c>
      <c r="M89" s="330">
        <f>IF(K89=0, "    ---- ", IF(ABS(ROUND(100/K89*L89-100,1))&lt;999,ROUND(100/K89*L89-100,1),IF(ROUND(100/K89*L89-100,1)&gt;999,999,-999)))</f>
        <v>3.2</v>
      </c>
      <c r="N89" s="395">
        <v>1</v>
      </c>
      <c r="O89" s="393">
        <v>1.41113954</v>
      </c>
      <c r="P89" s="330">
        <f>IF(N89=0, "    ---- ", IF(ABS(ROUND(100/N89*O89-100,1))&lt;999,ROUND(100/N89*O89-100,1),IF(ROUND(100/N89*O89-100,1)&gt;999,999,-999)))</f>
        <v>41.1</v>
      </c>
      <c r="Q89" s="395">
        <v>269.79613947000001</v>
      </c>
      <c r="R89" s="393">
        <v>208.27080587</v>
      </c>
      <c r="S89" s="330">
        <f t="shared" si="34"/>
        <v>-22.8</v>
      </c>
      <c r="T89" s="395">
        <v>13.3</v>
      </c>
      <c r="U89" s="393">
        <v>13.7</v>
      </c>
      <c r="V89" s="330">
        <f>IF(T89=0, "    ---- ", IF(ABS(ROUND(100/T89*U89-100,1))&lt;999,ROUND(100/T89*U89-100,1),IF(ROUND(100/T89*U89-100,1)&gt;999,999,-999)))</f>
        <v>3</v>
      </c>
      <c r="W89" s="395">
        <v>51.31</v>
      </c>
      <c r="X89" s="393">
        <v>38.54</v>
      </c>
      <c r="Y89" s="330">
        <f t="shared" si="21"/>
        <v>-24.9</v>
      </c>
      <c r="Z89" s="395">
        <v>103</v>
      </c>
      <c r="AA89" s="393">
        <v>107</v>
      </c>
      <c r="AB89" s="330">
        <f>IF(Z89=0, "    ---- ", IF(ABS(ROUND(100/Z89*AA89-100,1))&lt;999,ROUND(100/Z89*AA89-100,1),IF(ROUND(100/Z89*AA89-100,1)&gt;999,999,-999)))</f>
        <v>3.9</v>
      </c>
      <c r="AC89" s="395"/>
      <c r="AD89" s="393">
        <v>0.30523266999999998</v>
      </c>
      <c r="AE89" s="330"/>
      <c r="AF89" s="395">
        <v>115.524</v>
      </c>
      <c r="AG89" s="393">
        <v>144.876</v>
      </c>
      <c r="AH89" s="330">
        <f t="shared" si="16"/>
        <v>25.4</v>
      </c>
      <c r="AI89" s="395">
        <v>135</v>
      </c>
      <c r="AJ89" s="393">
        <v>147</v>
      </c>
      <c r="AK89" s="330">
        <f t="shared" si="22"/>
        <v>8.9</v>
      </c>
      <c r="AL89" s="390">
        <f t="shared" si="35"/>
        <v>907.12213946999998</v>
      </c>
      <c r="AM89" s="390">
        <f t="shared" si="35"/>
        <v>831.93680586999994</v>
      </c>
      <c r="AN89" s="330">
        <f t="shared" si="18"/>
        <v>-8.3000000000000007</v>
      </c>
      <c r="AO89" s="390">
        <f t="shared" si="36"/>
        <v>908.12213946999998</v>
      </c>
      <c r="AP89" s="390">
        <f t="shared" si="36"/>
        <v>833.65317807999998</v>
      </c>
      <c r="AQ89" s="394">
        <f t="shared" si="20"/>
        <v>-8.1999999999999993</v>
      </c>
      <c r="AR89" s="442"/>
      <c r="AS89" s="442"/>
      <c r="AT89" s="446"/>
    </row>
    <row r="90" spans="1:46" s="417" customFormat="1" ht="20.100000000000001" customHeight="1" x14ac:dyDescent="0.3">
      <c r="A90" s="411"/>
      <c r="B90" s="395"/>
      <c r="C90" s="393"/>
      <c r="D90" s="330"/>
      <c r="E90" s="395"/>
      <c r="F90" s="393"/>
      <c r="G90" s="330"/>
      <c r="H90" s="395"/>
      <c r="I90" s="393"/>
      <c r="J90" s="330"/>
      <c r="K90" s="395"/>
      <c r="L90" s="393"/>
      <c r="M90" s="330"/>
      <c r="N90" s="395"/>
      <c r="O90" s="393"/>
      <c r="P90" s="330"/>
      <c r="Q90" s="395"/>
      <c r="R90" s="393"/>
      <c r="S90" s="330"/>
      <c r="T90" s="395"/>
      <c r="U90" s="393"/>
      <c r="V90" s="330"/>
      <c r="W90" s="395"/>
      <c r="X90" s="393"/>
      <c r="Y90" s="330"/>
      <c r="Z90" s="395"/>
      <c r="AA90" s="393"/>
      <c r="AB90" s="330"/>
      <c r="AC90" s="395"/>
      <c r="AD90" s="393"/>
      <c r="AE90" s="330"/>
      <c r="AF90" s="395"/>
      <c r="AG90" s="393"/>
      <c r="AH90" s="330"/>
      <c r="AI90" s="395"/>
      <c r="AJ90" s="393"/>
      <c r="AK90" s="330"/>
      <c r="AL90" s="379"/>
      <c r="AM90" s="379"/>
      <c r="AN90" s="330"/>
      <c r="AO90" s="379"/>
      <c r="AP90" s="379"/>
      <c r="AQ90" s="394"/>
      <c r="AR90" s="442"/>
      <c r="AS90" s="442"/>
      <c r="AT90" s="446"/>
    </row>
    <row r="91" spans="1:46" s="450" customFormat="1" ht="20.100000000000001" customHeight="1" x14ac:dyDescent="0.3">
      <c r="A91" s="414" t="s">
        <v>257</v>
      </c>
      <c r="B91" s="599">
        <v>18387.425999999999</v>
      </c>
      <c r="C91" s="401">
        <v>20057.48</v>
      </c>
      <c r="D91" s="402">
        <f>IF(B91=0, "    ---- ", IF(ABS(ROUND(100/B91*C91-100,1))&lt;999,ROUND(100/B91*C91-100,1),IF(ROUND(100/B91*C91-100,1)&gt;999,999,-999)))</f>
        <v>9.1</v>
      </c>
      <c r="E91" s="403">
        <v>315934.67</v>
      </c>
      <c r="F91" s="401">
        <v>324140.08</v>
      </c>
      <c r="G91" s="402">
        <f t="shared" si="14"/>
        <v>2.6</v>
      </c>
      <c r="H91" s="403">
        <v>4913.3</v>
      </c>
      <c r="I91" s="401">
        <v>5520.1469999999999</v>
      </c>
      <c r="J91" s="402">
        <f>IF(H91=0, "    ---- ", IF(ABS(ROUND(100/H91*I91-100,1))&lt;999,ROUND(100/H91*I91-100,1),IF(ROUND(100/H91*I91-100,1)&gt;999,999,-999)))</f>
        <v>12.4</v>
      </c>
      <c r="K91" s="403">
        <v>30172.6</v>
      </c>
      <c r="L91" s="401">
        <v>35086.200000000004</v>
      </c>
      <c r="M91" s="402">
        <f>IF(K91=0, "    ---- ", IF(ABS(ROUND(100/K91*L91-100,1))&lt;999,ROUND(100/K91*L91-100,1),IF(ROUND(100/K91*L91-100,1)&gt;999,999,-999)))</f>
        <v>16.3</v>
      </c>
      <c r="N91" s="403">
        <v>144</v>
      </c>
      <c r="O91" s="401">
        <v>145.91999999999999</v>
      </c>
      <c r="P91" s="402">
        <f>IF(N91=0, "    ---- ", IF(ABS(ROUND(100/N91*O91-100,1))&lt;999,ROUND(100/N91*O91-100,1),IF(ROUND(100/N91*O91-100,1)&gt;999,999,-999)))</f>
        <v>1.3</v>
      </c>
      <c r="Q91" s="403">
        <v>535695.1</v>
      </c>
      <c r="R91" s="401">
        <v>573857.4</v>
      </c>
      <c r="S91" s="402">
        <f t="shared" si="34"/>
        <v>7.1</v>
      </c>
      <c r="T91" s="403">
        <v>5036.4000000000005</v>
      </c>
      <c r="U91" s="401">
        <v>6217.0999999999995</v>
      </c>
      <c r="V91" s="402">
        <f>IF(T91=0, "    ---- ", IF(ABS(ROUND(100/T91*U91-100,1))&lt;999,ROUND(100/T91*U91-100,1),IF(ROUND(100/T91*U91-100,1)&gt;999,999,-999)))</f>
        <v>23.4</v>
      </c>
      <c r="W91" s="403">
        <v>119054.08883199998</v>
      </c>
      <c r="X91" s="401">
        <v>127220</v>
      </c>
      <c r="Y91" s="402">
        <f t="shared" si="21"/>
        <v>6.9</v>
      </c>
      <c r="Z91" s="403">
        <v>92424</v>
      </c>
      <c r="AA91" s="401">
        <v>98875</v>
      </c>
      <c r="AB91" s="402">
        <f>IF(Z91=0, "    ---- ", IF(ABS(ROUND(100/Z91*AA91-100,1))&lt;999,ROUND(100/Z91*AA91-100,1),IF(ROUND(100/Z91*AA91-100,1)&gt;999,999,-999)))</f>
        <v>7</v>
      </c>
      <c r="AC91" s="403">
        <v>2105</v>
      </c>
      <c r="AD91" s="401">
        <v>2304.1</v>
      </c>
      <c r="AE91" s="402">
        <f>IF(AC91=0, "    ---- ", IF(ABS(ROUND(100/AC91*AD91-100,1))&lt;999,ROUND(100/AC91*AD91-100,1),IF(ROUND(100/AC91*AD91-100,1)&gt;999,999,-999)))</f>
        <v>9.5</v>
      </c>
      <c r="AF91" s="403">
        <v>56252.87</v>
      </c>
      <c r="AG91" s="401">
        <v>62126</v>
      </c>
      <c r="AH91" s="402">
        <f t="shared" si="16"/>
        <v>10.4</v>
      </c>
      <c r="AI91" s="403">
        <v>316136</v>
      </c>
      <c r="AJ91" s="401">
        <v>328405</v>
      </c>
      <c r="AK91" s="402">
        <f t="shared" si="22"/>
        <v>3.9</v>
      </c>
      <c r="AL91" s="404">
        <f>B91+E91+H91+K91+Q91+T91+W91+Z91+AF91+AI91</f>
        <v>1494006.454832</v>
      </c>
      <c r="AM91" s="404">
        <f>C91+F91+I91+L91+R91+U91+X91+AA91+AG91+AJ91</f>
        <v>1581504.4070000001</v>
      </c>
      <c r="AN91" s="402">
        <f t="shared" si="18"/>
        <v>5.9</v>
      </c>
      <c r="AO91" s="405">
        <f>B91+E91+H91+K91+N91+Q91+T91+W91+Z91+AC91+AF91+AI91</f>
        <v>1496255.454832</v>
      </c>
      <c r="AP91" s="405">
        <f>C91+F91+I91+L91+O91+R91+U91+X91+AA91+AD91+AG91+AJ91</f>
        <v>1583954.4270000001</v>
      </c>
      <c r="AQ91" s="406">
        <f t="shared" si="20"/>
        <v>5.9</v>
      </c>
      <c r="AR91" s="448"/>
      <c r="AS91" s="442"/>
      <c r="AT91" s="658"/>
    </row>
    <row r="92" spans="1:46" ht="18.75" customHeight="1" x14ac:dyDescent="0.3">
      <c r="A92" s="415" t="s">
        <v>258</v>
      </c>
      <c r="B92" s="415"/>
      <c r="Q92" s="415"/>
      <c r="R92" s="417"/>
      <c r="X92" s="418"/>
      <c r="Y92" s="418"/>
      <c r="Z92" s="418"/>
      <c r="AA92" s="418"/>
      <c r="AB92" s="418"/>
      <c r="AC92" s="418"/>
      <c r="AD92" s="418"/>
      <c r="AE92" s="418"/>
      <c r="AF92" s="415"/>
      <c r="AI92" s="415"/>
    </row>
    <row r="93" spans="1:46" ht="18.75" customHeight="1" x14ac:dyDescent="0.3">
      <c r="A93" s="415" t="s">
        <v>259</v>
      </c>
      <c r="Q93" s="415"/>
      <c r="R93" s="417"/>
      <c r="X93" s="418"/>
      <c r="Y93" s="418"/>
      <c r="Z93" s="418"/>
      <c r="AA93" s="418"/>
      <c r="AB93" s="418"/>
      <c r="AC93" s="418"/>
      <c r="AD93" s="418"/>
      <c r="AE93" s="418"/>
      <c r="AF93" s="415"/>
      <c r="AI93" s="415"/>
    </row>
    <row r="94" spans="1:46" s="419" customFormat="1" ht="18.75" customHeight="1" x14ac:dyDescent="0.3">
      <c r="A94" s="415" t="s">
        <v>260</v>
      </c>
      <c r="Q94" s="415"/>
      <c r="R94" s="415"/>
      <c r="Y94" s="420"/>
      <c r="Z94" s="420"/>
      <c r="AA94" s="420"/>
      <c r="AB94" s="420"/>
      <c r="AC94" s="420"/>
      <c r="AD94" s="420"/>
      <c r="AE94" s="420"/>
      <c r="AR94" s="451"/>
      <c r="AS94" s="451"/>
    </row>
    <row r="95" spans="1:46" s="419" customFormat="1" ht="18.75" x14ac:dyDescent="0.3">
      <c r="Q95" s="415"/>
      <c r="R95" s="415"/>
    </row>
    <row r="96" spans="1:46" s="419" customFormat="1" ht="18.75" x14ac:dyDescent="0.3">
      <c r="Q96" s="415"/>
      <c r="R96" s="415"/>
    </row>
    <row r="97" spans="17:18" s="419" customFormat="1" ht="18.75" x14ac:dyDescent="0.3">
      <c r="Q97" s="415"/>
      <c r="R97" s="415"/>
    </row>
    <row r="98" spans="17:18" s="419" customFormat="1" ht="18.75" x14ac:dyDescent="0.3">
      <c r="Q98" s="415"/>
      <c r="R98" s="415"/>
    </row>
    <row r="99" spans="17:18" s="419" customFormat="1" ht="18.75" x14ac:dyDescent="0.3">
      <c r="Q99" s="415"/>
      <c r="R99" s="415"/>
    </row>
    <row r="100" spans="17:18" s="419" customFormat="1" ht="18.75" x14ac:dyDescent="0.3">
      <c r="Q100" s="415"/>
      <c r="R100" s="415"/>
    </row>
    <row r="101" spans="17:18" s="419" customFormat="1" ht="18.75" x14ac:dyDescent="0.3">
      <c r="Q101" s="415"/>
      <c r="R101" s="415"/>
    </row>
    <row r="102" spans="17:18" s="419" customFormat="1" ht="18.75" x14ac:dyDescent="0.3">
      <c r="Q102" s="415"/>
      <c r="R102" s="415"/>
    </row>
    <row r="103" spans="17:18" s="419" customFormat="1" ht="18.75" x14ac:dyDescent="0.3">
      <c r="Q103" s="415"/>
      <c r="R103" s="415"/>
    </row>
    <row r="104" spans="17:18" s="419" customFormat="1" ht="18.75" x14ac:dyDescent="0.3">
      <c r="Q104" s="415"/>
      <c r="R104" s="415"/>
    </row>
    <row r="105" spans="17:18" s="419" customFormat="1" ht="18.75" x14ac:dyDescent="0.3">
      <c r="Q105" s="415"/>
      <c r="R105" s="415"/>
    </row>
    <row r="106" spans="17:18" s="419" customFormat="1" ht="18.75" x14ac:dyDescent="0.3">
      <c r="Q106" s="415"/>
      <c r="R106" s="415"/>
    </row>
    <row r="107" spans="17:18" s="419" customFormat="1" ht="18.75" x14ac:dyDescent="0.3">
      <c r="Q107" s="415"/>
      <c r="R107" s="415"/>
    </row>
    <row r="108" spans="17:18" s="419" customFormat="1" ht="18.75" x14ac:dyDescent="0.3">
      <c r="Q108" s="415"/>
      <c r="R108" s="415"/>
    </row>
    <row r="109" spans="17:18" s="419" customFormat="1" ht="18.75" x14ac:dyDescent="0.3">
      <c r="Q109" s="415"/>
      <c r="R109" s="415"/>
    </row>
    <row r="110" spans="17:18" s="453" customFormat="1" ht="15.75" x14ac:dyDescent="0.25">
      <c r="Q110" s="452"/>
      <c r="R110" s="452"/>
    </row>
    <row r="111" spans="17:18" s="453" customFormat="1" ht="15.75" x14ac:dyDescent="0.25">
      <c r="Q111" s="452"/>
      <c r="R111" s="452"/>
    </row>
    <row r="112" spans="17:18" x14ac:dyDescent="0.2">
      <c r="Q112" s="417"/>
      <c r="R112" s="417"/>
    </row>
    <row r="113" spans="17:18" x14ac:dyDescent="0.2">
      <c r="Q113" s="417"/>
      <c r="R113" s="417"/>
    </row>
    <row r="114" spans="17:18" x14ac:dyDescent="0.2">
      <c r="Q114" s="417"/>
      <c r="R114" s="417"/>
    </row>
    <row r="115" spans="17:18" x14ac:dyDescent="0.2">
      <c r="Q115" s="417"/>
      <c r="R115" s="417"/>
    </row>
    <row r="116" spans="17:18" x14ac:dyDescent="0.2">
      <c r="Q116" s="417"/>
      <c r="R116" s="417"/>
    </row>
    <row r="117" spans="17:18" x14ac:dyDescent="0.2">
      <c r="Q117" s="417"/>
      <c r="R117" s="417"/>
    </row>
    <row r="118" spans="17:18" x14ac:dyDescent="0.2">
      <c r="Q118" s="417"/>
      <c r="R118" s="417"/>
    </row>
    <row r="119" spans="17:18" x14ac:dyDescent="0.2">
      <c r="Q119" s="417"/>
      <c r="R119" s="417"/>
    </row>
    <row r="120" spans="17:18" x14ac:dyDescent="0.2">
      <c r="Q120" s="417"/>
      <c r="R120" s="417"/>
    </row>
    <row r="121" spans="17:18" x14ac:dyDescent="0.2">
      <c r="Q121" s="417"/>
      <c r="R121" s="417"/>
    </row>
    <row r="122" spans="17:18" x14ac:dyDescent="0.2">
      <c r="Q122" s="417"/>
      <c r="R122" s="417"/>
    </row>
    <row r="123" spans="17:18" x14ac:dyDescent="0.2">
      <c r="Q123" s="417"/>
      <c r="R123" s="417"/>
    </row>
    <row r="124" spans="17:18" x14ac:dyDescent="0.2">
      <c r="Q124" s="417"/>
      <c r="R124" s="417"/>
    </row>
    <row r="125" spans="17:18" x14ac:dyDescent="0.2">
      <c r="Q125" s="417"/>
      <c r="R125" s="417"/>
    </row>
    <row r="126" spans="17:18" x14ac:dyDescent="0.2">
      <c r="Q126" s="417"/>
      <c r="R126" s="417"/>
    </row>
    <row r="127" spans="17:18" x14ac:dyDescent="0.2">
      <c r="Q127" s="417"/>
      <c r="R127" s="417"/>
    </row>
    <row r="128" spans="17:18" x14ac:dyDescent="0.2">
      <c r="Q128" s="417"/>
      <c r="R128" s="417"/>
    </row>
    <row r="129" spans="17:18" x14ac:dyDescent="0.2">
      <c r="Q129" s="417"/>
      <c r="R129" s="417"/>
    </row>
  </sheetData>
  <mergeCells count="35">
    <mergeCell ref="BF6:BH6"/>
    <mergeCell ref="AF6:AH6"/>
    <mergeCell ref="AI6:AK6"/>
    <mergeCell ref="AL6:AN6"/>
    <mergeCell ref="AO6:AQ6"/>
    <mergeCell ref="AT6:AV6"/>
    <mergeCell ref="AW6:AY6"/>
    <mergeCell ref="B5:D5"/>
    <mergeCell ref="E5:G5"/>
    <mergeCell ref="AZ5:BB5"/>
    <mergeCell ref="BC5:BE5"/>
    <mergeCell ref="Q6:S6"/>
    <mergeCell ref="T6:V6"/>
    <mergeCell ref="W6:Y6"/>
    <mergeCell ref="Z6:AB6"/>
    <mergeCell ref="AC6:AE6"/>
    <mergeCell ref="AZ6:BB6"/>
    <mergeCell ref="BC6:BE6"/>
    <mergeCell ref="AT5:AV5"/>
    <mergeCell ref="AW5:AY5"/>
    <mergeCell ref="B6:D6"/>
    <mergeCell ref="E6:G6"/>
    <mergeCell ref="H6:J6"/>
    <mergeCell ref="K6:M6"/>
    <mergeCell ref="N6:P6"/>
    <mergeCell ref="H5:J5"/>
    <mergeCell ref="K5:M5"/>
    <mergeCell ref="N5:P5"/>
    <mergeCell ref="T5:V5"/>
    <mergeCell ref="BF5:BH5"/>
    <mergeCell ref="Z5:AB5"/>
    <mergeCell ref="AF5:AH5"/>
    <mergeCell ref="AI5:AK5"/>
    <mergeCell ref="AL5:AN5"/>
    <mergeCell ref="AO5:AQ5"/>
  </mergeCells>
  <conditionalFormatting sqref="AF64:AG64 K64:L64 N64:O64 AC64:AD64 Q64:R64 T64:U64 B64:C64 W64:X64 Z64:AA64 AI64:AJ64 E64:F64 H64:I64 AL64:AM64 AO64:AP64">
    <cfRule type="expression" dxfId="11" priority="763">
      <formula>#REF! ="64≠29+62"</formula>
    </cfRule>
  </conditionalFormatting>
  <conditionalFormatting sqref="AF91:AG91 K91:L91 N91:O91 AC91:AD91 Q91:R91 T91:U91 B91:C91 W91:X91 Z91:AA91 AI91:AJ91 E91:F91 H91:I91 AL91:AM91 AO91:AP91">
    <cfRule type="expression" dxfId="10" priority="765">
      <formula>#REF! = "64≠94"</formula>
    </cfRule>
  </conditionalFormatting>
  <conditionalFormatting sqref="AF91:AG91 K91:L91 N91:O91 AC91:AD91 Q91:R91 T91:U91 B91:C91 W91:X91 Z91:AA91 AI91:AJ91 E91:F91 H91:I91 AL91:AM91 AO91:AP91">
    <cfRule type="expression" dxfId="9" priority="767">
      <formula>#REF! = "94≠68+69+71+80+88+89+90+91+92"</formula>
    </cfRule>
  </conditionalFormatting>
  <conditionalFormatting sqref="AF35:AG35 K35:L35 N35:O35 AC35:AD35 Q35:R35 T35:U35 B35:C35 W35:X35 Z35:AA35 AI35:AJ35 E35:F35 H35:I35">
    <cfRule type="expression" dxfId="8" priority="769">
      <formula>#REF! ="35≠36+38"</formula>
    </cfRule>
  </conditionalFormatting>
  <conditionalFormatting sqref="AF39:AG39 K39:L39 N39:O39 AC39:AD39 Q39:R39 T39:U39 B39:C39 W39:X39 Z39:AA39 AI39:AJ39 E39:F39 H39:I39">
    <cfRule type="expression" dxfId="7" priority="770">
      <formula>#REF! ="39≠40+41+42+43+44"</formula>
    </cfRule>
  </conditionalFormatting>
  <conditionalFormatting sqref="AF45:AG45 K45:L45 N45:O45 AC45:AD45 Q45:R45 T45:U45 B45:C45 W45:X45 Z45:AA45 AI45:AJ45 E45:F45 H45:I45">
    <cfRule type="expression" dxfId="6" priority="771">
      <formula>#REF! ="45≠33+34+35+39"</formula>
    </cfRule>
  </conditionalFormatting>
  <conditionalFormatting sqref="AF50:AG50 K50:L50 N50:O50 AC50:AD50 Q50:R50 T50:U50 B50:C50 W50:X50 Z50:AA50 AI50:AJ50 E50:F50 H50:I50">
    <cfRule type="expression" dxfId="5" priority="772">
      <formula>#REF! ="50≠51+53"</formula>
    </cfRule>
  </conditionalFormatting>
  <conditionalFormatting sqref="AF54:AG54 K54:L54 N54:O54 AC54:AD54 Q54:R54 T54:U54 B54:C54 W54:X54 Z54:AA54 AI54:AJ54 E54:F54 H54:I54">
    <cfRule type="expression" dxfId="4" priority="773">
      <formula>#REF! ="54≠55+56+57+58+59"</formula>
    </cfRule>
  </conditionalFormatting>
  <conditionalFormatting sqref="AF60:AG60 K60:L60 N60:O60 AC60:AD60 Q60:R60 T60:U60 B60:C60 W60:X60 Z60:AA60 AI60:AJ60 E60:F60 H60:I60">
    <cfRule type="expression" dxfId="3" priority="774">
      <formula>#REF! ="60≠48+49+50+54"</formula>
    </cfRule>
  </conditionalFormatting>
  <conditionalFormatting sqref="AF62:AG62 K62:L62 N62:O62 AC62:AD62 Q62:R62 T62:U62 B62:C62 W62:X62 Z62:AA62 AI62:AJ62 E62:F62 H62:I62">
    <cfRule type="expression" dxfId="2" priority="775">
      <formula>#REF! ="62≠45+46+60+61"</formula>
    </cfRule>
  </conditionalFormatting>
  <conditionalFormatting sqref="AF79:AG79 K79:L79 N79:O79 AC79:AD79 Q79:R79 T79:U79 B79:C79 W79:X79 Z79:AA79 AI79:AJ79 E79:F79 H79:I79">
    <cfRule type="expression" dxfId="1" priority="777">
      <formula>#REF! ="80≠73+74+75+76+77+78+79"</formula>
    </cfRule>
  </conditionalFormatting>
  <conditionalFormatting sqref="AF85:AG85 K85:L85 N85:O85 AC85:AD85 Q85:R85 T85:U85 B85:C85 W85:X85 Z85:AA85 AI85:AJ85 E85:F85 H85:I85">
    <cfRule type="expression" dxfId="0" priority="778">
      <formula>#REF! ="88≠82+83+84+85+86+87"</formula>
    </cfRule>
  </conditionalFormatting>
  <hyperlinks>
    <hyperlink ref="B1" location="Innhold!A1" display="Tilbake" xr:uid="{00000000-0004-0000-22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7BF-BB76-48A9-B24F-C36C88858542}">
  <dimension ref="A1:AY46"/>
  <sheetViews>
    <sheetView showGridLines="0" zoomScale="60" zoomScaleNormal="60" workbookViewId="0">
      <selection activeCell="A4" sqref="A4"/>
    </sheetView>
  </sheetViews>
  <sheetFormatPr baseColWidth="10" defaultColWidth="11.42578125" defaultRowHeight="12.75" x14ac:dyDescent="0.2"/>
  <cols>
    <col min="1" max="1" width="62" style="602" customWidth="1"/>
    <col min="2" max="34" width="11.7109375" style="602" customWidth="1"/>
    <col min="35" max="253" width="11.42578125" style="602"/>
    <col min="254" max="254" width="62" style="602" customWidth="1"/>
    <col min="255" max="290" width="11.7109375" style="602" customWidth="1"/>
    <col min="291" max="509" width="11.42578125" style="602"/>
    <col min="510" max="510" width="62" style="602" customWidth="1"/>
    <col min="511" max="546" width="11.7109375" style="602" customWidth="1"/>
    <col min="547" max="765" width="11.42578125" style="602"/>
    <col min="766" max="766" width="62" style="602" customWidth="1"/>
    <col min="767" max="802" width="11.7109375" style="602" customWidth="1"/>
    <col min="803" max="1021" width="11.42578125" style="602"/>
    <col min="1022" max="1022" width="62" style="602" customWidth="1"/>
    <col min="1023" max="1058" width="11.7109375" style="602" customWidth="1"/>
    <col min="1059" max="1277" width="11.42578125" style="602"/>
    <col min="1278" max="1278" width="62" style="602" customWidth="1"/>
    <col min="1279" max="1314" width="11.7109375" style="602" customWidth="1"/>
    <col min="1315" max="1533" width="11.42578125" style="602"/>
    <col min="1534" max="1534" width="62" style="602" customWidth="1"/>
    <col min="1535" max="1570" width="11.7109375" style="602" customWidth="1"/>
    <col min="1571" max="1789" width="11.42578125" style="602"/>
    <col min="1790" max="1790" width="62" style="602" customWidth="1"/>
    <col min="1791" max="1826" width="11.7109375" style="602" customWidth="1"/>
    <col min="1827" max="2045" width="11.42578125" style="602"/>
    <col min="2046" max="2046" width="62" style="602" customWidth="1"/>
    <col min="2047" max="2082" width="11.7109375" style="602" customWidth="1"/>
    <col min="2083" max="2301" width="11.42578125" style="602"/>
    <col min="2302" max="2302" width="62" style="602" customWidth="1"/>
    <col min="2303" max="2338" width="11.7109375" style="602" customWidth="1"/>
    <col min="2339" max="2557" width="11.42578125" style="602"/>
    <col min="2558" max="2558" width="62" style="602" customWidth="1"/>
    <col min="2559" max="2594" width="11.7109375" style="602" customWidth="1"/>
    <col min="2595" max="2813" width="11.42578125" style="602"/>
    <col min="2814" max="2814" width="62" style="602" customWidth="1"/>
    <col min="2815" max="2850" width="11.7109375" style="602" customWidth="1"/>
    <col min="2851" max="3069" width="11.42578125" style="602"/>
    <col min="3070" max="3070" width="62" style="602" customWidth="1"/>
    <col min="3071" max="3106" width="11.7109375" style="602" customWidth="1"/>
    <col min="3107" max="3325" width="11.42578125" style="602"/>
    <col min="3326" max="3326" width="62" style="602" customWidth="1"/>
    <col min="3327" max="3362" width="11.7109375" style="602" customWidth="1"/>
    <col min="3363" max="3581" width="11.42578125" style="602"/>
    <col min="3582" max="3582" width="62" style="602" customWidth="1"/>
    <col min="3583" max="3618" width="11.7109375" style="602" customWidth="1"/>
    <col min="3619" max="3837" width="11.42578125" style="602"/>
    <col min="3838" max="3838" width="62" style="602" customWidth="1"/>
    <col min="3839" max="3874" width="11.7109375" style="602" customWidth="1"/>
    <col min="3875" max="4093" width="11.42578125" style="602"/>
    <col min="4094" max="4094" width="62" style="602" customWidth="1"/>
    <col min="4095" max="4130" width="11.7109375" style="602" customWidth="1"/>
    <col min="4131" max="4349" width="11.42578125" style="602"/>
    <col min="4350" max="4350" width="62" style="602" customWidth="1"/>
    <col min="4351" max="4386" width="11.7109375" style="602" customWidth="1"/>
    <col min="4387" max="4605" width="11.42578125" style="602"/>
    <col min="4606" max="4606" width="62" style="602" customWidth="1"/>
    <col min="4607" max="4642" width="11.7109375" style="602" customWidth="1"/>
    <col min="4643" max="4861" width="11.42578125" style="602"/>
    <col min="4862" max="4862" width="62" style="602" customWidth="1"/>
    <col min="4863" max="4898" width="11.7109375" style="602" customWidth="1"/>
    <col min="4899" max="5117" width="11.42578125" style="602"/>
    <col min="5118" max="5118" width="62" style="602" customWidth="1"/>
    <col min="5119" max="5154" width="11.7109375" style="602" customWidth="1"/>
    <col min="5155" max="5373" width="11.42578125" style="602"/>
    <col min="5374" max="5374" width="62" style="602" customWidth="1"/>
    <col min="5375" max="5410" width="11.7109375" style="602" customWidth="1"/>
    <col min="5411" max="5629" width="11.42578125" style="602"/>
    <col min="5630" max="5630" width="62" style="602" customWidth="1"/>
    <col min="5631" max="5666" width="11.7109375" style="602" customWidth="1"/>
    <col min="5667" max="5885" width="11.42578125" style="602"/>
    <col min="5886" max="5886" width="62" style="602" customWidth="1"/>
    <col min="5887" max="5922" width="11.7109375" style="602" customWidth="1"/>
    <col min="5923" max="6141" width="11.42578125" style="602"/>
    <col min="6142" max="6142" width="62" style="602" customWidth="1"/>
    <col min="6143" max="6178" width="11.7109375" style="602" customWidth="1"/>
    <col min="6179" max="6397" width="11.42578125" style="602"/>
    <col min="6398" max="6398" width="62" style="602" customWidth="1"/>
    <col min="6399" max="6434" width="11.7109375" style="602" customWidth="1"/>
    <col min="6435" max="6653" width="11.42578125" style="602"/>
    <col min="6654" max="6654" width="62" style="602" customWidth="1"/>
    <col min="6655" max="6690" width="11.7109375" style="602" customWidth="1"/>
    <col min="6691" max="6909" width="11.42578125" style="602"/>
    <col min="6910" max="6910" width="62" style="602" customWidth="1"/>
    <col min="6911" max="6946" width="11.7109375" style="602" customWidth="1"/>
    <col min="6947" max="7165" width="11.42578125" style="602"/>
    <col min="7166" max="7166" width="62" style="602" customWidth="1"/>
    <col min="7167" max="7202" width="11.7109375" style="602" customWidth="1"/>
    <col min="7203" max="7421" width="11.42578125" style="602"/>
    <col min="7422" max="7422" width="62" style="602" customWidth="1"/>
    <col min="7423" max="7458" width="11.7109375" style="602" customWidth="1"/>
    <col min="7459" max="7677" width="11.42578125" style="602"/>
    <col min="7678" max="7678" width="62" style="602" customWidth="1"/>
    <col min="7679" max="7714" width="11.7109375" style="602" customWidth="1"/>
    <col min="7715" max="7933" width="11.42578125" style="602"/>
    <col min="7934" max="7934" width="62" style="602" customWidth="1"/>
    <col min="7935" max="7970" width="11.7109375" style="602" customWidth="1"/>
    <col min="7971" max="8189" width="11.42578125" style="602"/>
    <col min="8190" max="8190" width="62" style="602" customWidth="1"/>
    <col min="8191" max="8226" width="11.7109375" style="602" customWidth="1"/>
    <col min="8227" max="8445" width="11.42578125" style="602"/>
    <col min="8446" max="8446" width="62" style="602" customWidth="1"/>
    <col min="8447" max="8482" width="11.7109375" style="602" customWidth="1"/>
    <col min="8483" max="8701" width="11.42578125" style="602"/>
    <col min="8702" max="8702" width="62" style="602" customWidth="1"/>
    <col min="8703" max="8738" width="11.7109375" style="602" customWidth="1"/>
    <col min="8739" max="8957" width="11.42578125" style="602"/>
    <col min="8958" max="8958" width="62" style="602" customWidth="1"/>
    <col min="8959" max="8994" width="11.7109375" style="602" customWidth="1"/>
    <col min="8995" max="9213" width="11.42578125" style="602"/>
    <col min="9214" max="9214" width="62" style="602" customWidth="1"/>
    <col min="9215" max="9250" width="11.7109375" style="602" customWidth="1"/>
    <col min="9251" max="9469" width="11.42578125" style="602"/>
    <col min="9470" max="9470" width="62" style="602" customWidth="1"/>
    <col min="9471" max="9506" width="11.7109375" style="602" customWidth="1"/>
    <col min="9507" max="9725" width="11.42578125" style="602"/>
    <col min="9726" max="9726" width="62" style="602" customWidth="1"/>
    <col min="9727" max="9762" width="11.7109375" style="602" customWidth="1"/>
    <col min="9763" max="9981" width="11.42578125" style="602"/>
    <col min="9982" max="9982" width="62" style="602" customWidth="1"/>
    <col min="9983" max="10018" width="11.7109375" style="602" customWidth="1"/>
    <col min="10019" max="10237" width="11.42578125" style="602"/>
    <col min="10238" max="10238" width="62" style="602" customWidth="1"/>
    <col min="10239" max="10274" width="11.7109375" style="602" customWidth="1"/>
    <col min="10275" max="10493" width="11.42578125" style="602"/>
    <col min="10494" max="10494" width="62" style="602" customWidth="1"/>
    <col min="10495" max="10530" width="11.7109375" style="602" customWidth="1"/>
    <col min="10531" max="10749" width="11.42578125" style="602"/>
    <col min="10750" max="10750" width="62" style="602" customWidth="1"/>
    <col min="10751" max="10786" width="11.7109375" style="602" customWidth="1"/>
    <col min="10787" max="11005" width="11.42578125" style="602"/>
    <col min="11006" max="11006" width="62" style="602" customWidth="1"/>
    <col min="11007" max="11042" width="11.7109375" style="602" customWidth="1"/>
    <col min="11043" max="11261" width="11.42578125" style="602"/>
    <col min="11262" max="11262" width="62" style="602" customWidth="1"/>
    <col min="11263" max="11298" width="11.7109375" style="602" customWidth="1"/>
    <col min="11299" max="11517" width="11.42578125" style="602"/>
    <col min="11518" max="11518" width="62" style="602" customWidth="1"/>
    <col min="11519" max="11554" width="11.7109375" style="602" customWidth="1"/>
    <col min="11555" max="11773" width="11.42578125" style="602"/>
    <col min="11774" max="11774" width="62" style="602" customWidth="1"/>
    <col min="11775" max="11810" width="11.7109375" style="602" customWidth="1"/>
    <col min="11811" max="12029" width="11.42578125" style="602"/>
    <col min="12030" max="12030" width="62" style="602" customWidth="1"/>
    <col min="12031" max="12066" width="11.7109375" style="602" customWidth="1"/>
    <col min="12067" max="12285" width="11.42578125" style="602"/>
    <col min="12286" max="12286" width="62" style="602" customWidth="1"/>
    <col min="12287" max="12322" width="11.7109375" style="602" customWidth="1"/>
    <col min="12323" max="12541" width="11.42578125" style="602"/>
    <col min="12542" max="12542" width="62" style="602" customWidth="1"/>
    <col min="12543" max="12578" width="11.7109375" style="602" customWidth="1"/>
    <col min="12579" max="12797" width="11.42578125" style="602"/>
    <col min="12798" max="12798" width="62" style="602" customWidth="1"/>
    <col min="12799" max="12834" width="11.7109375" style="602" customWidth="1"/>
    <col min="12835" max="13053" width="11.42578125" style="602"/>
    <col min="13054" max="13054" width="62" style="602" customWidth="1"/>
    <col min="13055" max="13090" width="11.7109375" style="602" customWidth="1"/>
    <col min="13091" max="13309" width="11.42578125" style="602"/>
    <col min="13310" max="13310" width="62" style="602" customWidth="1"/>
    <col min="13311" max="13346" width="11.7109375" style="602" customWidth="1"/>
    <col min="13347" max="13565" width="11.42578125" style="602"/>
    <col min="13566" max="13566" width="62" style="602" customWidth="1"/>
    <col min="13567" max="13602" width="11.7109375" style="602" customWidth="1"/>
    <col min="13603" max="13821" width="11.42578125" style="602"/>
    <col min="13822" max="13822" width="62" style="602" customWidth="1"/>
    <col min="13823" max="13858" width="11.7109375" style="602" customWidth="1"/>
    <col min="13859" max="14077" width="11.42578125" style="602"/>
    <col min="14078" max="14078" width="62" style="602" customWidth="1"/>
    <col min="14079" max="14114" width="11.7109375" style="602" customWidth="1"/>
    <col min="14115" max="14333" width="11.42578125" style="602"/>
    <col min="14334" max="14334" width="62" style="602" customWidth="1"/>
    <col min="14335" max="14370" width="11.7109375" style="602" customWidth="1"/>
    <col min="14371" max="14589" width="11.42578125" style="602"/>
    <col min="14590" max="14590" width="62" style="602" customWidth="1"/>
    <col min="14591" max="14626" width="11.7109375" style="602" customWidth="1"/>
    <col min="14627" max="14845" width="11.42578125" style="602"/>
    <col min="14846" max="14846" width="62" style="602" customWidth="1"/>
    <col min="14847" max="14882" width="11.7109375" style="602" customWidth="1"/>
    <col min="14883" max="15101" width="11.42578125" style="602"/>
    <col min="15102" max="15102" width="62" style="602" customWidth="1"/>
    <col min="15103" max="15138" width="11.7109375" style="602" customWidth="1"/>
    <col min="15139" max="15357" width="11.42578125" style="602"/>
    <col min="15358" max="15358" width="62" style="602" customWidth="1"/>
    <col min="15359" max="15394" width="11.7109375" style="602" customWidth="1"/>
    <col min="15395" max="15613" width="11.42578125" style="602"/>
    <col min="15614" max="15614" width="62" style="602" customWidth="1"/>
    <col min="15615" max="15650" width="11.7109375" style="602" customWidth="1"/>
    <col min="15651" max="15869" width="11.42578125" style="602"/>
    <col min="15870" max="15870" width="62" style="602" customWidth="1"/>
    <col min="15871" max="15906" width="11.7109375" style="602" customWidth="1"/>
    <col min="15907" max="16125" width="11.42578125" style="602"/>
    <col min="16126" max="16126" width="62" style="602" customWidth="1"/>
    <col min="16127" max="16162" width="11.7109375" style="602" customWidth="1"/>
    <col min="16163" max="16384" width="11.42578125" style="602"/>
  </cols>
  <sheetData>
    <row r="1" spans="1:51" ht="20.25" x14ac:dyDescent="0.3">
      <c r="A1" s="601" t="s">
        <v>177</v>
      </c>
      <c r="B1" s="73" t="s">
        <v>52</v>
      </c>
      <c r="AI1" s="603"/>
    </row>
    <row r="2" spans="1:51" ht="20.25" x14ac:dyDescent="0.3">
      <c r="A2" s="601" t="s">
        <v>275</v>
      </c>
      <c r="AI2" s="603"/>
    </row>
    <row r="3" spans="1:51" ht="18.75" x14ac:dyDescent="0.3">
      <c r="A3" s="604" t="s">
        <v>343</v>
      </c>
      <c r="AI3" s="605"/>
    </row>
    <row r="4" spans="1:51" ht="18.75" x14ac:dyDescent="0.3">
      <c r="A4" s="606" t="s">
        <v>413</v>
      </c>
      <c r="B4" s="607"/>
      <c r="C4" s="608"/>
      <c r="D4" s="609"/>
      <c r="E4" s="607"/>
      <c r="F4" s="608"/>
      <c r="G4" s="609"/>
      <c r="H4" s="608"/>
      <c r="I4" s="608"/>
      <c r="J4" s="609"/>
      <c r="K4" s="607"/>
      <c r="L4" s="608"/>
      <c r="M4" s="609"/>
      <c r="N4" s="607"/>
      <c r="O4" s="608"/>
      <c r="P4" s="609"/>
      <c r="Q4" s="607"/>
      <c r="R4" s="608"/>
      <c r="S4" s="609"/>
      <c r="T4" s="607"/>
      <c r="U4" s="608"/>
      <c r="V4" s="609"/>
      <c r="W4" s="607"/>
      <c r="X4" s="608"/>
      <c r="Y4" s="609"/>
      <c r="Z4" s="607"/>
      <c r="AA4" s="608"/>
      <c r="AB4" s="609"/>
      <c r="AC4" s="607"/>
      <c r="AD4" s="608"/>
      <c r="AE4" s="609"/>
      <c r="AF4" s="607"/>
      <c r="AG4" s="610"/>
      <c r="AH4" s="609"/>
      <c r="AI4" s="611"/>
      <c r="AJ4" s="612"/>
      <c r="AK4" s="612"/>
      <c r="AL4" s="612"/>
      <c r="AM4" s="612"/>
      <c r="AN4" s="612"/>
      <c r="AO4" s="612"/>
      <c r="AP4" s="612"/>
      <c r="AQ4" s="612"/>
      <c r="AR4" s="612"/>
      <c r="AS4" s="612"/>
      <c r="AT4" s="612"/>
      <c r="AU4" s="612"/>
      <c r="AV4" s="612"/>
      <c r="AW4" s="612"/>
      <c r="AX4" s="612"/>
      <c r="AY4" s="612"/>
    </row>
    <row r="5" spans="1:51" ht="18.75" x14ac:dyDescent="0.3">
      <c r="A5" s="613"/>
      <c r="B5" s="708" t="s">
        <v>180</v>
      </c>
      <c r="C5" s="709"/>
      <c r="D5" s="710"/>
      <c r="E5" s="708" t="s">
        <v>181</v>
      </c>
      <c r="F5" s="709"/>
      <c r="G5" s="710"/>
      <c r="H5" s="709" t="s">
        <v>182</v>
      </c>
      <c r="I5" s="709"/>
      <c r="J5" s="710"/>
      <c r="K5" s="708" t="s">
        <v>183</v>
      </c>
      <c r="L5" s="709"/>
      <c r="M5" s="710"/>
      <c r="N5" s="614" t="s">
        <v>184</v>
      </c>
      <c r="O5" s="615"/>
      <c r="P5" s="616"/>
      <c r="Q5" s="708" t="s">
        <v>63</v>
      </c>
      <c r="R5" s="709"/>
      <c r="S5" s="710"/>
      <c r="T5" s="614"/>
      <c r="U5" s="615"/>
      <c r="V5" s="616"/>
      <c r="W5" s="708" t="s">
        <v>185</v>
      </c>
      <c r="X5" s="709"/>
      <c r="Y5" s="710"/>
      <c r="Z5" s="708"/>
      <c r="AA5" s="709"/>
      <c r="AB5" s="710"/>
      <c r="AC5" s="708" t="s">
        <v>75</v>
      </c>
      <c r="AD5" s="709"/>
      <c r="AE5" s="710"/>
      <c r="AF5" s="708" t="s">
        <v>293</v>
      </c>
      <c r="AG5" s="709"/>
      <c r="AH5" s="710"/>
      <c r="AI5" s="617"/>
      <c r="AJ5" s="618"/>
      <c r="AK5" s="711"/>
      <c r="AL5" s="711"/>
      <c r="AM5" s="711"/>
      <c r="AN5" s="711"/>
      <c r="AO5" s="711"/>
      <c r="AP5" s="711"/>
      <c r="AQ5" s="711"/>
      <c r="AR5" s="711"/>
      <c r="AS5" s="711"/>
      <c r="AT5" s="711"/>
      <c r="AU5" s="711"/>
      <c r="AV5" s="711"/>
      <c r="AW5" s="711"/>
      <c r="AX5" s="711"/>
      <c r="AY5" s="711"/>
    </row>
    <row r="6" spans="1:51" ht="18.75" x14ac:dyDescent="0.3">
      <c r="A6" s="619"/>
      <c r="B6" s="712" t="s">
        <v>186</v>
      </c>
      <c r="C6" s="713"/>
      <c r="D6" s="714"/>
      <c r="E6" s="712" t="s">
        <v>187</v>
      </c>
      <c r="F6" s="713"/>
      <c r="G6" s="714"/>
      <c r="H6" s="713" t="s">
        <v>187</v>
      </c>
      <c r="I6" s="713"/>
      <c r="J6" s="714"/>
      <c r="K6" s="712" t="s">
        <v>188</v>
      </c>
      <c r="L6" s="713"/>
      <c r="M6" s="714"/>
      <c r="N6" s="712" t="s">
        <v>63</v>
      </c>
      <c r="O6" s="713"/>
      <c r="P6" s="714"/>
      <c r="Q6" s="712" t="s">
        <v>189</v>
      </c>
      <c r="R6" s="713"/>
      <c r="S6" s="714"/>
      <c r="T6" s="712" t="s">
        <v>68</v>
      </c>
      <c r="U6" s="713"/>
      <c r="V6" s="714"/>
      <c r="W6" s="712" t="s">
        <v>186</v>
      </c>
      <c r="X6" s="713"/>
      <c r="Y6" s="714"/>
      <c r="Z6" s="712" t="s">
        <v>70</v>
      </c>
      <c r="AA6" s="713"/>
      <c r="AB6" s="714"/>
      <c r="AC6" s="712" t="s">
        <v>187</v>
      </c>
      <c r="AD6" s="713"/>
      <c r="AE6" s="714"/>
      <c r="AF6" s="712" t="s">
        <v>294</v>
      </c>
      <c r="AG6" s="713"/>
      <c r="AH6" s="714"/>
      <c r="AI6" s="617"/>
      <c r="AJ6" s="618"/>
      <c r="AK6" s="711"/>
      <c r="AL6" s="711"/>
      <c r="AM6" s="711"/>
      <c r="AN6" s="711"/>
      <c r="AO6" s="711"/>
      <c r="AP6" s="711"/>
      <c r="AQ6" s="711"/>
      <c r="AR6" s="711"/>
      <c r="AS6" s="711"/>
      <c r="AT6" s="711"/>
      <c r="AU6" s="711"/>
      <c r="AV6" s="711"/>
      <c r="AW6" s="711"/>
      <c r="AX6" s="711"/>
      <c r="AY6" s="711"/>
    </row>
    <row r="7" spans="1:51" ht="18.75" x14ac:dyDescent="0.3">
      <c r="A7" s="619"/>
      <c r="B7" s="620"/>
      <c r="C7" s="620"/>
      <c r="D7" s="621" t="s">
        <v>83</v>
      </c>
      <c r="E7" s="620"/>
      <c r="F7" s="620"/>
      <c r="G7" s="621" t="s">
        <v>83</v>
      </c>
      <c r="H7" s="620"/>
      <c r="I7" s="620"/>
      <c r="J7" s="621" t="s">
        <v>83</v>
      </c>
      <c r="K7" s="620"/>
      <c r="L7" s="620"/>
      <c r="M7" s="621" t="s">
        <v>83</v>
      </c>
      <c r="N7" s="620"/>
      <c r="O7" s="620"/>
      <c r="P7" s="621" t="s">
        <v>83</v>
      </c>
      <c r="Q7" s="620"/>
      <c r="R7" s="620"/>
      <c r="S7" s="621" t="s">
        <v>83</v>
      </c>
      <c r="T7" s="620"/>
      <c r="U7" s="620"/>
      <c r="V7" s="621" t="s">
        <v>83</v>
      </c>
      <c r="W7" s="620"/>
      <c r="X7" s="620"/>
      <c r="Y7" s="621" t="s">
        <v>83</v>
      </c>
      <c r="Z7" s="620"/>
      <c r="AA7" s="620"/>
      <c r="AB7" s="621" t="s">
        <v>83</v>
      </c>
      <c r="AC7" s="620"/>
      <c r="AD7" s="620"/>
      <c r="AE7" s="621" t="s">
        <v>83</v>
      </c>
      <c r="AF7" s="620"/>
      <c r="AG7" s="620"/>
      <c r="AH7" s="621" t="s">
        <v>83</v>
      </c>
      <c r="AI7" s="617"/>
      <c r="AJ7" s="618"/>
      <c r="AK7" s="618"/>
      <c r="AL7" s="618"/>
      <c r="AM7" s="618"/>
      <c r="AN7" s="618"/>
      <c r="AO7" s="618"/>
      <c r="AP7" s="618"/>
      <c r="AQ7" s="618"/>
      <c r="AR7" s="618"/>
      <c r="AS7" s="618"/>
      <c r="AT7" s="618"/>
      <c r="AU7" s="618"/>
      <c r="AV7" s="618"/>
      <c r="AW7" s="618"/>
      <c r="AX7" s="618"/>
      <c r="AY7" s="618"/>
    </row>
    <row r="8" spans="1:51" ht="15.75" x14ac:dyDescent="0.25">
      <c r="A8" s="622" t="s">
        <v>296</v>
      </c>
      <c r="B8" s="623">
        <v>2018</v>
      </c>
      <c r="C8" s="623">
        <v>2019</v>
      </c>
      <c r="D8" s="624" t="s">
        <v>85</v>
      </c>
      <c r="E8" s="623">
        <v>2018</v>
      </c>
      <c r="F8" s="623">
        <v>2019</v>
      </c>
      <c r="G8" s="624" t="s">
        <v>85</v>
      </c>
      <c r="H8" s="623">
        <v>2018</v>
      </c>
      <c r="I8" s="623">
        <v>2019</v>
      </c>
      <c r="J8" s="624" t="s">
        <v>85</v>
      </c>
      <c r="K8" s="623">
        <v>2018</v>
      </c>
      <c r="L8" s="623">
        <v>2019</v>
      </c>
      <c r="M8" s="624" t="s">
        <v>85</v>
      </c>
      <c r="N8" s="623">
        <v>2018</v>
      </c>
      <c r="O8" s="623">
        <v>2019</v>
      </c>
      <c r="P8" s="624" t="s">
        <v>85</v>
      </c>
      <c r="Q8" s="623">
        <v>2018</v>
      </c>
      <c r="R8" s="623">
        <v>2019</v>
      </c>
      <c r="S8" s="624" t="s">
        <v>85</v>
      </c>
      <c r="T8" s="623">
        <v>2018</v>
      </c>
      <c r="U8" s="623">
        <v>2019</v>
      </c>
      <c r="V8" s="624" t="s">
        <v>85</v>
      </c>
      <c r="W8" s="623">
        <v>2018</v>
      </c>
      <c r="X8" s="623">
        <v>2019</v>
      </c>
      <c r="Y8" s="624" t="s">
        <v>85</v>
      </c>
      <c r="Z8" s="623">
        <v>2018</v>
      </c>
      <c r="AA8" s="623">
        <v>2019</v>
      </c>
      <c r="AB8" s="624" t="s">
        <v>85</v>
      </c>
      <c r="AC8" s="623">
        <v>2018</v>
      </c>
      <c r="AD8" s="623">
        <v>2019</v>
      </c>
      <c r="AE8" s="624" t="s">
        <v>85</v>
      </c>
      <c r="AF8" s="623">
        <v>2018</v>
      </c>
      <c r="AG8" s="623">
        <v>2019</v>
      </c>
      <c r="AH8" s="624" t="s">
        <v>85</v>
      </c>
      <c r="AI8" s="617"/>
      <c r="AJ8" s="625"/>
      <c r="AK8" s="626"/>
      <c r="AL8" s="626"/>
      <c r="AM8" s="625"/>
      <c r="AN8" s="626"/>
      <c r="AO8" s="626"/>
      <c r="AP8" s="625"/>
      <c r="AQ8" s="626"/>
      <c r="AR8" s="626"/>
      <c r="AS8" s="625"/>
      <c r="AT8" s="626"/>
      <c r="AU8" s="626"/>
      <c r="AV8" s="625"/>
      <c r="AW8" s="626"/>
      <c r="AX8" s="626"/>
      <c r="AY8" s="625"/>
    </row>
    <row r="9" spans="1:51" s="634" customFormat="1" ht="18.75" x14ac:dyDescent="0.3">
      <c r="A9" s="627"/>
      <c r="B9" s="628"/>
      <c r="C9" s="629"/>
      <c r="D9" s="629"/>
      <c r="E9" s="572"/>
      <c r="F9" s="570"/>
      <c r="G9" s="570"/>
      <c r="H9" s="572"/>
      <c r="I9" s="570"/>
      <c r="J9" s="570"/>
      <c r="K9" s="645"/>
      <c r="L9" s="565"/>
      <c r="M9" s="570"/>
      <c r="N9" s="572"/>
      <c r="O9" s="570"/>
      <c r="P9" s="570"/>
      <c r="Q9" s="645"/>
      <c r="R9" s="565"/>
      <c r="S9" s="570"/>
      <c r="T9" s="645"/>
      <c r="U9" s="565"/>
      <c r="V9" s="570"/>
      <c r="W9" s="572"/>
      <c r="X9" s="570"/>
      <c r="Y9" s="570"/>
      <c r="Z9" s="572"/>
      <c r="AA9" s="570"/>
      <c r="AB9" s="570"/>
      <c r="AC9" s="572"/>
      <c r="AD9" s="570"/>
      <c r="AE9" s="570"/>
      <c r="AF9" s="632"/>
      <c r="AG9" s="629"/>
      <c r="AH9" s="629"/>
      <c r="AI9" s="633"/>
      <c r="AJ9" s="633"/>
    </row>
    <row r="10" spans="1:51" s="638" customFormat="1" ht="18.75" x14ac:dyDescent="0.3">
      <c r="A10" s="635" t="s">
        <v>408</v>
      </c>
      <c r="B10" s="630"/>
      <c r="C10" s="631"/>
      <c r="D10" s="631"/>
      <c r="E10" s="572"/>
      <c r="F10" s="570"/>
      <c r="G10" s="570"/>
      <c r="H10" s="572"/>
      <c r="I10" s="570"/>
      <c r="J10" s="570"/>
      <c r="K10" s="645"/>
      <c r="L10" s="565"/>
      <c r="M10" s="570"/>
      <c r="N10" s="572"/>
      <c r="O10" s="570"/>
      <c r="P10" s="570"/>
      <c r="Q10" s="645"/>
      <c r="R10" s="565"/>
      <c r="S10" s="570"/>
      <c r="T10" s="645"/>
      <c r="U10" s="565"/>
      <c r="V10" s="570"/>
      <c r="W10" s="645"/>
      <c r="X10" s="565"/>
      <c r="Y10" s="570"/>
      <c r="Z10" s="645"/>
      <c r="AA10" s="565"/>
      <c r="AB10" s="570"/>
      <c r="AC10" s="645"/>
      <c r="AD10" s="570"/>
      <c r="AE10" s="570"/>
      <c r="AF10" s="572"/>
      <c r="AG10" s="631"/>
      <c r="AH10" s="636"/>
      <c r="AI10" s="637"/>
      <c r="AJ10" s="637"/>
    </row>
    <row r="11" spans="1:51" s="638" customFormat="1" ht="22.5" x14ac:dyDescent="0.3">
      <c r="A11" s="635" t="s">
        <v>409</v>
      </c>
      <c r="B11" s="630">
        <v>0.88</v>
      </c>
      <c r="C11" s="631">
        <v>0.28000000000000003</v>
      </c>
      <c r="D11" s="636">
        <f>IF(B11=0, "    ---- ", IF(ABS(ROUND(100/B11*C11-100,1))&lt;999,ROUND(100/B11*C11-100,1),IF(ROUND(100/B11*C11-100,1)&gt;999,999,-999)))</f>
        <v>-68.2</v>
      </c>
      <c r="E11" s="572">
        <v>1.0900000000000001</v>
      </c>
      <c r="F11" s="570">
        <v>0.96</v>
      </c>
      <c r="G11" s="571">
        <f>IF(E11=0, "    ---- ", IF(ABS(ROUND(100/E11*F11-100,1))&lt;999,ROUND(100/E11*F11-100,1),IF(ROUND(100/E11*F11-100,1)&gt;999,999,-999)))</f>
        <v>-11.9</v>
      </c>
      <c r="H11" s="572"/>
      <c r="I11" s="570"/>
      <c r="J11" s="570"/>
      <c r="K11" s="645">
        <v>2.1259999999999999</v>
      </c>
      <c r="L11" s="565">
        <v>1.1319999999999999</v>
      </c>
      <c r="M11" s="571">
        <f>IF(K11=0, "    ---- ", IF(ABS(ROUND(100/K11*L11-100,1))&lt;999,ROUND(100/K11*L11-100,1),IF(ROUND(100/K11*L11-100,1)&gt;999,999,-999)))</f>
        <v>-46.8</v>
      </c>
      <c r="N11" s="572">
        <v>1.24</v>
      </c>
      <c r="O11" s="570">
        <v>1.01</v>
      </c>
      <c r="P11" s="571">
        <f>IF(N11=0, "    ---- ", IF(ABS(ROUND(100/N11*O11-100,1))&lt;999,ROUND(100/N11*O11-100,1),IF(ROUND(100/N11*O11-100,1)&gt;999,999,-999)))</f>
        <v>-18.5</v>
      </c>
      <c r="Q11" s="645">
        <v>1.35</v>
      </c>
      <c r="R11" s="565">
        <v>0.84</v>
      </c>
      <c r="S11" s="571">
        <f>IF(Q11=0, "    ---- ", IF(ABS(ROUND(100/Q11*R11-100,1))&lt;999,ROUND(100/Q11*R11-100,1),IF(ROUND(100/Q11*R11-100,1)&gt;999,999,-999)))</f>
        <v>-37.799999999999997</v>
      </c>
      <c r="T11" s="645">
        <v>1.1000000000000001</v>
      </c>
      <c r="U11" s="565">
        <v>0.6</v>
      </c>
      <c r="V11" s="571">
        <f>IF(T11=0, "    ---- ", IF(ABS(ROUND(100/T11*U11-100,1))&lt;999,ROUND(100/T11*U11-100,1),IF(ROUND(100/T11*U11-100,1)&gt;999,999,-999)))</f>
        <v>-45.5</v>
      </c>
      <c r="W11" s="645">
        <v>1.28</v>
      </c>
      <c r="X11" s="565">
        <v>0.22</v>
      </c>
      <c r="Y11" s="571">
        <f>IF(W11=0, "    ---- ", IF(ABS(ROUND(100/W11*X11-100,1))&lt;999,ROUND(100/W11*X11-100,1),IF(ROUND(100/W11*X11-100,1)&gt;999,999,-999)))</f>
        <v>-82.8</v>
      </c>
      <c r="Z11" s="645">
        <v>1.31142061934</v>
      </c>
      <c r="AA11" s="565">
        <v>0.64522438112208902</v>
      </c>
      <c r="AB11" s="571">
        <f>IF(Z11=0, "    ---- ", IF(ABS(ROUND(100/Z11*AA11-100,1))&lt;999,ROUND(100/Z11*AA11-100,1),IF(ROUND(100/Z11*AA11-100,1)&gt;999,999,-999)))</f>
        <v>-50.8</v>
      </c>
      <c r="AC11" s="645">
        <v>1</v>
      </c>
      <c r="AD11" s="571">
        <v>0.77</v>
      </c>
      <c r="AE11" s="571">
        <f>IF(Z11=0, "    ---- ", IF(ABS(ROUND(100/Z11*AD11-100,1))&lt;999,ROUND(100/Z11*AD11-100,1),IF(ROUND(100/Z11*AD11-100,1)&gt;999,999,-999)))</f>
        <v>-41.3</v>
      </c>
      <c r="AF11" s="561"/>
      <c r="AG11" s="561"/>
      <c r="AH11" s="636" t="str">
        <f>IF(AF11=0, "    ---- ", IF(ABS(ROUND(100/AF11*AG11-100,1))&lt;999,ROUND(100/AF11*AG11-100,1),IF(ROUND(100/AF11*AG11-100,1)&gt;999,999,-999)))</f>
        <v xml:space="preserve">    ---- </v>
      </c>
      <c r="AI11" s="637"/>
      <c r="AJ11" s="637"/>
    </row>
    <row r="12" spans="1:51" s="638" customFormat="1" ht="18.75" x14ac:dyDescent="0.3">
      <c r="A12" s="635" t="s">
        <v>410</v>
      </c>
      <c r="B12" s="630">
        <v>-0.27</v>
      </c>
      <c r="C12" s="631">
        <v>1.88</v>
      </c>
      <c r="D12" s="636">
        <f>IF(B12=0, "    ---- ", IF(ABS(ROUND(100/B12*C12-100,1))&lt;999,ROUND(100/B12*C12-100,1),IF(ROUND(100/B12*C12-100,1)&gt;999,999,-999)))</f>
        <v>-796.3</v>
      </c>
      <c r="E12" s="572">
        <v>0.54</v>
      </c>
      <c r="F12" s="570">
        <v>2.0099999999999998</v>
      </c>
      <c r="G12" s="571">
        <f>IF(E12=0, "    ---- ", IF(ABS(ROUND(100/E12*F12-100,1))&lt;999,ROUND(100/E12*F12-100,1),IF(ROUND(100/E12*F12-100,1)&gt;999,999,-999)))</f>
        <v>272.2</v>
      </c>
      <c r="H12" s="572"/>
      <c r="I12" s="570"/>
      <c r="J12" s="570"/>
      <c r="K12" s="645">
        <v>0.97599999999999998</v>
      </c>
      <c r="L12" s="565">
        <v>1.2749999999999999</v>
      </c>
      <c r="M12" s="571">
        <f>IF(K12=0, "    ---- ", IF(ABS(ROUND(100/K12*L12-100,1))&lt;999,ROUND(100/K12*L12-100,1),IF(ROUND(100/K12*L12-100,1)&gt;999,999,-999)))</f>
        <v>30.6</v>
      </c>
      <c r="N12" s="572">
        <v>-0.41</v>
      </c>
      <c r="O12" s="570">
        <v>3.06</v>
      </c>
      <c r="P12" s="571">
        <f>IF(N12=0, "    ---- ", IF(ABS(ROUND(100/N12*O12-100,1))&lt;999,ROUND(100/N12*O12-100,1),IF(ROUND(100/N12*O12-100,1)&gt;999,999,-999)))</f>
        <v>-846.3</v>
      </c>
      <c r="Q12" s="645">
        <v>0.36</v>
      </c>
      <c r="R12" s="565">
        <v>1.1399999999999999</v>
      </c>
      <c r="S12" s="571">
        <f>IF(Q12=0, "    ---- ", IF(ABS(ROUND(100/Q12*R12-100,1))&lt;999,ROUND(100/Q12*R12-100,1),IF(ROUND(100/Q12*R12-100,1)&gt;999,999,-999)))</f>
        <v>216.7</v>
      </c>
      <c r="T12" s="645">
        <v>0.6</v>
      </c>
      <c r="U12" s="565">
        <v>1.6</v>
      </c>
      <c r="V12" s="571">
        <f>IF(T12=0, "    ---- ", IF(ABS(ROUND(100/T12*U12-100,1))&lt;999,ROUND(100/T12*U12-100,1),IF(ROUND(100/T12*U12-100,1)&gt;999,999,-999)))</f>
        <v>166.7</v>
      </c>
      <c r="W12" s="645">
        <v>0.56999999999999995</v>
      </c>
      <c r="X12" s="565">
        <v>3.57</v>
      </c>
      <c r="Y12" s="571">
        <f>IF(W12=0, "    ---- ", IF(ABS(ROUND(100/W12*X12-100,1))&lt;999,ROUND(100/W12*X12-100,1),IF(ROUND(100/W12*X12-100,1)&gt;999,999,-999)))</f>
        <v>526.29999999999995</v>
      </c>
      <c r="Z12" s="645">
        <v>3.2378821304024398E-2</v>
      </c>
      <c r="AA12" s="565">
        <v>2.38866946751912</v>
      </c>
      <c r="AB12" s="571">
        <f>IF(Z12=0, "    ---- ", IF(ABS(ROUND(100/Z12*AA12-100,1))&lt;999,ROUND(100/Z12*AA12-100,1),IF(ROUND(100/Z12*AA12-100,1)&gt;999,999,-999)))</f>
        <v>999</v>
      </c>
      <c r="AC12" s="645">
        <v>0.23</v>
      </c>
      <c r="AD12" s="571">
        <v>1.87</v>
      </c>
      <c r="AE12" s="571">
        <f>IF(Z12=0, "    ---- ", IF(ABS(ROUND(100/Z12*AD12-100,1))&lt;999,ROUND(100/Z12*AD12-100,1),IF(ROUND(100/Z12*AD12-100,1)&gt;999,999,-999)))</f>
        <v>999</v>
      </c>
      <c r="AF12" s="561"/>
      <c r="AG12" s="561"/>
      <c r="AH12" s="636" t="str">
        <f>IF(AF12=0, "    ---- ", IF(ABS(ROUND(100/AF12*AG12-100,1))&lt;999,ROUND(100/AF12*AG12-100,1),IF(ROUND(100/AF12*AG12-100,1)&gt;999,999,-999)))</f>
        <v xml:space="preserve">    ---- </v>
      </c>
      <c r="AI12" s="637"/>
      <c r="AJ12" s="637"/>
    </row>
    <row r="13" spans="1:51" s="638" customFormat="1" ht="18.75" x14ac:dyDescent="0.3">
      <c r="A13" s="635"/>
      <c r="B13" s="630"/>
      <c r="C13" s="631"/>
      <c r="D13" s="631"/>
      <c r="E13" s="572"/>
      <c r="F13" s="570"/>
      <c r="G13" s="570"/>
      <c r="H13" s="572"/>
      <c r="I13" s="570"/>
      <c r="J13" s="570"/>
      <c r="K13" s="645"/>
      <c r="L13" s="565"/>
      <c r="M13" s="570"/>
      <c r="N13" s="572"/>
      <c r="O13" s="570"/>
      <c r="P13" s="570"/>
      <c r="Q13" s="645"/>
      <c r="R13" s="565"/>
      <c r="S13" s="570"/>
      <c r="T13" s="645"/>
      <c r="U13" s="565"/>
      <c r="V13" s="570"/>
      <c r="W13" s="645"/>
      <c r="X13" s="565"/>
      <c r="Y13" s="570"/>
      <c r="Z13" s="645"/>
      <c r="AA13" s="565"/>
      <c r="AB13" s="570"/>
      <c r="AC13" s="645"/>
      <c r="AD13" s="570"/>
      <c r="AE13" s="570"/>
      <c r="AF13" s="572"/>
      <c r="AG13" s="572"/>
      <c r="AH13" s="631"/>
      <c r="AI13" s="637"/>
      <c r="AJ13" s="637"/>
    </row>
    <row r="14" spans="1:51" s="638" customFormat="1" ht="18.75" x14ac:dyDescent="0.3">
      <c r="A14" s="635" t="s">
        <v>411</v>
      </c>
      <c r="B14" s="630"/>
      <c r="C14" s="631"/>
      <c r="D14" s="636"/>
      <c r="E14" s="572">
        <v>23.57</v>
      </c>
      <c r="F14" s="570">
        <v>23.58</v>
      </c>
      <c r="G14" s="571">
        <f>IF(E14=0, "    ---- ", IF(ABS(ROUND(100/E14*F14-100,1))&lt;999,ROUND(100/E14*F14-100,1),IF(ROUND(100/E14*F14-100,1)&gt;999,999,-999)))</f>
        <v>0</v>
      </c>
      <c r="H14" s="572">
        <v>24.7</v>
      </c>
      <c r="I14" s="570">
        <v>27.2</v>
      </c>
      <c r="J14" s="571">
        <f>IF(H14=0, "    ---- ", IF(ABS(ROUND(100/H14*I14-100,1))&lt;999,ROUND(100/H14*I14-100,1),IF(ROUND(100/H14*I14-100,1)&gt;999,999,-999)))</f>
        <v>10.1</v>
      </c>
      <c r="K14" s="645">
        <v>18.54</v>
      </c>
      <c r="L14" s="565">
        <v>17.97</v>
      </c>
      <c r="M14" s="571">
        <f>IF(K14=0, "    ---- ", IF(ABS(ROUND(100/K14*L14-100,1))&lt;999,ROUND(100/K14*L14-100,1),IF(ROUND(100/K14*L14-100,1)&gt;999,999,-999)))</f>
        <v>-3.1</v>
      </c>
      <c r="N14" s="572">
        <v>25.7</v>
      </c>
      <c r="O14" s="570">
        <v>27.406370233345001</v>
      </c>
      <c r="P14" s="571">
        <f>IF(N14=0, "    ---- ", IF(ABS(ROUND(100/N14*O14-100,1))&lt;999,ROUND(100/N14*O14-100,1),IF(ROUND(100/N14*O14-100,1)&gt;999,999,-999)))</f>
        <v>6.6</v>
      </c>
      <c r="Q14" s="645">
        <v>43.4</v>
      </c>
      <c r="R14" s="565">
        <v>41.5</v>
      </c>
      <c r="S14" s="571">
        <f>IF(Q14=0, "    ---- ", IF(ABS(ROUND(100/Q14*R14-100,1))&lt;999,ROUND(100/Q14*R14-100,1),IF(ROUND(100/Q14*R14-100,1)&gt;999,999,-999)))</f>
        <v>-4.4000000000000004</v>
      </c>
      <c r="T14" s="645">
        <v>30.2</v>
      </c>
      <c r="U14" s="565">
        <v>33</v>
      </c>
      <c r="V14" s="571">
        <f>IF(T14=0, "    ---- ", IF(ABS(ROUND(100/T14*U14-100,1))&lt;999,ROUND(100/T14*U14-100,1),IF(ROUND(100/T14*U14-100,1)&gt;999,999,-999)))</f>
        <v>9.3000000000000007</v>
      </c>
      <c r="W14" s="572">
        <f>(1430+6594+1240+7101+10519+833)/(61002+2216)*100</f>
        <v>43.843525578158122</v>
      </c>
      <c r="X14" s="570">
        <f>(1430+7303+1240+7492+12170+734)/(64239+3195)*100</f>
        <v>45.035145475576122</v>
      </c>
      <c r="Y14" s="571">
        <f>IF(W14=0, "    ---- ", IF(ABS(ROUND(100/W14*X14-100,1))&lt;999,ROUND(100/W14*X14-100,1),IF(ROUND(100/W14*X14-100,1)&gt;999,999,-999)))</f>
        <v>2.7</v>
      </c>
      <c r="Z14" s="647">
        <v>34.342008316814315</v>
      </c>
      <c r="AA14" s="568">
        <f>('[2]Tabell 6'!AG68+'[2]Tabell 6'!AG69+'[2]Tabell 6'!AG71+'[2]Tabell 6'!AG74+'[2]Tabell 6'!AG75+'[2]Tabell 6'!AG78+356.838)/('[2]Tabell 6'!AG79)*100</f>
        <v>35.947690514081735</v>
      </c>
      <c r="AB14" s="571">
        <f>IF(Z14=0, "    ---- ", IF(ABS(ROUND(100/Z14*AA14-100,1))&lt;999,ROUND(100/Z14*AA14-100,1),IF(ROUND(100/Z14*AA14-100,1)&gt;999,999,-999)))</f>
        <v>4.7</v>
      </c>
      <c r="AC14" s="647">
        <v>23.6</v>
      </c>
      <c r="AD14" s="571">
        <v>23.43</v>
      </c>
      <c r="AE14" s="571">
        <f>IF(Z14=0, "    ---- ", IF(ABS(ROUND(100/Z14*AD14-100,1))&lt;999,ROUND(100/Z14*AD14-100,1),IF(ROUND(100/Z14*AD14-100,1)&gt;999,999,-999)))</f>
        <v>-31.8</v>
      </c>
      <c r="AF14" s="561"/>
      <c r="AG14" s="561"/>
      <c r="AH14" s="636" t="str">
        <f>IF(AF14=0, "    ---- ", IF(ABS(ROUND(100/AF14*AG14-100,1))&lt;999,ROUND(100/AF14*AG14-100,1),IF(ROUND(100/AF14*AG14-100,1)&gt;999,999,-999)))</f>
        <v xml:space="preserve">    ---- </v>
      </c>
      <c r="AI14" s="637"/>
      <c r="AJ14" s="637"/>
    </row>
    <row r="15" spans="1:51" s="638" customFormat="1" ht="18.75" x14ac:dyDescent="0.3">
      <c r="A15" s="635"/>
      <c r="B15" s="630"/>
      <c r="C15" s="631"/>
      <c r="D15" s="631"/>
      <c r="E15" s="572"/>
      <c r="F15" s="570"/>
      <c r="G15" s="570"/>
      <c r="H15" s="572"/>
      <c r="I15" s="570"/>
      <c r="J15" s="570"/>
      <c r="K15" s="645"/>
      <c r="L15" s="565"/>
      <c r="M15" s="570"/>
      <c r="N15" s="572"/>
      <c r="O15" s="570"/>
      <c r="P15" s="570"/>
      <c r="Q15" s="645"/>
      <c r="R15" s="565"/>
      <c r="S15" s="570"/>
      <c r="T15" s="645"/>
      <c r="U15" s="565"/>
      <c r="V15" s="570"/>
      <c r="W15" s="645"/>
      <c r="X15" s="565"/>
      <c r="Y15" s="570"/>
      <c r="Z15" s="645"/>
      <c r="AA15" s="565"/>
      <c r="AB15" s="570"/>
      <c r="AC15" s="645"/>
      <c r="AD15" s="570"/>
      <c r="AE15" s="570"/>
      <c r="AF15" s="572"/>
      <c r="AG15" s="572"/>
      <c r="AH15" s="631"/>
      <c r="AI15" s="637"/>
      <c r="AJ15" s="637"/>
    </row>
    <row r="16" spans="1:51" s="638" customFormat="1" ht="18.75" x14ac:dyDescent="0.3">
      <c r="A16" s="635" t="s">
        <v>352</v>
      </c>
      <c r="B16" s="639">
        <v>33.517000000000003</v>
      </c>
      <c r="C16" s="636">
        <v>37.843000000000004</v>
      </c>
      <c r="D16" s="636">
        <f>IF(B16=0, "    ---- ", IF(ABS(ROUND(100/B16*C16-100,1))&lt;999,ROUND(100/B16*C16-100,1),IF(ROUND(100/B16*C16-100,1)&gt;999,999,-999)))</f>
        <v>12.9</v>
      </c>
      <c r="E16" s="561">
        <v>2157.3919999999998</v>
      </c>
      <c r="F16" s="571">
        <v>3647.3310000000001</v>
      </c>
      <c r="G16" s="571">
        <f>IF(E16=0, "    ---- ", IF(ABS(ROUND(100/E16*F16-100,1))&lt;999,ROUND(100/E16*F16-100,1),IF(ROUND(100/E16*F16-100,1)&gt;999,999,-999)))</f>
        <v>69.099999999999994</v>
      </c>
      <c r="H16" s="561"/>
      <c r="I16" s="571"/>
      <c r="J16" s="571"/>
      <c r="K16" s="560">
        <v>9.6</v>
      </c>
      <c r="L16" s="566">
        <v>15.2</v>
      </c>
      <c r="M16" s="571">
        <f>IF(K16=0, "    ---- ", IF(ABS(ROUND(100/K16*L16-100,1))&lt;999,ROUND(100/K16*L16-100,1),IF(ROUND(100/K16*L16-100,1)&gt;999,999,-999)))</f>
        <v>58.3</v>
      </c>
      <c r="N16" s="561">
        <v>34656.238074000001</v>
      </c>
      <c r="O16" s="571">
        <v>44313.762024000003</v>
      </c>
      <c r="P16" s="571">
        <f>IF(N16=0, "    ---- ", IF(ABS(ROUND(100/N16*O16-100,1))&lt;999,ROUND(100/N16*O16-100,1),IF(ROUND(100/N16*O16-100,1)&gt;999,999,-999)))</f>
        <v>27.9</v>
      </c>
      <c r="Q16" s="560">
        <v>14.8</v>
      </c>
      <c r="R16" s="566">
        <v>13.1</v>
      </c>
      <c r="S16" s="571">
        <f>IF(Q16=0, "    ---- ", IF(ABS(ROUND(100/Q16*R16-100,1))&lt;999,ROUND(100/Q16*R16-100,1),IF(ROUND(100/Q16*R16-100,1)&gt;999,999,-999)))</f>
        <v>-11.5</v>
      </c>
      <c r="T16" s="560">
        <v>1130</v>
      </c>
      <c r="U16" s="566">
        <v>1512</v>
      </c>
      <c r="V16" s="571">
        <f>IF(T16=0, "    ---- ", IF(ABS(ROUND(100/T16*U16-100,1))&lt;999,ROUND(100/T16*U16-100,1),IF(ROUND(100/T16*U16-100,1)&gt;999,999,-999)))</f>
        <v>33.799999999999997</v>
      </c>
      <c r="W16" s="560">
        <v>10520</v>
      </c>
      <c r="X16" s="566">
        <v>12170</v>
      </c>
      <c r="Y16" s="571">
        <f>IF(W16=0, "    ---- ", IF(ABS(ROUND(100/W16*X16-100,1))&lt;999,ROUND(100/W16*X16-100,1),IF(ROUND(100/W16*X16-100,1)&gt;999,999,-999)))</f>
        <v>15.7</v>
      </c>
      <c r="Z16" s="560">
        <v>2000.7460000000001</v>
      </c>
      <c r="AA16" s="566">
        <v>1947.19</v>
      </c>
      <c r="AB16" s="571">
        <f>IF(Z16=0, "    ---- ", IF(ABS(ROUND(100/Z16*AA16-100,1))&lt;999,ROUND(100/Z16*AA16-100,1),IF(ROUND(100/Z16*AA16-100,1)&gt;999,999,-999)))</f>
        <v>-2.7</v>
      </c>
      <c r="AC16" s="560">
        <v>2313</v>
      </c>
      <c r="AD16" s="571">
        <v>4312</v>
      </c>
      <c r="AE16" s="571">
        <f>IF(Z16=0, "    ---- ", IF(ABS(ROUND(100/Z16*AD16-100,1))&lt;999,ROUND(100/Z16*AD16-100,1),IF(ROUND(100/Z16*AD16-100,1)&gt;999,999,-999)))</f>
        <v>115.5</v>
      </c>
      <c r="AF16" s="561">
        <f>B16+E16+H16+K16+N16+Q16+T16+W16+Z16+AC16</f>
        <v>52835.293074000001</v>
      </c>
      <c r="AG16" s="561">
        <f>C16+F16+I16+L16+O16+R16+U16+X16+AA16+AD16</f>
        <v>67968.426024000015</v>
      </c>
      <c r="AH16" s="636">
        <f>IF(AF16=0, "    ---- ", IF(ABS(ROUND(100/AF16*AG16-100,1))&lt;999,ROUND(100/AF16*AG16-100,1),IF(ROUND(100/AF16*AG16-100,1)&gt;999,999,-999)))</f>
        <v>28.6</v>
      </c>
      <c r="AI16" s="637"/>
      <c r="AJ16" s="637"/>
    </row>
    <row r="17" spans="1:36" s="638" customFormat="1" ht="18.75" x14ac:dyDescent="0.3">
      <c r="A17" s="635"/>
      <c r="B17" s="639"/>
      <c r="C17" s="636"/>
      <c r="D17" s="636"/>
      <c r="E17" s="561"/>
      <c r="F17" s="571"/>
      <c r="G17" s="571"/>
      <c r="H17" s="561"/>
      <c r="I17" s="571"/>
      <c r="J17" s="571"/>
      <c r="K17" s="560"/>
      <c r="L17" s="566"/>
      <c r="M17" s="571"/>
      <c r="N17" s="561"/>
      <c r="O17" s="571"/>
      <c r="P17" s="571"/>
      <c r="Q17" s="560"/>
      <c r="R17" s="566"/>
      <c r="S17" s="571"/>
      <c r="T17" s="560"/>
      <c r="U17" s="566"/>
      <c r="V17" s="571"/>
      <c r="W17" s="560"/>
      <c r="X17" s="566"/>
      <c r="Y17" s="571"/>
      <c r="Z17" s="560"/>
      <c r="AA17" s="566"/>
      <c r="AB17" s="571"/>
      <c r="AC17" s="560"/>
      <c r="AD17" s="571"/>
      <c r="AE17" s="571"/>
      <c r="AF17" s="561"/>
      <c r="AG17" s="561"/>
      <c r="AH17" s="636"/>
      <c r="AI17" s="637"/>
      <c r="AJ17" s="637"/>
    </row>
    <row r="18" spans="1:36" s="638" customFormat="1" ht="18.75" x14ac:dyDescent="0.3">
      <c r="A18" s="640" t="s">
        <v>412</v>
      </c>
      <c r="B18" s="641"/>
      <c r="C18" s="642"/>
      <c r="D18" s="642"/>
      <c r="E18" s="573">
        <v>6332.6989999999996</v>
      </c>
      <c r="F18" s="574">
        <v>6388.451</v>
      </c>
      <c r="G18" s="574">
        <f>IF(E18=0, "    ---- ", IF(ABS(ROUND(100/E18*F18-100,1))&lt;999,ROUND(100/E18*F18-100,1),IF(ROUND(100/E18*F18-100,1)&gt;999,999,-999)))</f>
        <v>0.9</v>
      </c>
      <c r="H18" s="573"/>
      <c r="I18" s="574"/>
      <c r="J18" s="574"/>
      <c r="K18" s="536"/>
      <c r="L18" s="537"/>
      <c r="M18" s="574"/>
      <c r="N18" s="573">
        <v>-258</v>
      </c>
      <c r="O18" s="574">
        <v>394.88847181466099</v>
      </c>
      <c r="P18" s="574">
        <f>IF(N18=0, "    ---- ", IF(ABS(ROUND(100/N18*O18-100,1))&lt;999,ROUND(100/N18*O18-100,1),IF(ROUND(100/N18*O18-100,1)&gt;999,999,-999)))</f>
        <v>-253.1</v>
      </c>
      <c r="Q18" s="646">
        <v>38.5</v>
      </c>
      <c r="R18" s="567">
        <v>47</v>
      </c>
      <c r="S18" s="574">
        <f>IF(Q18=0, "    ---- ", IF(ABS(ROUND(100/Q18*R18-100,1))&lt;999,ROUND(100/Q18*R18-100,1),IF(ROUND(100/Q18*R18-100,1)&gt;999,999,-999)))</f>
        <v>22.1</v>
      </c>
      <c r="T18" s="646">
        <v>1189</v>
      </c>
      <c r="U18" s="567">
        <v>1389</v>
      </c>
      <c r="V18" s="574">
        <f>IF(T18=0, "    ---- ", IF(ABS(ROUND(100/T18*U18-100,1))&lt;999,ROUND(100/T18*U18-100,1),IF(ROUND(100/T18*U18-100,1)&gt;999,999,-999)))</f>
        <v>16.8</v>
      </c>
      <c r="W18" s="646">
        <f>746+87</f>
        <v>833</v>
      </c>
      <c r="X18" s="567">
        <v>734</v>
      </c>
      <c r="Y18" s="574">
        <f>IF(W18=0, "    ---- ", IF(ABS(ROUND(100/W18*X18-100,1))&lt;999,ROUND(100/W18*X18-100,1),IF(ROUND(100/W18*X18-100,1)&gt;999,999,-999)))</f>
        <v>-11.9</v>
      </c>
      <c r="Z18" s="646">
        <v>27.114000000000001</v>
      </c>
      <c r="AA18" s="567">
        <v>40.049999999999997</v>
      </c>
      <c r="AB18" s="574">
        <f>IF(Z18=0, "    ---- ", IF(ABS(ROUND(100/Z18*AA18-100,1))&lt;999,ROUND(100/Z18*AA18-100,1),IF(ROUND(100/Z18*AA18-100,1)&gt;999,999,-999)))</f>
        <v>47.7</v>
      </c>
      <c r="AC18" s="646">
        <v>6315</v>
      </c>
      <c r="AD18" s="574">
        <v>5863</v>
      </c>
      <c r="AE18" s="574">
        <f>IF(Z18=0, "    ---- ", IF(ABS(ROUND(100/Z18*AD18-100,1))&lt;999,ROUND(100/Z18*AD18-100,1),IF(ROUND(100/Z18*AD18-100,1)&gt;999,999,-999)))</f>
        <v>999</v>
      </c>
      <c r="AF18" s="573">
        <f>B18+E18+H18+K18+N18+Q18+T18+W18+Z18+AC18</f>
        <v>14477.312999999998</v>
      </c>
      <c r="AG18" s="573">
        <f>C18+F18+I18+L18+O18+R18+U18+X18+AA18+AD18</f>
        <v>14856.38947181466</v>
      </c>
      <c r="AH18" s="642">
        <f>IF(AF18=0, "    ---- ", IF(ABS(ROUND(100/AF18*AG18-100,1))&lt;999,ROUND(100/AF18*AG18-100,1),IF(ROUND(100/AF18*AG18-100,1)&gt;999,999,-999)))</f>
        <v>2.6</v>
      </c>
      <c r="AI18" s="637"/>
      <c r="AJ18" s="637"/>
    </row>
    <row r="19" spans="1:36" ht="18.75" x14ac:dyDescent="0.3">
      <c r="A19" s="643"/>
      <c r="N19" s="644"/>
      <c r="T19" s="644"/>
      <c r="AC19" s="644"/>
      <c r="AF19" s="644"/>
      <c r="AJ19" s="617"/>
    </row>
    <row r="20" spans="1:36" ht="20.100000000000001" customHeight="1" x14ac:dyDescent="0.2"/>
    <row r="21" spans="1:36" ht="20.100000000000001" customHeight="1" x14ac:dyDescent="0.2"/>
    <row r="22" spans="1:36" ht="20.100000000000001" customHeight="1" x14ac:dyDescent="0.2"/>
    <row r="23" spans="1:36" ht="20.100000000000001" customHeight="1" x14ac:dyDescent="0.2"/>
    <row r="24" spans="1:36" ht="20.100000000000001" customHeight="1" x14ac:dyDescent="0.2"/>
    <row r="25" spans="1:36" ht="20.100000000000001" customHeight="1" x14ac:dyDescent="0.2"/>
    <row r="26" spans="1:36" ht="20.100000000000001" customHeight="1" x14ac:dyDescent="0.2"/>
    <row r="27" spans="1:36" ht="20.100000000000001" customHeight="1" x14ac:dyDescent="0.2"/>
    <row r="28" spans="1:36" ht="20.100000000000001" customHeight="1" x14ac:dyDescent="0.2"/>
    <row r="29" spans="1:36" ht="20.100000000000001" customHeight="1" x14ac:dyDescent="0.2"/>
    <row r="30" spans="1:36" ht="20.100000000000001" customHeight="1" x14ac:dyDescent="0.2"/>
    <row r="31" spans="1:36" ht="20.100000000000001" customHeight="1" x14ac:dyDescent="0.2"/>
    <row r="32" spans="1:3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19.5" customHeight="1" x14ac:dyDescent="0.2"/>
    <row r="46" ht="19.5" customHeight="1" x14ac:dyDescent="0.2"/>
  </sheetData>
  <protectedRanges>
    <protectedRange sqref="B9:C10 B17:C18" name="Område1"/>
    <protectedRange sqref="B11:C16" name="Område1_1"/>
    <protectedRange sqref="E9:F10" name="Område1_8"/>
    <protectedRange sqref="E11:F18" name="Område1_2_2"/>
    <protectedRange sqref="H9:I13 H15:I18" name="Område1_9"/>
    <protectedRange sqref="H14:I14" name="Område1_4_2"/>
    <protectedRange sqref="K9:L10" name="Område1_10"/>
    <protectedRange sqref="K11:L18" name="Område1_7_2"/>
    <protectedRange sqref="N9:O10" name="Område1_2"/>
    <protectedRange sqref="N11:O18" name="Område1_3_2"/>
    <protectedRange sqref="T9:U10" name="Område1_4"/>
    <protectedRange sqref="T11:U18" name="Område1_5_2"/>
    <protectedRange sqref="W9:X10" name="Område1_3"/>
    <protectedRange sqref="W11:X18" name="Område1_6_2"/>
    <protectedRange sqref="Z9:AA18" name="Område1_9_1"/>
    <protectedRange sqref="AC9:AC18" name="Område1_9_2"/>
  </protectedRanges>
  <mergeCells count="30">
    <mergeCell ref="AT6:AV6"/>
    <mergeCell ref="AW6:AY6"/>
    <mergeCell ref="Z6:AB6"/>
    <mergeCell ref="AC6:AE6"/>
    <mergeCell ref="AF6:AH6"/>
    <mergeCell ref="AK6:AM6"/>
    <mergeCell ref="AN6:AP6"/>
    <mergeCell ref="AQ6:AS6"/>
    <mergeCell ref="AT5:AV5"/>
    <mergeCell ref="AW5:AY5"/>
    <mergeCell ref="B6:D6"/>
    <mergeCell ref="E6:G6"/>
    <mergeCell ref="H6:J6"/>
    <mergeCell ref="K6:M6"/>
    <mergeCell ref="N6:P6"/>
    <mergeCell ref="Q6:S6"/>
    <mergeCell ref="T6:V6"/>
    <mergeCell ref="W6:Y6"/>
    <mergeCell ref="Z5:AB5"/>
    <mergeCell ref="AC5:AE5"/>
    <mergeCell ref="AF5:AH5"/>
    <mergeCell ref="AK5:AM5"/>
    <mergeCell ref="AN5:AP5"/>
    <mergeCell ref="AQ5:AS5"/>
    <mergeCell ref="W5:Y5"/>
    <mergeCell ref="B5:D5"/>
    <mergeCell ref="E5:G5"/>
    <mergeCell ref="H5:J5"/>
    <mergeCell ref="K5:M5"/>
    <mergeCell ref="Q5:S5"/>
  </mergeCells>
  <hyperlinks>
    <hyperlink ref="B1" location="Innhold!A1" display="Tilbake" xr:uid="{D9E00B81-A10A-405D-B4BD-BFEFBE0D501C}"/>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50"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2"/>
      <c r="D2" s="322"/>
      <c r="E2" s="322"/>
    </row>
    <row r="3" spans="1:17" x14ac:dyDescent="0.2">
      <c r="A3" s="43" t="s">
        <v>51</v>
      </c>
    </row>
    <row r="4" spans="1:17" x14ac:dyDescent="0.2">
      <c r="C4" s="322"/>
      <c r="D4" s="322"/>
      <c r="E4" s="322"/>
      <c r="F4" s="322"/>
      <c r="G4" s="322"/>
      <c r="H4" s="322"/>
      <c r="I4" s="322"/>
      <c r="J4" s="322"/>
      <c r="K4" s="322"/>
    </row>
    <row r="6" spans="1:17" ht="15.75" x14ac:dyDescent="0.25">
      <c r="C6" s="329" t="s">
        <v>16</v>
      </c>
      <c r="D6" s="3"/>
      <c r="E6" s="329"/>
    </row>
    <row r="7" spans="1:17" ht="18.75" customHeight="1" x14ac:dyDescent="0.2">
      <c r="C7" s="3"/>
      <c r="D7" s="3"/>
      <c r="E7" s="50"/>
    </row>
    <row r="8" spans="1:17" ht="15.75" x14ac:dyDescent="0.25">
      <c r="B8" s="323">
        <v>1</v>
      </c>
      <c r="C8" s="324" t="s">
        <v>357</v>
      </c>
      <c r="E8" s="333"/>
    </row>
    <row r="9" spans="1:17" ht="31.5" x14ac:dyDescent="0.2">
      <c r="B9" s="323">
        <v>2</v>
      </c>
      <c r="C9" s="326" t="s">
        <v>283</v>
      </c>
      <c r="E9" s="8"/>
      <c r="Q9" s="3"/>
    </row>
    <row r="10" spans="1:17" ht="47.25" x14ac:dyDescent="0.2">
      <c r="B10" s="323">
        <v>3</v>
      </c>
      <c r="C10" s="324" t="s">
        <v>284</v>
      </c>
      <c r="E10" s="8"/>
    </row>
    <row r="11" spans="1:17" ht="47.25" x14ac:dyDescent="0.2">
      <c r="B11" s="323">
        <v>4</v>
      </c>
      <c r="C11" s="326" t="s">
        <v>285</v>
      </c>
      <c r="E11" s="8"/>
    </row>
    <row r="12" spans="1:17" ht="31.5" x14ac:dyDescent="0.2">
      <c r="B12" s="323">
        <v>5</v>
      </c>
      <c r="C12" s="324" t="s">
        <v>21</v>
      </c>
      <c r="E12" s="3"/>
    </row>
    <row r="13" spans="1:17" ht="15.75" x14ac:dyDescent="0.2">
      <c r="B13" s="323">
        <v>6</v>
      </c>
      <c r="C13" s="324" t="s">
        <v>358</v>
      </c>
      <c r="E13" s="3"/>
    </row>
    <row r="14" spans="1:17" ht="15.75" x14ac:dyDescent="0.2">
      <c r="B14" s="323">
        <v>7</v>
      </c>
      <c r="C14" s="324" t="s">
        <v>17</v>
      </c>
    </row>
    <row r="15" spans="1:17" ht="18.75" customHeight="1" x14ac:dyDescent="0.2">
      <c r="B15" s="323">
        <v>8</v>
      </c>
      <c r="C15" s="324" t="s">
        <v>18</v>
      </c>
    </row>
    <row r="16" spans="1:17" ht="18.75" customHeight="1" x14ac:dyDescent="0.2">
      <c r="B16" s="323">
        <v>9</v>
      </c>
      <c r="C16" s="324" t="s">
        <v>22</v>
      </c>
    </row>
    <row r="17" spans="2:9" ht="63" x14ac:dyDescent="0.25">
      <c r="B17" s="323">
        <v>10</v>
      </c>
      <c r="C17" s="324" t="s">
        <v>367</v>
      </c>
      <c r="E17" s="329"/>
    </row>
    <row r="18" spans="2:9" ht="15.75" x14ac:dyDescent="0.2">
      <c r="B18" s="323">
        <v>11</v>
      </c>
      <c r="C18" s="324" t="s">
        <v>19</v>
      </c>
      <c r="E18" s="8"/>
    </row>
    <row r="19" spans="2:9" ht="15.75" x14ac:dyDescent="0.2">
      <c r="B19" s="323">
        <v>12</v>
      </c>
      <c r="C19" s="324" t="s">
        <v>287</v>
      </c>
      <c r="E19" s="8"/>
    </row>
    <row r="20" spans="2:9" ht="15.75" x14ac:dyDescent="0.2">
      <c r="B20" s="323">
        <v>13</v>
      </c>
      <c r="C20" s="324" t="s">
        <v>20</v>
      </c>
      <c r="E20" s="3"/>
    </row>
    <row r="21" spans="2:9" ht="47.25" x14ac:dyDescent="0.2">
      <c r="B21" s="323">
        <v>14</v>
      </c>
      <c r="C21" s="324" t="s">
        <v>288</v>
      </c>
      <c r="E21" s="334"/>
    </row>
    <row r="22" spans="2:9" ht="31.5" x14ac:dyDescent="0.2">
      <c r="B22" s="323">
        <v>15</v>
      </c>
      <c r="C22" s="326" t="s">
        <v>346</v>
      </c>
      <c r="E22" s="3"/>
    </row>
    <row r="23" spans="2:9" ht="15.75" x14ac:dyDescent="0.25">
      <c r="B23" s="323">
        <v>16</v>
      </c>
      <c r="C23" s="328" t="s">
        <v>286</v>
      </c>
      <c r="D23" s="327"/>
      <c r="E23" s="322"/>
      <c r="F23" s="327"/>
      <c r="G23" s="2"/>
      <c r="H23" s="2"/>
      <c r="I23" s="2"/>
    </row>
    <row r="24" spans="2:9" ht="18.75" customHeight="1" x14ac:dyDescent="0.25">
      <c r="B24" s="325">
        <v>17</v>
      </c>
      <c r="C24" s="328" t="s">
        <v>289</v>
      </c>
    </row>
    <row r="25" spans="2:9" ht="18.75" customHeight="1" x14ac:dyDescent="0.25">
      <c r="B25" s="325"/>
      <c r="C25" s="331"/>
    </row>
    <row r="26" spans="2:9" ht="18.75" customHeight="1" x14ac:dyDescent="0.25">
      <c r="B26" s="325"/>
      <c r="C26" s="346"/>
    </row>
    <row r="27" spans="2:9" ht="18.75" customHeight="1" x14ac:dyDescent="0.2">
      <c r="C27" s="331"/>
    </row>
    <row r="28" spans="2:9" ht="18.75" customHeight="1" x14ac:dyDescent="0.2">
      <c r="C28" s="331"/>
    </row>
    <row r="29" spans="2:9" ht="18.75" customHeight="1" x14ac:dyDescent="0.2">
      <c r="C29" s="33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2"/>
      <c r="E50" s="322"/>
      <c r="F50" s="322"/>
      <c r="G50" s="322"/>
      <c r="H50" s="322"/>
      <c r="I50" s="322"/>
      <c r="J50" s="322"/>
      <c r="K50" s="322"/>
      <c r="L50" s="322"/>
      <c r="M50" s="322"/>
      <c r="N50" s="32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08"/>
  <sheetViews>
    <sheetView showGridLines="0" showZeros="0" zoomScale="70" zoomScaleNormal="70" workbookViewId="0">
      <pane ySplit="7" topLeftCell="A8" activePane="bottomLeft" state="frozen"/>
      <selection activeCell="J44" sqref="J44"/>
      <selection pane="bottomLeft" activeCell="C20" sqref="C20"/>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9" style="87" bestFit="1" customWidth="1"/>
    <col min="6" max="6" width="4.7109375" style="87" customWidth="1"/>
    <col min="7" max="7" width="18.42578125" style="87" customWidth="1"/>
    <col min="8" max="8" width="17.85546875" style="87" customWidth="1"/>
    <col min="9" max="9" width="8.7109375" style="87" customWidth="1"/>
    <col min="10" max="10" width="9" style="87" bestFit="1" customWidth="1"/>
    <col min="11" max="11" width="13.42578125" style="87" hidden="1" customWidth="1"/>
    <col min="12" max="12" width="14.85546875" style="185" hidden="1" customWidth="1"/>
    <col min="13" max="13" width="13.85546875" style="185" hidden="1" customWidth="1"/>
    <col min="14" max="15" width="15.7109375" style="185" hidden="1" customWidth="1"/>
    <col min="16" max="16" width="11.42578125" style="87" hidden="1" customWidth="1"/>
    <col min="17" max="19" width="11.42578125" style="87" customWidth="1"/>
    <col min="20" max="16384" width="11.42578125" style="87"/>
  </cols>
  <sheetData>
    <row r="1" spans="1:16" ht="20.25" x14ac:dyDescent="0.3">
      <c r="A1" s="80" t="s">
        <v>79</v>
      </c>
      <c r="B1" s="73" t="s">
        <v>52</v>
      </c>
      <c r="C1" s="74"/>
      <c r="D1" s="74"/>
      <c r="E1" s="74"/>
      <c r="F1" s="74"/>
      <c r="G1" s="74"/>
      <c r="H1" s="74"/>
      <c r="I1" s="74"/>
      <c r="J1" s="74"/>
      <c r="K1" s="74"/>
    </row>
    <row r="2" spans="1:16" ht="20.25" x14ac:dyDescent="0.3">
      <c r="A2" s="80" t="s">
        <v>80</v>
      </c>
      <c r="B2" s="74"/>
      <c r="C2" s="74"/>
      <c r="D2" s="74"/>
      <c r="E2" s="74"/>
      <c r="F2" s="74"/>
      <c r="G2" s="74"/>
      <c r="H2" s="74"/>
      <c r="I2" s="74"/>
      <c r="J2" s="74"/>
      <c r="K2" s="74"/>
    </row>
    <row r="3" spans="1:16" ht="18.75" x14ac:dyDescent="0.3">
      <c r="A3" s="663" t="s">
        <v>81</v>
      </c>
      <c r="B3" s="663"/>
      <c r="C3" s="74"/>
      <c r="D3" s="74"/>
      <c r="E3" s="74"/>
      <c r="F3" s="74"/>
      <c r="G3" s="74"/>
      <c r="H3" s="74"/>
      <c r="I3" s="74"/>
      <c r="J3" s="74"/>
      <c r="K3" s="74"/>
    </row>
    <row r="4" spans="1:16" ht="18.75" x14ac:dyDescent="0.3">
      <c r="A4" s="82" t="s">
        <v>413</v>
      </c>
      <c r="B4" s="83"/>
      <c r="C4" s="84"/>
      <c r="D4" s="84"/>
      <c r="E4" s="85"/>
      <c r="F4" s="86"/>
      <c r="G4" s="83"/>
      <c r="H4" s="84"/>
      <c r="I4" s="84"/>
      <c r="J4" s="85"/>
      <c r="K4" s="112"/>
      <c r="L4" s="208"/>
      <c r="M4" s="209"/>
      <c r="N4" s="210"/>
      <c r="O4" s="209"/>
    </row>
    <row r="5" spans="1:16" ht="22.5" x14ac:dyDescent="0.3">
      <c r="A5" s="88"/>
      <c r="B5" s="664" t="s">
        <v>82</v>
      </c>
      <c r="C5" s="665"/>
      <c r="D5" s="665"/>
      <c r="E5" s="666"/>
      <c r="F5" s="90"/>
      <c r="G5" s="664" t="s">
        <v>401</v>
      </c>
      <c r="H5" s="665"/>
      <c r="I5" s="665"/>
      <c r="J5" s="666"/>
      <c r="K5" s="89"/>
      <c r="L5" s="667" t="s">
        <v>143</v>
      </c>
      <c r="M5" s="662"/>
      <c r="N5" s="661" t="s">
        <v>144</v>
      </c>
      <c r="O5" s="662"/>
    </row>
    <row r="6" spans="1:16" ht="18.75" x14ac:dyDescent="0.3">
      <c r="A6" s="91"/>
      <c r="B6" s="92"/>
      <c r="C6" s="93"/>
      <c r="D6" s="93" t="s">
        <v>83</v>
      </c>
      <c r="E6" s="94" t="s">
        <v>29</v>
      </c>
      <c r="F6" s="95"/>
      <c r="G6" s="92"/>
      <c r="H6" s="93"/>
      <c r="I6" s="93" t="s">
        <v>83</v>
      </c>
      <c r="J6" s="94" t="s">
        <v>29</v>
      </c>
      <c r="K6" s="100"/>
      <c r="L6" s="211"/>
      <c r="M6" s="212"/>
      <c r="N6" s="213"/>
      <c r="O6" s="212"/>
    </row>
    <row r="7" spans="1:16" ht="15.75" x14ac:dyDescent="0.25">
      <c r="A7" s="96" t="s">
        <v>84</v>
      </c>
      <c r="B7" s="97">
        <v>2018</v>
      </c>
      <c r="C7" s="97">
        <v>2019</v>
      </c>
      <c r="D7" s="98" t="s">
        <v>85</v>
      </c>
      <c r="E7" s="99" t="s">
        <v>30</v>
      </c>
      <c r="F7" s="95"/>
      <c r="G7" s="97">
        <v>2018</v>
      </c>
      <c r="H7" s="97">
        <v>2019</v>
      </c>
      <c r="I7" s="98" t="s">
        <v>85</v>
      </c>
      <c r="J7" s="99" t="s">
        <v>30</v>
      </c>
      <c r="K7" s="100"/>
      <c r="L7" s="214">
        <v>2015</v>
      </c>
      <c r="M7" s="215">
        <v>2016</v>
      </c>
      <c r="N7" s="216">
        <v>2015</v>
      </c>
      <c r="O7" s="215">
        <v>2016</v>
      </c>
      <c r="P7" s="87" t="s">
        <v>147</v>
      </c>
    </row>
    <row r="8" spans="1:16" ht="18.75" x14ac:dyDescent="0.3">
      <c r="A8" s="101" t="s">
        <v>0</v>
      </c>
      <c r="B8" s="129"/>
      <c r="C8" s="103"/>
      <c r="D8" s="104"/>
      <c r="E8" s="353"/>
      <c r="F8" s="176"/>
      <c r="G8" s="129"/>
      <c r="H8" s="129"/>
      <c r="I8" s="103"/>
      <c r="J8" s="353"/>
      <c r="K8" s="139"/>
      <c r="L8" s="217" t="s">
        <v>0</v>
      </c>
      <c r="M8" s="218"/>
      <c r="N8" s="219"/>
      <c r="O8" s="218"/>
      <c r="P8" s="87" t="s">
        <v>154</v>
      </c>
    </row>
    <row r="9" spans="1:16" ht="18.75" x14ac:dyDescent="0.3">
      <c r="A9" s="190" t="s">
        <v>86</v>
      </c>
      <c r="B9" s="176">
        <f>'Danica Pensjonsforsikring'!B7+'Danica Pensjonsforsikring'!B22+'Danica Pensjonsforsikring'!B36+'Danica Pensjonsforsikring'!B47+'Danica Pensjonsforsikring'!B66+'Danica Pensjonsforsikring'!B134</f>
        <v>105522.829</v>
      </c>
      <c r="C9" s="176">
        <f>'Danica Pensjonsforsikring'!C7+'Danica Pensjonsforsikring'!C22+'Danica Pensjonsforsikring'!C36+'Danica Pensjonsforsikring'!C47+'Danica Pensjonsforsikring'!C66+'Danica Pensjonsforsikring'!C134</f>
        <v>106551.42599999999</v>
      </c>
      <c r="D9" s="104">
        <f t="shared" ref="D9:D30" si="0">IF(B9=0, "    ---- ", IF(ABS(ROUND(100/B9*C9-100,1))&lt;999,ROUND(100/B9*C9-100,1),IF(ROUND(100/B9*C9-100,1)&gt;999,999,-999)))</f>
        <v>1</v>
      </c>
      <c r="E9" s="353">
        <f t="shared" ref="E9:E29" si="1">100/C$30*C9</f>
        <v>0.66479349185744185</v>
      </c>
      <c r="F9" s="103"/>
      <c r="G9" s="176">
        <f>'Danica Pensjonsforsikring'!B10+'Danica Pensjonsforsikring'!B29+'Danica Pensjonsforsikring'!B37+'Danica Pensjonsforsikring'!B87+'Danica Pensjonsforsikring'!B135</f>
        <v>1056297.5660000001</v>
      </c>
      <c r="H9" s="176">
        <f>'Danica Pensjonsforsikring'!C10+'Danica Pensjonsforsikring'!C29+'Danica Pensjonsforsikring'!C37+'Danica Pensjonsforsikring'!C87+'Danica Pensjonsforsikring'!C135</f>
        <v>1186547.58</v>
      </c>
      <c r="I9" s="104">
        <f t="shared" ref="I9:I30" si="2">IF(G9=0, "    ---- ", IF(ABS(ROUND(100/G9*H9-100,1))&lt;999,ROUND(100/G9*H9-100,1),IF(ROUND(100/G9*H9-100,1)&gt;999,999,-999)))</f>
        <v>12.3</v>
      </c>
      <c r="J9" s="353">
        <f t="shared" ref="J9:J29" si="3">100/H$30*H9</f>
        <v>0.11678394688170748</v>
      </c>
      <c r="K9" s="205" t="s">
        <v>151</v>
      </c>
      <c r="L9" s="220">
        <f t="shared" ref="L9:L29" ca="1" si="4">INDIRECT("'" &amp; $A9 &amp; "'!" &amp; $P$7)</f>
        <v>0</v>
      </c>
      <c r="M9" s="218">
        <f t="shared" ref="M9:M29" ca="1" si="5">INDIRECT("'" &amp; $A9 &amp; "'!" &amp; $P$8)</f>
        <v>0</v>
      </c>
      <c r="N9" s="220" t="e">
        <f ca="1">INDIRECT("'" &amp; $A9 &amp; "'!" &amp;#REF!)</f>
        <v>#REF!</v>
      </c>
      <c r="O9" s="218">
        <f t="shared" ref="O9:O29" ca="1" si="6">INDIRECT("'" &amp; $A9 &amp; "'!" &amp; $P$9)</f>
        <v>0</v>
      </c>
      <c r="P9" s="87" t="s">
        <v>162</v>
      </c>
    </row>
    <row r="10" spans="1:16" ht="18.75" x14ac:dyDescent="0.3">
      <c r="A10" s="190" t="s">
        <v>87</v>
      </c>
      <c r="B10" s="176">
        <f>'DNB Livsforsikring'!B7+'DNB Livsforsikring'!B22+'DNB Livsforsikring'!B36+'DNB Livsforsikring'!B47+'DNB Livsforsikring'!B66+'DNB Livsforsikring'!B134</f>
        <v>1773028</v>
      </c>
      <c r="C10" s="176">
        <f>'DNB Livsforsikring'!C7+'DNB Livsforsikring'!C22+'DNB Livsforsikring'!C36+'DNB Livsforsikring'!C47+'DNB Livsforsikring'!C66+'DNB Livsforsikring'!C134</f>
        <v>1720403.8</v>
      </c>
      <c r="D10" s="104">
        <f t="shared" si="0"/>
        <v>-3</v>
      </c>
      <c r="E10" s="353">
        <f t="shared" si="1"/>
        <v>10.733908428469197</v>
      </c>
      <c r="F10" s="103"/>
      <c r="G10" s="176">
        <f>'DNB Livsforsikring'!B10+'DNB Livsforsikring'!B29+'DNB Livsforsikring'!B37+'DNB Livsforsikring'!B87+'DNB Livsforsikring'!B135</f>
        <v>203084238.5</v>
      </c>
      <c r="H10" s="176">
        <f>'DNB Livsforsikring'!C10+'DNB Livsforsikring'!C29+'DNB Livsforsikring'!C37+'DNB Livsforsikring'!C87+'DNB Livsforsikring'!C135</f>
        <v>200343540.27200001</v>
      </c>
      <c r="I10" s="104">
        <f t="shared" si="2"/>
        <v>-1.3</v>
      </c>
      <c r="J10" s="353">
        <f t="shared" si="3"/>
        <v>19.718475482642233</v>
      </c>
      <c r="K10" s="87" t="s">
        <v>145</v>
      </c>
      <c r="L10" s="220">
        <f t="shared" ca="1" si="4"/>
        <v>0</v>
      </c>
      <c r="M10" s="218">
        <f t="shared" ca="1" si="5"/>
        <v>0</v>
      </c>
      <c r="N10" s="220" t="e">
        <f ca="1">INDIRECT("'" &amp; $A10 &amp; "'!" &amp;#REF!)</f>
        <v>#REF!</v>
      </c>
      <c r="O10" s="218">
        <f t="shared" ca="1" si="6"/>
        <v>0</v>
      </c>
    </row>
    <row r="11" spans="1:16" ht="18.75" x14ac:dyDescent="0.3">
      <c r="A11" s="190" t="s">
        <v>88</v>
      </c>
      <c r="B11" s="176">
        <f>'Eika Forsikring AS'!B7+'Eika Forsikring AS'!B22+'Eika Forsikring AS'!B36+'Eika Forsikring AS'!B47+'Eika Forsikring AS'!B66+'Eika Forsikring AS'!B134</f>
        <v>66623</v>
      </c>
      <c r="C11" s="176">
        <f>'Eika Forsikring AS'!C7+'Eika Forsikring AS'!C22+'Eika Forsikring AS'!C36+'Eika Forsikring AS'!C47+'Eika Forsikring AS'!C66+'Eika Forsikring AS'!C134</f>
        <v>73468</v>
      </c>
      <c r="D11" s="104">
        <f t="shared" si="0"/>
        <v>10.3</v>
      </c>
      <c r="E11" s="353">
        <f t="shared" si="1"/>
        <v>0.45838005264971804</v>
      </c>
      <c r="F11" s="103"/>
      <c r="G11" s="176">
        <f>'Eika Forsikring AS'!B10+'Eika Forsikring AS'!B29+'Eika Forsikring AS'!B37+'Eika Forsikring AS'!B87+'Eika Forsikring AS'!B135</f>
        <v>0</v>
      </c>
      <c r="H11" s="176">
        <f>'Eika Forsikring AS'!C10+'Eika Forsikring AS'!C29+'Eika Forsikring AS'!C37+'Eika Forsikring AS'!C87+'Eika Forsikring AS'!C135</f>
        <v>0</v>
      </c>
      <c r="I11" s="104"/>
      <c r="J11" s="353">
        <f t="shared" si="3"/>
        <v>0</v>
      </c>
      <c r="K11" s="87" t="s">
        <v>152</v>
      </c>
      <c r="L11" s="220">
        <f t="shared" ca="1" si="4"/>
        <v>0</v>
      </c>
      <c r="M11" s="218">
        <f t="shared" ca="1" si="5"/>
        <v>0</v>
      </c>
      <c r="N11" s="220" t="e">
        <f ca="1">INDIRECT("'" &amp; $A11 &amp; "'!" &amp;#REF!)</f>
        <v>#REF!</v>
      </c>
      <c r="O11" s="218">
        <f t="shared" ca="1" si="6"/>
        <v>0</v>
      </c>
    </row>
    <row r="12" spans="1:16" ht="18.75" x14ac:dyDescent="0.3">
      <c r="A12" s="190" t="s">
        <v>89</v>
      </c>
      <c r="B12" s="177">
        <f>'Frende Livsforsikring'!B7+'Frende Livsforsikring'!B22+'Frende Livsforsikring'!B36+'Frende Livsforsikring'!B47+'Frende Livsforsikring'!B66+'Frende Livsforsikring'!B134</f>
        <v>460011</v>
      </c>
      <c r="C12" s="177">
        <f>'Frende Livsforsikring'!C7+'Frende Livsforsikring'!C22+'Frende Livsforsikring'!C36+'Frende Livsforsikring'!C47+'Frende Livsforsikring'!C66+'Frende Livsforsikring'!C134</f>
        <v>493427</v>
      </c>
      <c r="D12" s="104">
        <f t="shared" si="0"/>
        <v>7.3</v>
      </c>
      <c r="E12" s="353">
        <f t="shared" si="1"/>
        <v>3.0785797114225573</v>
      </c>
      <c r="F12" s="103"/>
      <c r="G12" s="176">
        <f>'Frende Livsforsikring'!B10+'Frende Livsforsikring'!B29+'Frende Livsforsikring'!B37+'Frende Livsforsikring'!B87+'Frende Livsforsikring'!B135</f>
        <v>1014744</v>
      </c>
      <c r="H12" s="176">
        <f>'Frende Livsforsikring'!C10+'Frende Livsforsikring'!C29+'Frende Livsforsikring'!C37+'Frende Livsforsikring'!C87+'Frende Livsforsikring'!C135</f>
        <v>1154102.79</v>
      </c>
      <c r="I12" s="104">
        <f t="shared" si="2"/>
        <v>13.7</v>
      </c>
      <c r="J12" s="353">
        <f t="shared" si="3"/>
        <v>0.11359062307757638</v>
      </c>
      <c r="K12" s="87" t="s">
        <v>146</v>
      </c>
      <c r="L12" s="220">
        <f t="shared" ca="1" si="4"/>
        <v>0</v>
      </c>
      <c r="M12" s="218">
        <f t="shared" ca="1" si="5"/>
        <v>0</v>
      </c>
      <c r="N12" s="220" t="e">
        <f ca="1">INDIRECT("'" &amp; $A12 &amp; "'!" &amp;#REF!)</f>
        <v>#REF!</v>
      </c>
      <c r="O12" s="218">
        <f t="shared" ca="1" si="6"/>
        <v>0</v>
      </c>
    </row>
    <row r="13" spans="1:16" ht="18.75" x14ac:dyDescent="0.3">
      <c r="A13" s="190" t="s">
        <v>90</v>
      </c>
      <c r="B13" s="176">
        <f>'Frende Skadeforsikring'!B7+'Frende Skadeforsikring'!B22+'Frende Skadeforsikring'!B36+'Frende Skadeforsikring'!B47+'Frende Skadeforsikring'!B66+'Frende Skadeforsikring'!B134</f>
        <v>4814</v>
      </c>
      <c r="C13" s="176">
        <f>'Frende Skadeforsikring'!C7+'Frende Skadeforsikring'!C22+'Frende Skadeforsikring'!C36+'Frende Skadeforsikring'!C47+'Frende Skadeforsikring'!C66+'Frende Skadeforsikring'!C134</f>
        <v>1699</v>
      </c>
      <c r="D13" s="104">
        <f t="shared" si="0"/>
        <v>-64.7</v>
      </c>
      <c r="E13" s="353">
        <f t="shared" si="1"/>
        <v>1.0600366274457873E-2</v>
      </c>
      <c r="F13" s="103"/>
      <c r="G13" s="176">
        <f>'Frende Skadeforsikring'!B10+'Frende Skadeforsikring'!B29+'Frende Skadeforsikring'!B37+'Frende Skadeforsikring'!B87+'Frende Skadeforsikring'!B135</f>
        <v>0</v>
      </c>
      <c r="H13" s="176">
        <f>'Frende Skadeforsikring'!C10+'Frende Skadeforsikring'!C29+'Frende Skadeforsikring'!C37+'Frende Skadeforsikring'!C87+'Frende Skadeforsikring'!C135</f>
        <v>0</v>
      </c>
      <c r="I13" s="104"/>
      <c r="J13" s="353">
        <f t="shared" si="3"/>
        <v>0</v>
      </c>
      <c r="K13" s="87" t="s">
        <v>153</v>
      </c>
      <c r="L13" s="220">
        <f t="shared" ca="1" si="4"/>
        <v>0</v>
      </c>
      <c r="M13" s="218">
        <f t="shared" ca="1" si="5"/>
        <v>0</v>
      </c>
      <c r="N13" s="220" t="e">
        <f ca="1">INDIRECT("'" &amp; $A13 &amp; "'!" &amp;#REF!)</f>
        <v>#REF!</v>
      </c>
      <c r="O13" s="218">
        <f t="shared" ca="1" si="6"/>
        <v>0</v>
      </c>
    </row>
    <row r="14" spans="1:16" ht="18.75" x14ac:dyDescent="0.3">
      <c r="A14" s="190" t="s">
        <v>91</v>
      </c>
      <c r="B14" s="176">
        <f>'Gjensidige Forsikring'!B7+'Gjensidige Forsikring'!B22+'Gjensidige Forsikring'!B36+'Gjensidige Forsikring'!B47+'Gjensidige Forsikring'!B66+'Gjensidige Forsikring'!B134</f>
        <v>1052245</v>
      </c>
      <c r="C14" s="176">
        <f>'Gjensidige Forsikring'!C7+'Gjensidige Forsikring'!C22+'Gjensidige Forsikring'!C36+'Gjensidige Forsikring'!C47+'Gjensidige Forsikring'!C66+'Gjensidige Forsikring'!C134</f>
        <v>1031602</v>
      </c>
      <c r="D14" s="104">
        <f t="shared" si="0"/>
        <v>-2</v>
      </c>
      <c r="E14" s="353">
        <f t="shared" si="1"/>
        <v>6.4363502351167101</v>
      </c>
      <c r="F14" s="103"/>
      <c r="G14" s="176">
        <f>'Gjensidige Forsikring'!B10+'Gjensidige Forsikring'!B29+'Gjensidige Forsikring'!B37+'Gjensidige Forsikring'!B87+'Gjensidige Forsikring'!B135</f>
        <v>0</v>
      </c>
      <c r="H14" s="176">
        <f>'Gjensidige Forsikring'!C10+'Gjensidige Forsikring'!C29+'Gjensidige Forsikring'!C37+'Gjensidige Forsikring'!C87+'Gjensidige Forsikring'!C135</f>
        <v>0</v>
      </c>
      <c r="I14" s="104"/>
      <c r="J14" s="353">
        <f t="shared" si="3"/>
        <v>0</v>
      </c>
      <c r="K14" s="87" t="s">
        <v>147</v>
      </c>
      <c r="L14" s="220">
        <f t="shared" ca="1" si="4"/>
        <v>0</v>
      </c>
      <c r="M14" s="218">
        <f t="shared" ca="1" si="5"/>
        <v>0</v>
      </c>
      <c r="N14" s="220" t="e">
        <f ca="1">INDIRECT("'" &amp; $A14 &amp; "'!" &amp;#REF!)</f>
        <v>#REF!</v>
      </c>
      <c r="O14" s="218">
        <f t="shared" ca="1" si="6"/>
        <v>0</v>
      </c>
    </row>
    <row r="15" spans="1:16" ht="18.75" x14ac:dyDescent="0.3">
      <c r="A15" s="190" t="s">
        <v>92</v>
      </c>
      <c r="B15" s="176">
        <f>'Gjensidige Pensjon'!B7+'Gjensidige Pensjon'!B22+'Gjensidige Pensjon'!B36+'Gjensidige Pensjon'!B47+'Gjensidige Pensjon'!B66+'Gjensidige Pensjon'!B134</f>
        <v>178625</v>
      </c>
      <c r="C15" s="176">
        <f>'Gjensidige Pensjon'!C7+'Gjensidige Pensjon'!C22+'Gjensidige Pensjon'!C36+'Gjensidige Pensjon'!C47+'Gjensidige Pensjon'!C66+'Gjensidige Pensjon'!C134</f>
        <v>201661</v>
      </c>
      <c r="D15" s="104">
        <f t="shared" si="0"/>
        <v>12.9</v>
      </c>
      <c r="E15" s="353">
        <f t="shared" si="1"/>
        <v>1.2581992132274569</v>
      </c>
      <c r="F15" s="103"/>
      <c r="G15" s="176">
        <f>'Gjensidige Pensjon'!B10+'Gjensidige Pensjon'!B29+'Gjensidige Pensjon'!B37+'Gjensidige Pensjon'!B87+'Gjensidige Pensjon'!B135</f>
        <v>6138522</v>
      </c>
      <c r="H15" s="176">
        <f>'Gjensidige Pensjon'!C10+'Gjensidige Pensjon'!C29+'Gjensidige Pensjon'!C37+'Gjensidige Pensjon'!C87+'Gjensidige Pensjon'!C135</f>
        <v>6798454</v>
      </c>
      <c r="I15" s="104">
        <f t="shared" si="2"/>
        <v>10.8</v>
      </c>
      <c r="J15" s="353">
        <f t="shared" si="3"/>
        <v>0.66912638329575602</v>
      </c>
      <c r="K15" s="87" t="s">
        <v>154</v>
      </c>
      <c r="L15" s="220">
        <f t="shared" ca="1" si="4"/>
        <v>0</v>
      </c>
      <c r="M15" s="218">
        <f t="shared" ca="1" si="5"/>
        <v>0</v>
      </c>
      <c r="N15" s="220" t="e">
        <f ca="1">INDIRECT("'" &amp; $A15 &amp; "'!" &amp;#REF!)</f>
        <v>#REF!</v>
      </c>
      <c r="O15" s="218">
        <f t="shared" ca="1" si="6"/>
        <v>0</v>
      </c>
    </row>
    <row r="16" spans="1:16" ht="18.75" x14ac:dyDescent="0.3">
      <c r="A16" s="190" t="s">
        <v>93</v>
      </c>
      <c r="B16" s="176">
        <f>'Handelsbanken Liv'!B7+'Handelsbanken Liv'!B22+'Handelsbanken Liv'!B36+'Handelsbanken Liv'!B47+'Handelsbanken Liv'!B66+'Handelsbanken Liv'!B134</f>
        <v>10248</v>
      </c>
      <c r="C16" s="176">
        <f>'Handelsbanken Liv'!C7+'Handelsbanken Liv'!C22+'Handelsbanken Liv'!C36+'Handelsbanken Liv'!C47+'Handelsbanken Liv'!C66+'Handelsbanken Liv'!C134</f>
        <v>9227.8753499999984</v>
      </c>
      <c r="D16" s="104">
        <f t="shared" si="0"/>
        <v>-10</v>
      </c>
      <c r="E16" s="353">
        <f t="shared" si="1"/>
        <v>5.7574372363178999E-2</v>
      </c>
      <c r="F16" s="103"/>
      <c r="G16" s="176">
        <f>'Handelsbanken Liv'!B10+'Handelsbanken Liv'!B29+'Handelsbanken Liv'!B37+'Handelsbanken Liv'!B87+'Handelsbanken Liv'!B135</f>
        <v>23193</v>
      </c>
      <c r="H16" s="176">
        <f>'Handelsbanken Liv'!C10+'Handelsbanken Liv'!C29+'Handelsbanken Liv'!C37+'Handelsbanken Liv'!C87+'Handelsbanken Liv'!C135</f>
        <v>24156.061791620199</v>
      </c>
      <c r="I16" s="104">
        <f t="shared" si="2"/>
        <v>4.2</v>
      </c>
      <c r="J16" s="353">
        <f t="shared" si="3"/>
        <v>2.3775196921676052E-3</v>
      </c>
      <c r="K16" s="139"/>
      <c r="L16" s="220">
        <f t="shared" ca="1" si="4"/>
        <v>0</v>
      </c>
      <c r="M16" s="218">
        <f t="shared" ca="1" si="5"/>
        <v>0</v>
      </c>
      <c r="N16" s="220" t="e">
        <f ca="1">INDIRECT("'" &amp; $A16 &amp; "'!" &amp;#REF!)</f>
        <v>#REF!</v>
      </c>
      <c r="O16" s="218">
        <f t="shared" ca="1" si="6"/>
        <v>0</v>
      </c>
    </row>
    <row r="17" spans="1:21" ht="18.75" x14ac:dyDescent="0.3">
      <c r="A17" s="190" t="s">
        <v>94</v>
      </c>
      <c r="B17" s="176">
        <f>'If Skadeforsikring NUF'!B7+'If Skadeforsikring NUF'!B22+'If Skadeforsikring NUF'!B36+'If Skadeforsikring NUF'!B47+'If Skadeforsikring NUF'!B66+'If Skadeforsikring NUF'!B134</f>
        <v>153678.71638</v>
      </c>
      <c r="C17" s="176">
        <f>'If Skadeforsikring NUF'!C7+'If Skadeforsikring NUF'!C22+'If Skadeforsikring NUF'!C36+'If Skadeforsikring NUF'!C47+'If Skadeforsikring NUF'!C66+'If Skadeforsikring NUF'!C134</f>
        <v>152402.34600000002</v>
      </c>
      <c r="D17" s="104">
        <f t="shared" si="0"/>
        <v>-0.8</v>
      </c>
      <c r="E17" s="353">
        <f t="shared" si="1"/>
        <v>0.95086562018049436</v>
      </c>
      <c r="F17" s="103"/>
      <c r="G17" s="176">
        <f>'If Skadeforsikring NUF'!B10+'If Skadeforsikring NUF'!B29+'If Skadeforsikring NUF'!B37+'If Skadeforsikring NUF'!B87+'If Skadeforsikring NUF'!B135</f>
        <v>0</v>
      </c>
      <c r="H17" s="176">
        <f>'If Skadeforsikring NUF'!C10+'If Skadeforsikring NUF'!C29+'If Skadeforsikring NUF'!C37+'If Skadeforsikring NUF'!C87+'If Skadeforsikring NUF'!C135</f>
        <v>0</v>
      </c>
      <c r="I17" s="104"/>
      <c r="J17" s="353">
        <f t="shared" si="3"/>
        <v>0</v>
      </c>
      <c r="K17" s="139"/>
      <c r="L17" s="220">
        <f t="shared" ca="1" si="4"/>
        <v>0</v>
      </c>
      <c r="M17" s="218">
        <f t="shared" ca="1" si="5"/>
        <v>0</v>
      </c>
      <c r="N17" s="220" t="e">
        <f ca="1">INDIRECT("'" &amp; $A17 &amp; "'!" &amp;#REF!)</f>
        <v>#REF!</v>
      </c>
      <c r="O17" s="218">
        <f t="shared" ca="1" si="6"/>
        <v>0</v>
      </c>
    </row>
    <row r="18" spans="1:21" ht="18.75" x14ac:dyDescent="0.3">
      <c r="A18" s="190" t="s">
        <v>63</v>
      </c>
      <c r="B18" s="176">
        <f>KLP!B7+KLP!B22+KLP!B36+KLP!B47+KLP!B66+KLP!B134</f>
        <v>6307422.4361200007</v>
      </c>
      <c r="C18" s="176">
        <f>KLP!C7+KLP!C22+KLP!C36+KLP!C47+KLP!C66+KLP!C134</f>
        <v>6685288.0742199998</v>
      </c>
      <c r="D18" s="104">
        <f t="shared" si="0"/>
        <v>6</v>
      </c>
      <c r="E18" s="353">
        <f t="shared" si="1"/>
        <v>41.710713500292584</v>
      </c>
      <c r="F18" s="103"/>
      <c r="G18" s="176">
        <f>KLP!B10+KLP!B29+KLP!B37+KLP!B87+KLP!B135</f>
        <v>450711574.44376999</v>
      </c>
      <c r="H18" s="176">
        <f>KLP!C10+KLP!C29+KLP!C37+KLP!C87+KLP!C135</f>
        <v>477264053.30385</v>
      </c>
      <c r="I18" s="104">
        <f t="shared" si="2"/>
        <v>5.9</v>
      </c>
      <c r="J18" s="353">
        <f t="shared" si="3"/>
        <v>46.973910519108912</v>
      </c>
      <c r="K18" s="139"/>
      <c r="L18" s="220">
        <f t="shared" ca="1" si="4"/>
        <v>0</v>
      </c>
      <c r="M18" s="218">
        <f t="shared" ca="1" si="5"/>
        <v>0</v>
      </c>
      <c r="N18" s="220" t="e">
        <f ca="1">INDIRECT("'" &amp; $A18 &amp; "'!" &amp;#REF!)</f>
        <v>#REF!</v>
      </c>
      <c r="O18" s="218">
        <f t="shared" ca="1" si="6"/>
        <v>0</v>
      </c>
    </row>
    <row r="19" spans="1:21" ht="18.75" x14ac:dyDescent="0.3">
      <c r="A19" s="108" t="s">
        <v>95</v>
      </c>
      <c r="B19" s="176">
        <f>'KLP Bedriftspensjon AS'!B7+'KLP Bedriftspensjon AS'!B22+'KLP Bedriftspensjon AS'!B36+'KLP Bedriftspensjon AS'!B47+'KLP Bedriftspensjon AS'!B66+'KLP Bedriftspensjon AS'!B134</f>
        <v>20618</v>
      </c>
      <c r="C19" s="176">
        <f>'KLP Bedriftspensjon AS'!C7+'KLP Bedriftspensjon AS'!C22+'KLP Bedriftspensjon AS'!C36+'KLP Bedriftspensjon AS'!C47+'KLP Bedriftspensjon AS'!C66+'KLP Bedriftspensjon AS'!C134</f>
        <v>23364</v>
      </c>
      <c r="D19" s="104">
        <f t="shared" si="0"/>
        <v>13.3</v>
      </c>
      <c r="E19" s="353">
        <f t="shared" si="1"/>
        <v>0.14577219401791275</v>
      </c>
      <c r="F19" s="103"/>
      <c r="G19" s="176">
        <f>'KLP Bedriftspensjon AS'!B10+'KLP Bedriftspensjon AS'!B29+'KLP Bedriftspensjon AS'!B37+'KLP Bedriftspensjon AS'!B87+'KLP Bedriftspensjon AS'!B135</f>
        <v>1517090</v>
      </c>
      <c r="H19" s="176">
        <f>'KLP Bedriftspensjon AS'!C10+'KLP Bedriftspensjon AS'!C29+'KLP Bedriftspensjon AS'!C37+'KLP Bedriftspensjon AS'!C87+'KLP Bedriftspensjon AS'!C135</f>
        <v>1573553</v>
      </c>
      <c r="I19" s="104">
        <f t="shared" si="2"/>
        <v>3.7</v>
      </c>
      <c r="J19" s="353">
        <f t="shared" si="3"/>
        <v>0.15487430345401865</v>
      </c>
      <c r="K19" s="139"/>
      <c r="L19" s="220">
        <f t="shared" ca="1" si="4"/>
        <v>0</v>
      </c>
      <c r="M19" s="218">
        <f t="shared" ca="1" si="5"/>
        <v>0</v>
      </c>
      <c r="N19" s="220" t="e">
        <f ca="1">INDIRECT("'" &amp; $A19 &amp; "'!" &amp;#REF!)</f>
        <v>#REF!</v>
      </c>
      <c r="O19" s="218">
        <f t="shared" ca="1" si="6"/>
        <v>0</v>
      </c>
    </row>
    <row r="20" spans="1:21" ht="18.75" x14ac:dyDescent="0.3">
      <c r="A20" s="108" t="s">
        <v>96</v>
      </c>
      <c r="B20" s="176">
        <f>'KLP Skadeforsikring AS'!B7+'KLP Skadeforsikring AS'!B22+'KLP Skadeforsikring AS'!B36+'KLP Skadeforsikring AS'!B47+'KLP Skadeforsikring AS'!B66+'KLP Skadeforsikring AS'!B134</f>
        <v>107643.077</v>
      </c>
      <c r="C20" s="176">
        <f>'KLP Skadeforsikring AS'!C7+'KLP Skadeforsikring AS'!C22+'KLP Skadeforsikring AS'!C36+'KLP Skadeforsikring AS'!C47+'KLP Skadeforsikring AS'!C66+'KLP Skadeforsikring AS'!C134</f>
        <v>136835</v>
      </c>
      <c r="D20" s="104">
        <f t="shared" si="0"/>
        <v>27.1</v>
      </c>
      <c r="E20" s="353">
        <f t="shared" si="1"/>
        <v>0.85373815136282694</v>
      </c>
      <c r="F20" s="103"/>
      <c r="G20" s="176">
        <f>'KLP Skadeforsikring AS'!B10+'KLP Skadeforsikring AS'!B29+'KLP Skadeforsikring AS'!B37+'KLP Skadeforsikring AS'!B87+'KLP Skadeforsikring AS'!B135</f>
        <v>12214.147999999999</v>
      </c>
      <c r="H20" s="176">
        <f>'KLP Skadeforsikring AS'!C10+'KLP Skadeforsikring AS'!C29+'KLP Skadeforsikring AS'!C37+'KLP Skadeforsikring AS'!C87+'KLP Skadeforsikring AS'!C135</f>
        <v>23088</v>
      </c>
      <c r="I20" s="104">
        <f t="shared" si="2"/>
        <v>89</v>
      </c>
      <c r="J20" s="353">
        <f t="shared" si="3"/>
        <v>2.2723975094238215E-3</v>
      </c>
      <c r="K20" s="139"/>
      <c r="L20" s="220">
        <f t="shared" ca="1" si="4"/>
        <v>0</v>
      </c>
      <c r="M20" s="218">
        <f t="shared" ca="1" si="5"/>
        <v>0</v>
      </c>
      <c r="N20" s="220" t="e">
        <f ca="1">INDIRECT("'" &amp; $A20 &amp; "'!" &amp;#REF!)</f>
        <v>#REF!</v>
      </c>
      <c r="O20" s="218">
        <f t="shared" ca="1" si="6"/>
        <v>0</v>
      </c>
    </row>
    <row r="21" spans="1:21" ht="18.75" x14ac:dyDescent="0.3">
      <c r="A21" s="108" t="s">
        <v>415</v>
      </c>
      <c r="B21" s="176">
        <f>'Landkreditt Forsikring'!B7+'Landkreditt Forsikring'!B22+'Landkreditt Forsikring'!B36+'Landkreditt Forsikring'!B47+'Landkreditt Forsikring'!B66+'Landkreditt Forsikring'!B134</f>
        <v>21888.014999999999</v>
      </c>
      <c r="C21" s="176">
        <f>'Landkreditt Forsikring'!C7+'Landkreditt Forsikring'!C22+'Landkreditt Forsikring'!C36+'Landkreditt Forsikring'!C47+'Landkreditt Forsikring'!C66+'Landkreditt Forsikring'!C134</f>
        <v>22249</v>
      </c>
      <c r="D21" s="104">
        <f t="shared" si="0"/>
        <v>1.6</v>
      </c>
      <c r="E21" s="353">
        <f t="shared" si="1"/>
        <v>0.13881550867593478</v>
      </c>
      <c r="F21" s="103"/>
      <c r="G21" s="176">
        <f>'Landkreditt Forsikring'!B10+'Landkreditt Forsikring'!B29+'Landkreditt Forsikring'!B37+'Landkreditt Forsikring'!B87+'Landkreditt Forsikring'!B135</f>
        <v>0</v>
      </c>
      <c r="H21" s="176">
        <f>'Landkreditt Forsikring'!C10+'Landkreditt Forsikring'!C29+'Landkreditt Forsikring'!C37+'Landkreditt Forsikring'!C87+'Landkreditt Forsikring'!C135</f>
        <v>0</v>
      </c>
      <c r="I21" s="104"/>
      <c r="J21" s="353">
        <f t="shared" si="3"/>
        <v>0</v>
      </c>
      <c r="K21" s="139"/>
      <c r="L21" s="220">
        <f t="shared" ca="1" si="4"/>
        <v>0</v>
      </c>
      <c r="M21" s="218">
        <f t="shared" ca="1" si="5"/>
        <v>0</v>
      </c>
      <c r="N21" s="220" t="e">
        <f ca="1">INDIRECT("'" &amp; $A21 &amp; "'!" &amp;#REF!)</f>
        <v>#REF!</v>
      </c>
      <c r="O21" s="218">
        <f t="shared" ca="1" si="6"/>
        <v>0</v>
      </c>
    </row>
    <row r="22" spans="1:21" ht="18.75" x14ac:dyDescent="0.3">
      <c r="A22" s="190" t="s">
        <v>98</v>
      </c>
      <c r="B22" s="176">
        <f>'NEMI Forsikring'!B7+'NEMI Forsikring'!B22+'NEMI Forsikring'!B36+'NEMI Forsikring'!B47+'NEMI Forsikring'!B66+'NEMI Forsikring'!B134</f>
        <v>620.45399999999995</v>
      </c>
      <c r="C22" s="176">
        <f>'NEMI Forsikring'!C7+'NEMI Forsikring'!C22+'NEMI Forsikring'!C36+'NEMI Forsikring'!C47+'NEMI Forsikring'!C66+'NEMI Forsikring'!C134</f>
        <v>4425.9740000000002</v>
      </c>
      <c r="D22" s="104">
        <f t="shared" si="0"/>
        <v>613.29999999999995</v>
      </c>
      <c r="E22" s="353">
        <f t="shared" si="1"/>
        <v>2.7614447040157392E-2</v>
      </c>
      <c r="F22" s="103"/>
      <c r="G22" s="176">
        <f>'NEMI Forsikring'!B10+'NEMI Forsikring'!B29+'NEMI Forsikring'!B37+'NEMI Forsikring'!B87+'NEMI Forsikring'!B135</f>
        <v>0</v>
      </c>
      <c r="H22" s="176">
        <f>'NEMI Forsikring'!C10+'NEMI Forsikring'!C29+'NEMI Forsikring'!C37+'NEMI Forsikring'!C87+'NEMI Forsikring'!C135</f>
        <v>2618.067</v>
      </c>
      <c r="I22" s="104" t="str">
        <f t="shared" si="2"/>
        <v xml:space="preserve">    ---- </v>
      </c>
      <c r="J22" s="353">
        <f t="shared" si="3"/>
        <v>2.5767883447265662E-4</v>
      </c>
      <c r="K22" s="139"/>
      <c r="L22" s="220">
        <f t="shared" ca="1" si="4"/>
        <v>0</v>
      </c>
      <c r="M22" s="218">
        <f t="shared" ca="1" si="5"/>
        <v>0</v>
      </c>
      <c r="N22" s="220" t="e">
        <f ca="1">INDIRECT("'" &amp; $A22 &amp; "'!" &amp;#REF!)</f>
        <v>#REF!</v>
      </c>
      <c r="O22" s="218">
        <f t="shared" ca="1" si="6"/>
        <v>0</v>
      </c>
    </row>
    <row r="23" spans="1:21" ht="18.75" x14ac:dyDescent="0.3">
      <c r="A23" s="108" t="s">
        <v>99</v>
      </c>
      <c r="B23" s="176">
        <f>'Nordea Liv '!B7+'Nordea Liv '!B22+'Nordea Liv '!B36+'Nordea Liv '!B47+'Nordea Liv '!B66+'Nordea Liv '!B134</f>
        <v>665744.15912939585</v>
      </c>
      <c r="C23" s="176">
        <f>'Nordea Liv '!C7+'Nordea Liv '!C22+'Nordea Liv '!C36+'Nordea Liv '!C47+'Nordea Liv '!C66+'Nordea Liv '!C134</f>
        <v>643709.20639581443</v>
      </c>
      <c r="D23" s="104">
        <f t="shared" si="0"/>
        <v>-3.3</v>
      </c>
      <c r="E23" s="353">
        <f t="shared" si="1"/>
        <v>4.0162173996681769</v>
      </c>
      <c r="F23" s="103"/>
      <c r="G23" s="177">
        <f>'Nordea Liv '!B10+'Nordea Liv '!B29+'Nordea Liv '!B37+'Nordea Liv '!B87+'Nordea Liv '!B135</f>
        <v>49831728.590089791</v>
      </c>
      <c r="H23" s="177">
        <f>'Nordea Liv '!C10+'Nordea Liv '!C29+'Nordea Liv '!C37+'Nordea Liv '!C87+'Nordea Liv '!C135</f>
        <v>50874402.35331405</v>
      </c>
      <c r="I23" s="104">
        <f t="shared" si="2"/>
        <v>2.1</v>
      </c>
      <c r="J23" s="353">
        <f t="shared" si="3"/>
        <v>5.0072273562498371</v>
      </c>
      <c r="K23" s="139"/>
      <c r="L23" s="220">
        <f t="shared" ca="1" si="4"/>
        <v>0</v>
      </c>
      <c r="M23" s="218">
        <f t="shared" ca="1" si="5"/>
        <v>0</v>
      </c>
      <c r="N23" s="220" t="e">
        <f ca="1">INDIRECT("'" &amp; $A23 &amp; "'!" &amp;#REF!)</f>
        <v>#REF!</v>
      </c>
      <c r="O23" s="218">
        <f t="shared" ca="1" si="6"/>
        <v>0</v>
      </c>
    </row>
    <row r="24" spans="1:21" ht="18.75" x14ac:dyDescent="0.3">
      <c r="A24" s="108" t="s">
        <v>100</v>
      </c>
      <c r="B24" s="176">
        <f>'Oslo Pensjonsforsikring'!B7+'Oslo Pensjonsforsikring'!B22+'Oslo Pensjonsforsikring'!B36+'Oslo Pensjonsforsikring'!B47+'Oslo Pensjonsforsikring'!B66+'Oslo Pensjonsforsikring'!B134</f>
        <v>725316</v>
      </c>
      <c r="C24" s="176">
        <f>'Oslo Pensjonsforsikring'!C7+'Oslo Pensjonsforsikring'!C22+'Oslo Pensjonsforsikring'!C36+'Oslo Pensjonsforsikring'!C47+'Oslo Pensjonsforsikring'!C66+'Oslo Pensjonsforsikring'!C134</f>
        <v>973969.14500999998</v>
      </c>
      <c r="D24" s="104">
        <f t="shared" si="0"/>
        <v>34.299999999999997</v>
      </c>
      <c r="E24" s="353">
        <f t="shared" si="1"/>
        <v>6.0767684974258813</v>
      </c>
      <c r="F24" s="103"/>
      <c r="G24" s="176">
        <f>'Oslo Pensjonsforsikring'!B10+'Oslo Pensjonsforsikring'!B29+'Oslo Pensjonsforsikring'!B37+'Oslo Pensjonsforsikring'!B87+'Oslo Pensjonsforsikring'!B135</f>
        <v>71272663</v>
      </c>
      <c r="H24" s="176">
        <f>'Oslo Pensjonsforsikring'!C10+'Oslo Pensjonsforsikring'!C29+'Oslo Pensjonsforsikring'!C37+'Oslo Pensjonsforsikring'!C87+'Oslo Pensjonsforsikring'!C135</f>
        <v>75420758.385900304</v>
      </c>
      <c r="I24" s="104">
        <f t="shared" si="2"/>
        <v>5.8</v>
      </c>
      <c r="J24" s="353">
        <f t="shared" si="3"/>
        <v>7.4231611016534842</v>
      </c>
      <c r="K24" s="139"/>
      <c r="L24" s="220">
        <f t="shared" ca="1" si="4"/>
        <v>0</v>
      </c>
      <c r="M24" s="218">
        <f t="shared" ca="1" si="5"/>
        <v>0</v>
      </c>
      <c r="N24" s="220" t="e">
        <f ca="1">INDIRECT("'" &amp; $A24 &amp; "'!" &amp;#REF!)</f>
        <v>#REF!</v>
      </c>
      <c r="O24" s="218">
        <f t="shared" ca="1" si="6"/>
        <v>0</v>
      </c>
    </row>
    <row r="25" spans="1:21" ht="18.75" x14ac:dyDescent="0.3">
      <c r="A25" s="108" t="s">
        <v>370</v>
      </c>
      <c r="B25" s="176">
        <f>'Protector Forsikring'!B7+'Protector Forsikring'!B22+'Protector Forsikring'!B36+'Protector Forsikring'!B47+'Protector Forsikring'!B66+'Protector Forsikring'!B134</f>
        <v>0</v>
      </c>
      <c r="C25" s="176">
        <f>'Protector Forsikring'!C7+'Protector Forsikring'!C22+'Protector Forsikring'!C36+'Protector Forsikring'!C47+'Protector Forsikring'!C66+'Protector Forsikring'!C134</f>
        <v>174427.98112853389</v>
      </c>
      <c r="D25" s="104" t="str">
        <f t="shared" si="0"/>
        <v xml:space="preserve">    ---- </v>
      </c>
      <c r="E25" s="353">
        <f t="shared" si="1"/>
        <v>1.0882875152893967</v>
      </c>
      <c r="F25" s="103"/>
      <c r="G25" s="176">
        <f>'Protector Forsikring'!B10+'Protector Forsikring'!B29+'Protector Forsikring'!B37+'Protector Forsikring'!B87+'Protector Forsikring'!B135</f>
        <v>0</v>
      </c>
      <c r="H25" s="176">
        <f>'Protector Forsikring'!C10+'Protector Forsikring'!C29+'Protector Forsikring'!C37+'Protector Forsikring'!C87+'Protector Forsikring'!C135</f>
        <v>0</v>
      </c>
      <c r="I25" s="104"/>
      <c r="J25" s="353">
        <f t="shared" si="3"/>
        <v>0</v>
      </c>
      <c r="K25" s="139"/>
      <c r="L25" s="220">
        <f t="shared" ca="1" si="4"/>
        <v>0</v>
      </c>
      <c r="M25" s="218">
        <f t="shared" ca="1" si="5"/>
        <v>0</v>
      </c>
      <c r="N25" s="220" t="e">
        <f ca="1">INDIRECT("'" &amp; $A25 &amp; "'!" &amp;#REF!)</f>
        <v>#REF!</v>
      </c>
      <c r="O25" s="218">
        <f t="shared" ca="1" si="6"/>
        <v>0</v>
      </c>
    </row>
    <row r="26" spans="1:21" ht="18.75" x14ac:dyDescent="0.3">
      <c r="A26" s="190" t="s">
        <v>70</v>
      </c>
      <c r="B26" s="176">
        <f>'Sparebank 1'!B7+'Sparebank 1'!B22+'Sparebank 1'!B36+'Sparebank 1'!B47+'Sparebank 1'!B66+'Sparebank 1'!B134</f>
        <v>816522.19760999992</v>
      </c>
      <c r="C26" s="176">
        <f>'Sparebank 1'!C7+'Sparebank 1'!C22+'Sparebank 1'!C36+'Sparebank 1'!C47+'Sparebank 1'!C66+'Sparebank 1'!C134</f>
        <v>894213.30877</v>
      </c>
      <c r="D26" s="104">
        <f t="shared" si="0"/>
        <v>9.5</v>
      </c>
      <c r="E26" s="353">
        <f t="shared" si="1"/>
        <v>5.5791575046832795</v>
      </c>
      <c r="F26" s="103"/>
      <c r="G26" s="176">
        <f>'Sparebank 1'!B10+'Sparebank 1'!B29+'Sparebank 1'!B37+'Sparebank 1'!B87+'Sparebank 1'!B135</f>
        <v>18998939.185520001</v>
      </c>
      <c r="H26" s="176">
        <f>'Sparebank 1'!C10+'Sparebank 1'!C29+'Sparebank 1'!C37+'Sparebank 1'!C87+'Sparebank 1'!C135</f>
        <v>20077494.383109998</v>
      </c>
      <c r="I26" s="104">
        <f t="shared" si="2"/>
        <v>5.7</v>
      </c>
      <c r="J26" s="353">
        <f t="shared" si="3"/>
        <v>1.9760935651269023</v>
      </c>
      <c r="K26" s="139"/>
      <c r="L26" s="220">
        <f t="shared" ca="1" si="4"/>
        <v>0</v>
      </c>
      <c r="M26" s="218">
        <f t="shared" ca="1" si="5"/>
        <v>0</v>
      </c>
      <c r="N26" s="220" t="e">
        <f ca="1">INDIRECT("'" &amp; $A26 &amp; "'!" &amp;#REF!)</f>
        <v>#REF!</v>
      </c>
      <c r="O26" s="218">
        <f t="shared" ca="1" si="6"/>
        <v>0</v>
      </c>
    </row>
    <row r="27" spans="1:21" ht="18.75" x14ac:dyDescent="0.3">
      <c r="A27" s="190" t="s">
        <v>101</v>
      </c>
      <c r="B27" s="176">
        <f>'Storebrand Livsforsikring'!B7+'Storebrand Livsforsikring'!B22+'Storebrand Livsforsikring'!B36+'Storebrand Livsforsikring'!B47+'Storebrand Livsforsikring'!B66+'Storebrand Livsforsikring'!B134</f>
        <v>2307542.6269999999</v>
      </c>
      <c r="C27" s="176">
        <f>'Storebrand Livsforsikring'!C7+'Storebrand Livsforsikring'!C22+'Storebrand Livsforsikring'!C36+'Storebrand Livsforsikring'!C47+'Storebrand Livsforsikring'!C66+'Storebrand Livsforsikring'!C134</f>
        <v>2180985.9240000001</v>
      </c>
      <c r="D27" s="104">
        <f t="shared" si="0"/>
        <v>-5.5</v>
      </c>
      <c r="E27" s="353">
        <f t="shared" si="1"/>
        <v>13.607563056996435</v>
      </c>
      <c r="F27" s="103"/>
      <c r="G27" s="176">
        <f>'Storebrand Livsforsikring'!B10+'Storebrand Livsforsikring'!B29+'Storebrand Livsforsikring'!B37+'Storebrand Livsforsikring'!B87+'Storebrand Livsforsikring'!B135</f>
        <v>181070508.74600002</v>
      </c>
      <c r="H27" s="176">
        <f>'Storebrand Livsforsikring'!C10+'Storebrand Livsforsikring'!C29+'Storebrand Livsforsikring'!C37+'Storebrand Livsforsikring'!C87+'Storebrand Livsforsikring'!C135</f>
        <v>181276652.00800002</v>
      </c>
      <c r="I27" s="104">
        <f t="shared" si="2"/>
        <v>0.1</v>
      </c>
      <c r="J27" s="353">
        <f t="shared" si="3"/>
        <v>17.841849122473491</v>
      </c>
      <c r="K27" s="139"/>
      <c r="L27" s="220">
        <f t="shared" ca="1" si="4"/>
        <v>0</v>
      </c>
      <c r="M27" s="218">
        <f t="shared" ca="1" si="5"/>
        <v>0</v>
      </c>
      <c r="N27" s="220" t="e">
        <f ca="1">INDIRECT("'" &amp; $A27 &amp; "'!" &amp;#REF!)</f>
        <v>#REF!</v>
      </c>
      <c r="O27" s="218">
        <f t="shared" ca="1" si="6"/>
        <v>0</v>
      </c>
    </row>
    <row r="28" spans="1:21" ht="18.75" x14ac:dyDescent="0.3">
      <c r="A28" s="190" t="s">
        <v>102</v>
      </c>
      <c r="B28" s="176">
        <f>'Telenor Forsikring'!B7+'Telenor Forsikring'!B22+'Telenor Forsikring'!B36+'Telenor Forsikring'!B47+'Telenor Forsikring'!B66+'Telenor Forsikring'!B134</f>
        <v>0</v>
      </c>
      <c r="C28" s="176">
        <f>'Telenor Forsikring'!C7+'Telenor Forsikring'!C22+'Telenor Forsikring'!C36+'Telenor Forsikring'!C47+'Telenor Forsikring'!C66+'Telenor Forsikring'!C134</f>
        <v>0</v>
      </c>
      <c r="D28" s="104"/>
      <c r="E28" s="353">
        <f t="shared" si="1"/>
        <v>0</v>
      </c>
      <c r="F28" s="103"/>
      <c r="G28" s="176">
        <f>'Telenor Forsikring'!B10+'Telenor Forsikring'!B29+'Telenor Forsikring'!B37+'Telenor Forsikring'!B87+'Telenor Forsikring'!B135</f>
        <v>0</v>
      </c>
      <c r="H28" s="176">
        <f>'Telenor Forsikring'!C10+'Telenor Forsikring'!C29+'Telenor Forsikring'!C37+'Telenor Forsikring'!C87+'Telenor Forsikring'!C135</f>
        <v>0</v>
      </c>
      <c r="I28" s="104"/>
      <c r="J28" s="353">
        <f t="shared" si="3"/>
        <v>0</v>
      </c>
      <c r="K28" s="204"/>
      <c r="L28" s="220">
        <f t="shared" ca="1" si="4"/>
        <v>0</v>
      </c>
      <c r="M28" s="218">
        <f t="shared" ca="1" si="5"/>
        <v>0</v>
      </c>
      <c r="N28" s="220" t="e">
        <f ca="1">INDIRECT("'" &amp; $A28 &amp; "'!" &amp;#REF!)</f>
        <v>#REF!</v>
      </c>
      <c r="O28" s="218">
        <f t="shared" ca="1" si="6"/>
        <v>0</v>
      </c>
    </row>
    <row r="29" spans="1:21" ht="18.75" x14ac:dyDescent="0.3">
      <c r="A29" s="190" t="s">
        <v>103</v>
      </c>
      <c r="B29" s="176">
        <f>'Tryg Forsikring'!B7+'Tryg Forsikring'!B22+'Tryg Forsikring'!B36+'Tryg Forsikring'!B47+'Tryg Forsikring'!B66+'Tryg Forsikring'!B134</f>
        <v>417186</v>
      </c>
      <c r="C29" s="176">
        <f>'Tryg Forsikring'!C7+'Tryg Forsikring'!C22+'Tryg Forsikring'!C36+'Tryg Forsikring'!C47+'Tryg Forsikring'!C66+'Tryg Forsikring'!C134</f>
        <v>497838</v>
      </c>
      <c r="D29" s="104">
        <f t="shared" si="0"/>
        <v>19.3</v>
      </c>
      <c r="E29" s="353">
        <f t="shared" si="1"/>
        <v>3.1061007329862029</v>
      </c>
      <c r="F29" s="103"/>
      <c r="G29" s="176">
        <f>'Tryg Forsikring'!B10+'Tryg Forsikring'!B29+'Tryg Forsikring'!B37+'Tryg Forsikring'!B87+'Tryg Forsikring'!B135</f>
        <v>0</v>
      </c>
      <c r="H29" s="176">
        <f>'Tryg Forsikring'!C10+'Tryg Forsikring'!C29+'Tryg Forsikring'!C37+'Tryg Forsikring'!C87+'Tryg Forsikring'!C135</f>
        <v>0</v>
      </c>
      <c r="I29" s="104"/>
      <c r="J29" s="353">
        <f t="shared" si="3"/>
        <v>0</v>
      </c>
      <c r="K29" s="204"/>
      <c r="L29" s="220">
        <f t="shared" ca="1" si="4"/>
        <v>0</v>
      </c>
      <c r="M29" s="218">
        <f t="shared" ca="1" si="5"/>
        <v>0</v>
      </c>
      <c r="N29" s="220" t="e">
        <f ca="1">INDIRECT("'" &amp; $A29 &amp; "'!" &amp;#REF!)</f>
        <v>#REF!</v>
      </c>
      <c r="O29" s="218">
        <f t="shared" ca="1" si="6"/>
        <v>0</v>
      </c>
    </row>
    <row r="30" spans="1:21" s="111" customFormat="1" ht="18.75" x14ac:dyDescent="0.3">
      <c r="A30" s="137" t="s">
        <v>104</v>
      </c>
      <c r="B30" s="178">
        <f>SUM(B9:B29)</f>
        <v>15195298.511239396</v>
      </c>
      <c r="C30" s="238">
        <f>SUM(C9:C29)</f>
        <v>16027748.060874349</v>
      </c>
      <c r="D30" s="104">
        <f t="shared" si="0"/>
        <v>5.5</v>
      </c>
      <c r="E30" s="354">
        <f>SUM(E9:E29)</f>
        <v>100</v>
      </c>
      <c r="F30" s="109"/>
      <c r="G30" s="178">
        <f>SUM(G9:G29)</f>
        <v>984731713.17937994</v>
      </c>
      <c r="H30" s="178">
        <f>SUM(H9:H29)</f>
        <v>1016019420.2049661</v>
      </c>
      <c r="I30" s="104">
        <f t="shared" si="2"/>
        <v>3.2</v>
      </c>
      <c r="J30" s="354">
        <f>SUM(J9:J29)</f>
        <v>99.999999999999986</v>
      </c>
      <c r="K30" s="206"/>
      <c r="L30" s="220">
        <f ca="1">SUM(L9:L29)</f>
        <v>0</v>
      </c>
      <c r="M30" s="218">
        <f ca="1">SUM(M9:M29)</f>
        <v>0</v>
      </c>
      <c r="N30" s="220" t="e">
        <f ca="1">SUM(N9:N29)</f>
        <v>#REF!</v>
      </c>
      <c r="O30" s="218">
        <f ca="1">SUM(O9:O29)</f>
        <v>0</v>
      </c>
      <c r="U30" s="202"/>
    </row>
    <row r="31" spans="1:21" ht="18.75" x14ac:dyDescent="0.3">
      <c r="A31" s="86"/>
      <c r="B31" s="176"/>
      <c r="C31" s="139"/>
      <c r="D31" s="104"/>
      <c r="E31" s="353"/>
      <c r="F31" s="103"/>
      <c r="G31" s="176"/>
      <c r="H31" s="103"/>
      <c r="I31" s="104"/>
      <c r="J31" s="353"/>
      <c r="K31" s="204"/>
      <c r="L31" s="217" t="s">
        <v>1</v>
      </c>
      <c r="M31" s="218"/>
      <c r="N31" s="220"/>
      <c r="O31" s="218"/>
    </row>
    <row r="32" spans="1:21" ht="18.75" x14ac:dyDescent="0.3">
      <c r="A32" s="101" t="s">
        <v>1</v>
      </c>
      <c r="B32" s="176"/>
      <c r="C32" s="139"/>
      <c r="D32" s="104"/>
      <c r="E32" s="353"/>
      <c r="F32" s="103"/>
      <c r="G32" s="176"/>
      <c r="H32" s="103"/>
      <c r="I32" s="104"/>
      <c r="J32" s="353"/>
      <c r="K32" s="204"/>
      <c r="L32" s="221">
        <v>2015</v>
      </c>
      <c r="M32" s="222">
        <v>2016</v>
      </c>
      <c r="N32" s="221">
        <v>2015</v>
      </c>
      <c r="O32" s="222">
        <v>2016</v>
      </c>
      <c r="P32" s="87" t="s">
        <v>158</v>
      </c>
    </row>
    <row r="33" spans="1:20" ht="18.75" x14ac:dyDescent="0.3">
      <c r="A33" s="107" t="s">
        <v>86</v>
      </c>
      <c r="B33" s="130">
        <f>'Danica Pensjonsforsikring'!F7+'Danica Pensjonsforsikring'!F22+'Danica Pensjonsforsikring'!F66+'Danica Pensjonsforsikring'!F134</f>
        <v>512553.30499999999</v>
      </c>
      <c r="C33" s="130">
        <f>'Danica Pensjonsforsikring'!G7+'Danica Pensjonsforsikring'!G22+'Danica Pensjonsforsikring'!G66+'Danica Pensjonsforsikring'!G134</f>
        <v>506748.04200000002</v>
      </c>
      <c r="D33" s="104">
        <f t="shared" ref="D33:D43" si="7">IF(B33=0, "    ---- ", IF(ABS(ROUND(100/B33*C33-100,1))&lt;999,ROUND(100/B33*C33-100,1),IF(ROUND(100/B33*C33-100,1)&gt;999,999,-999)))</f>
        <v>-1.1000000000000001</v>
      </c>
      <c r="E33" s="353">
        <f t="shared" ref="E33:E42" si="8">100/C$43*C33</f>
        <v>4.6465510561150527</v>
      </c>
      <c r="F33" s="103"/>
      <c r="G33" s="176">
        <f>'Danica Pensjonsforsikring'!F10+'Danica Pensjonsforsikring'!F29+'Danica Pensjonsforsikring'!F87+'Danica Pensjonsforsikring'!F135</f>
        <v>16706584.574999999</v>
      </c>
      <c r="H33" s="176">
        <f>'Danica Pensjonsforsikring'!G10+'Danica Pensjonsforsikring'!G29+'Danica Pensjonsforsikring'!G87+'Danica Pensjonsforsikring'!G135</f>
        <v>18231058.762000002</v>
      </c>
      <c r="I33" s="104">
        <f t="shared" ref="I33:I43" si="9">IF(G33=0, "    ---- ", IF(ABS(ROUND(100/G33*H33-100,1))&lt;999,ROUND(100/G33*H33-100,1),IF(ROUND(100/G33*H33-100,1)&gt;999,999,-999)))</f>
        <v>9.1</v>
      </c>
      <c r="J33" s="353">
        <f t="shared" ref="J33:J42" si="10">100/H$43*H33</f>
        <v>5.3898003703866912</v>
      </c>
      <c r="K33" s="204" t="s">
        <v>148</v>
      </c>
      <c r="L33" s="220">
        <f t="shared" ref="L33:L42" ca="1" si="11">INDIRECT("'" &amp; $A33 &amp; "'!" &amp; $P$32)</f>
        <v>0</v>
      </c>
      <c r="M33" s="218">
        <f t="shared" ref="M33:M42" ca="1" si="12">INDIRECT("'" &amp; $A33 &amp; "'!" &amp; $P$33)</f>
        <v>0</v>
      </c>
      <c r="N33" s="220">
        <f t="shared" ref="N33:N42" ca="1" si="13">INDIRECT("'" &amp; $A33 &amp; "'!" &amp; $P$34)</f>
        <v>0</v>
      </c>
      <c r="O33" s="218">
        <f t="shared" ref="O33:O42" ca="1" si="14">INDIRECT("'"&amp;$A33&amp;"'!"&amp;$P$35)</f>
        <v>0</v>
      </c>
      <c r="P33" s="87" t="s">
        <v>160</v>
      </c>
    </row>
    <row r="34" spans="1:20" ht="18.75" x14ac:dyDescent="0.3">
      <c r="A34" s="86" t="s">
        <v>87</v>
      </c>
      <c r="B34" s="130">
        <f>'DNB Livsforsikring'!F7+'DNB Livsforsikring'!F22+'DNB Livsforsikring'!F66+'DNB Livsforsikring'!F134</f>
        <v>1933331</v>
      </c>
      <c r="C34" s="130">
        <f>'DNB Livsforsikring'!G7+'DNB Livsforsikring'!G22+'DNB Livsforsikring'!G66+'DNB Livsforsikring'!G134</f>
        <v>2408062</v>
      </c>
      <c r="D34" s="104">
        <f t="shared" si="7"/>
        <v>24.6</v>
      </c>
      <c r="E34" s="353">
        <f t="shared" si="8"/>
        <v>22.080367563197264</v>
      </c>
      <c r="F34" s="103"/>
      <c r="G34" s="176">
        <f>'DNB Livsforsikring'!F10+'DNB Livsforsikring'!F29+'DNB Livsforsikring'!F87+'DNB Livsforsikring'!F135</f>
        <v>74630254</v>
      </c>
      <c r="H34" s="176">
        <f>'DNB Livsforsikring'!G10+'DNB Livsforsikring'!G29+'DNB Livsforsikring'!G87+'DNB Livsforsikring'!G135</f>
        <v>85192428.625</v>
      </c>
      <c r="I34" s="104">
        <f t="shared" si="9"/>
        <v>14.2</v>
      </c>
      <c r="J34" s="353">
        <f t="shared" si="10"/>
        <v>25.18615014912027</v>
      </c>
      <c r="K34" s="87" t="s">
        <v>155</v>
      </c>
      <c r="L34" s="220">
        <f t="shared" ca="1" si="11"/>
        <v>0</v>
      </c>
      <c r="M34" s="218">
        <f t="shared" ca="1" si="12"/>
        <v>0</v>
      </c>
      <c r="N34" s="220">
        <f t="shared" ca="1" si="13"/>
        <v>0</v>
      </c>
      <c r="O34" s="218">
        <f t="shared" ca="1" si="14"/>
        <v>0</v>
      </c>
      <c r="P34" s="87" t="s">
        <v>159</v>
      </c>
    </row>
    <row r="35" spans="1:20" ht="18.75" x14ac:dyDescent="0.3">
      <c r="A35" s="107" t="s">
        <v>89</v>
      </c>
      <c r="B35" s="130">
        <f>'Frende Livsforsikring'!F7+'Frende Livsforsikring'!F22+'Frende Livsforsikring'!F66+'Frende Livsforsikring'!F134</f>
        <v>88637</v>
      </c>
      <c r="C35" s="130">
        <f>'Frende Livsforsikring'!G7+'Frende Livsforsikring'!G22+'Frende Livsforsikring'!G66+'Frende Livsforsikring'!G134</f>
        <v>96311</v>
      </c>
      <c r="D35" s="104">
        <f t="shared" si="7"/>
        <v>8.6999999999999993</v>
      </c>
      <c r="E35" s="353">
        <f t="shared" si="8"/>
        <v>0.88310943836956513</v>
      </c>
      <c r="F35" s="103"/>
      <c r="G35" s="176">
        <f>'Frende Livsforsikring'!F10+'Frende Livsforsikring'!F29+'Frende Livsforsikring'!F87+'Frende Livsforsikring'!F135</f>
        <v>3185848</v>
      </c>
      <c r="H35" s="176">
        <f>'Frende Livsforsikring'!G10+'Frende Livsforsikring'!G29+'Frende Livsforsikring'!G87+'Frende Livsforsikring'!G135</f>
        <v>3631130</v>
      </c>
      <c r="I35" s="104">
        <f t="shared" si="9"/>
        <v>14</v>
      </c>
      <c r="J35" s="353">
        <f t="shared" si="10"/>
        <v>1.0735013294847842</v>
      </c>
      <c r="K35" s="87" t="s">
        <v>149</v>
      </c>
      <c r="L35" s="220">
        <f t="shared" ca="1" si="11"/>
        <v>0</v>
      </c>
      <c r="M35" s="218">
        <f t="shared" ca="1" si="12"/>
        <v>0</v>
      </c>
      <c r="N35" s="220">
        <f t="shared" ca="1" si="13"/>
        <v>0</v>
      </c>
      <c r="O35" s="218">
        <f t="shared" ca="1" si="14"/>
        <v>0</v>
      </c>
      <c r="P35" s="87" t="s">
        <v>161</v>
      </c>
    </row>
    <row r="36" spans="1:20" ht="18.75" x14ac:dyDescent="0.3">
      <c r="A36" s="107" t="s">
        <v>92</v>
      </c>
      <c r="B36" s="130">
        <f>'Gjensidige Pensjon'!F7+'Gjensidige Pensjon'!F22+'Gjensidige Pensjon'!F66+'Gjensidige Pensjon'!F134</f>
        <v>681493</v>
      </c>
      <c r="C36" s="130">
        <f>'Gjensidige Pensjon'!G7+'Gjensidige Pensjon'!G22+'Gjensidige Pensjon'!G66+'Gjensidige Pensjon'!G134</f>
        <v>781465</v>
      </c>
      <c r="D36" s="104">
        <f t="shared" si="7"/>
        <v>14.7</v>
      </c>
      <c r="E36" s="353">
        <f t="shared" si="8"/>
        <v>7.1655274813414067</v>
      </c>
      <c r="F36" s="103"/>
      <c r="G36" s="176">
        <f>'Gjensidige Pensjon'!F10+'Gjensidige Pensjon'!F29+'Gjensidige Pensjon'!F87+'Gjensidige Pensjon'!F135</f>
        <v>22784107</v>
      </c>
      <c r="H36" s="176">
        <f>'Gjensidige Pensjon'!G10+'Gjensidige Pensjon'!G29+'Gjensidige Pensjon'!G87+'Gjensidige Pensjon'!G135</f>
        <v>26882141</v>
      </c>
      <c r="I36" s="104">
        <f t="shared" si="9"/>
        <v>18</v>
      </c>
      <c r="J36" s="353">
        <f t="shared" si="10"/>
        <v>7.9473921624666222</v>
      </c>
      <c r="K36" s="87" t="s">
        <v>156</v>
      </c>
      <c r="L36" s="220">
        <f t="shared" ca="1" si="11"/>
        <v>0</v>
      </c>
      <c r="M36" s="218">
        <f t="shared" ca="1" si="12"/>
        <v>0</v>
      </c>
      <c r="N36" s="220">
        <f t="shared" ca="1" si="13"/>
        <v>0</v>
      </c>
      <c r="O36" s="218">
        <f t="shared" ca="1" si="14"/>
        <v>0</v>
      </c>
    </row>
    <row r="37" spans="1:20" ht="18.75" x14ac:dyDescent="0.3">
      <c r="A37" s="107" t="s">
        <v>63</v>
      </c>
      <c r="B37" s="130">
        <f>KLP!F7+KLP!F22+KLP!F66+KLP!F134</f>
        <v>20875.777999999998</v>
      </c>
      <c r="C37" s="130">
        <f>KLP!G7+KLP!G22+KLP!G66+KLP!G134</f>
        <v>19489.256000000001</v>
      </c>
      <c r="D37" s="104">
        <f t="shared" si="7"/>
        <v>-6.6</v>
      </c>
      <c r="E37" s="353">
        <f t="shared" si="8"/>
        <v>0.17870384400951791</v>
      </c>
      <c r="F37" s="103"/>
      <c r="G37" s="176">
        <f>KLP!F10+KLP!F29+KLP!F87+KLP!F135</f>
        <v>2344983.7411500001</v>
      </c>
      <c r="H37" s="176">
        <f>KLP!G10+KLP!G29+KLP!G87+KLP!G135</f>
        <v>2497218.77415</v>
      </c>
      <c r="I37" s="104">
        <f t="shared" si="9"/>
        <v>6.5</v>
      </c>
      <c r="J37" s="353">
        <f t="shared" si="10"/>
        <v>0.73827367074833128</v>
      </c>
      <c r="K37" s="87" t="s">
        <v>150</v>
      </c>
      <c r="L37" s="220">
        <f t="shared" ca="1" si="11"/>
        <v>0</v>
      </c>
      <c r="M37" s="218">
        <f t="shared" ca="1" si="12"/>
        <v>0</v>
      </c>
      <c r="N37" s="220">
        <f t="shared" ca="1" si="13"/>
        <v>0</v>
      </c>
      <c r="O37" s="218">
        <f t="shared" ca="1" si="14"/>
        <v>0</v>
      </c>
    </row>
    <row r="38" spans="1:20" ht="18.75" x14ac:dyDescent="0.3">
      <c r="A38" s="107" t="s">
        <v>95</v>
      </c>
      <c r="B38" s="130">
        <f>'KLP Bedriftspensjon AS'!F7+'KLP Bedriftspensjon AS'!F22+'KLP Bedriftspensjon AS'!F66+'KLP Bedriftspensjon AS'!F134</f>
        <v>108569</v>
      </c>
      <c r="C38" s="130">
        <f>'KLP Bedriftspensjon AS'!G7+'KLP Bedriftspensjon AS'!G22+'KLP Bedriftspensjon AS'!G66+'KLP Bedriftspensjon AS'!G134</f>
        <v>135943</v>
      </c>
      <c r="D38" s="104">
        <f t="shared" si="7"/>
        <v>25.2</v>
      </c>
      <c r="E38" s="353">
        <f t="shared" si="8"/>
        <v>1.2465091877384078</v>
      </c>
      <c r="F38" s="103"/>
      <c r="G38" s="176">
        <f>'KLP Bedriftspensjon AS'!F10+'KLP Bedriftspensjon AS'!F29+'KLP Bedriftspensjon AS'!F87+'KLP Bedriftspensjon AS'!F135</f>
        <v>2816074</v>
      </c>
      <c r="H38" s="176">
        <f>'KLP Bedriftspensjon AS'!G10+'KLP Bedriftspensjon AS'!G29+'KLP Bedriftspensjon AS'!G87+'KLP Bedriftspensjon AS'!G135</f>
        <v>3934107</v>
      </c>
      <c r="I38" s="104">
        <f t="shared" si="9"/>
        <v>39.700000000000003</v>
      </c>
      <c r="J38" s="353">
        <f t="shared" si="10"/>
        <v>1.1630729538285316</v>
      </c>
      <c r="K38" s="87" t="s">
        <v>157</v>
      </c>
      <c r="L38" s="220">
        <f t="shared" ca="1" si="11"/>
        <v>0</v>
      </c>
      <c r="M38" s="218">
        <f t="shared" ca="1" si="12"/>
        <v>0</v>
      </c>
      <c r="N38" s="220">
        <f t="shared" ca="1" si="13"/>
        <v>0</v>
      </c>
      <c r="O38" s="218">
        <f t="shared" ca="1" si="14"/>
        <v>0</v>
      </c>
    </row>
    <row r="39" spans="1:20" ht="18.75" x14ac:dyDescent="0.3">
      <c r="A39" s="107" t="s">
        <v>99</v>
      </c>
      <c r="B39" s="130">
        <f>'Nordea Liv '!F7+'Nordea Liv '!F22+'Nordea Liv '!F66+'Nordea Liv '!F134</f>
        <v>2294973.0361000001</v>
      </c>
      <c r="C39" s="130">
        <f>'Nordea Liv '!G7+'Nordea Liv '!G22+'Nordea Liv '!G66+'Nordea Liv '!G134</f>
        <v>3083447.26988</v>
      </c>
      <c r="D39" s="104">
        <f t="shared" si="7"/>
        <v>34.4</v>
      </c>
      <c r="E39" s="353">
        <f t="shared" si="8"/>
        <v>28.273212683347651</v>
      </c>
      <c r="F39" s="103"/>
      <c r="G39" s="176">
        <f>'Nordea Liv '!F10+'Nordea Liv '!F29+'Nordea Liv '!F87+'Nordea Liv '!F135</f>
        <v>58443269.995210707</v>
      </c>
      <c r="H39" s="176">
        <f>'Nordea Liv '!G10+'Nordea Liv '!G29+'Nordea Liv '!G87+'Nordea Liv '!G135</f>
        <v>64970069.999999896</v>
      </c>
      <c r="I39" s="104">
        <f t="shared" si="9"/>
        <v>11.2</v>
      </c>
      <c r="J39" s="353">
        <f t="shared" si="10"/>
        <v>19.207645146750291</v>
      </c>
      <c r="K39" s="204"/>
      <c r="L39" s="220">
        <f t="shared" ca="1" si="11"/>
        <v>0</v>
      </c>
      <c r="M39" s="218">
        <f t="shared" ca="1" si="12"/>
        <v>0</v>
      </c>
      <c r="N39" s="220">
        <f t="shared" ca="1" si="13"/>
        <v>0</v>
      </c>
      <c r="O39" s="218">
        <f t="shared" ca="1" si="14"/>
        <v>0</v>
      </c>
    </row>
    <row r="40" spans="1:20" ht="18.75" x14ac:dyDescent="0.3">
      <c r="A40" s="107" t="s">
        <v>74</v>
      </c>
      <c r="B40" s="130">
        <f>'SHB Liv'!F7+'SHB Liv'!F22+'SHB Liv'!F66+'SHB Liv'!F134</f>
        <v>42877</v>
      </c>
      <c r="C40" s="130">
        <f>'SHB Liv'!G7+'SHB Liv'!G22+'SHB Liv'!G66+'SHB Liv'!G134</f>
        <v>38700.716099999998</v>
      </c>
      <c r="D40" s="104">
        <f t="shared" si="7"/>
        <v>-9.6999999999999993</v>
      </c>
      <c r="E40" s="353">
        <f t="shared" si="8"/>
        <v>0.35486047969153039</v>
      </c>
      <c r="F40" s="103"/>
      <c r="G40" s="176">
        <f>'SHB Liv'!F10+'SHB Liv'!F29+'SHB Liv'!F87+'SHB Liv'!F135</f>
        <v>2055445</v>
      </c>
      <c r="H40" s="176">
        <f>'SHB Liv'!G10+'SHB Liv'!G29+'SHB Liv'!G87+'SHB Liv'!G135</f>
        <v>2236863.3610899998</v>
      </c>
      <c r="I40" s="104">
        <f t="shared" si="9"/>
        <v>8.8000000000000007</v>
      </c>
      <c r="J40" s="353">
        <f t="shared" si="10"/>
        <v>0.6613026226012062</v>
      </c>
      <c r="K40" s="204"/>
      <c r="L40" s="220">
        <f t="shared" ca="1" si="11"/>
        <v>0</v>
      </c>
      <c r="M40" s="218">
        <f t="shared" ca="1" si="12"/>
        <v>0</v>
      </c>
      <c r="N40" s="220">
        <f t="shared" ca="1" si="13"/>
        <v>0</v>
      </c>
      <c r="O40" s="218">
        <f t="shared" ca="1" si="14"/>
        <v>0</v>
      </c>
    </row>
    <row r="41" spans="1:20" ht="18.75" x14ac:dyDescent="0.3">
      <c r="A41" s="86" t="s">
        <v>70</v>
      </c>
      <c r="B41" s="130">
        <f>'Sparebank 1'!F7+'Sparebank 1'!F22+'Sparebank 1'!F66+'Sparebank 1'!F134</f>
        <v>912443.09380000003</v>
      </c>
      <c r="C41" s="130">
        <f>'Sparebank 1'!G7+'Sparebank 1'!G22+'Sparebank 1'!G66+'Sparebank 1'!G134</f>
        <v>1073722.1763800001</v>
      </c>
      <c r="D41" s="104">
        <f t="shared" si="7"/>
        <v>17.7</v>
      </c>
      <c r="E41" s="353">
        <f t="shared" si="8"/>
        <v>9.8453363390255433</v>
      </c>
      <c r="F41" s="103"/>
      <c r="G41" s="176">
        <f>'Sparebank 1'!F10+'Sparebank 1'!F29+'Sparebank 1'!F87+'Sparebank 1'!F135</f>
        <v>26221241.436800003</v>
      </c>
      <c r="H41" s="176">
        <f>'Sparebank 1'!G10+'Sparebank 1'!G29+'Sparebank 1'!G87+'Sparebank 1'!G135</f>
        <v>30793410.668050002</v>
      </c>
      <c r="I41" s="104">
        <f t="shared" si="9"/>
        <v>17.399999999999999</v>
      </c>
      <c r="J41" s="353">
        <f t="shared" si="10"/>
        <v>9.1037135248593728</v>
      </c>
      <c r="K41" s="139"/>
      <c r="L41" s="220">
        <f t="shared" ca="1" si="11"/>
        <v>0</v>
      </c>
      <c r="M41" s="218">
        <f t="shared" ca="1" si="12"/>
        <v>0</v>
      </c>
      <c r="N41" s="220">
        <f t="shared" ca="1" si="13"/>
        <v>0</v>
      </c>
      <c r="O41" s="218">
        <f t="shared" ca="1" si="14"/>
        <v>0</v>
      </c>
    </row>
    <row r="42" spans="1:20" ht="18.75" x14ac:dyDescent="0.3">
      <c r="A42" s="86" t="s">
        <v>101</v>
      </c>
      <c r="B42" s="130">
        <f>'Storebrand Livsforsikring'!F7+'Storebrand Livsforsikring'!F22+'Storebrand Livsforsikring'!F66+'Storebrand Livsforsikring'!F134</f>
        <v>2667749.4759999998</v>
      </c>
      <c r="C42" s="130">
        <f>'Storebrand Livsforsikring'!G7+'Storebrand Livsforsikring'!G22+'Storebrand Livsforsikring'!G66+'Storebrand Livsforsikring'!G134</f>
        <v>2762007.8890000004</v>
      </c>
      <c r="D42" s="104">
        <f t="shared" si="7"/>
        <v>3.5</v>
      </c>
      <c r="E42" s="353">
        <f t="shared" si="8"/>
        <v>25.325821927164068</v>
      </c>
      <c r="F42" s="103"/>
      <c r="G42" s="176">
        <f>'Storebrand Livsforsikring'!F10+'Storebrand Livsforsikring'!F29+'Storebrand Livsforsikring'!F87+'Storebrand Livsforsikring'!F135</f>
        <v>89292605.564999998</v>
      </c>
      <c r="H42" s="176">
        <f>'Storebrand Livsforsikring'!G10+'Storebrand Livsforsikring'!G29+'Storebrand Livsforsikring'!G87+'Storebrand Livsforsikring'!G135</f>
        <v>99882666.639999986</v>
      </c>
      <c r="I42" s="104">
        <f t="shared" si="9"/>
        <v>11.9</v>
      </c>
      <c r="J42" s="353">
        <f t="shared" si="10"/>
        <v>29.529148069753901</v>
      </c>
      <c r="K42" s="139"/>
      <c r="L42" s="220">
        <f t="shared" ca="1" si="11"/>
        <v>0</v>
      </c>
      <c r="M42" s="218">
        <f t="shared" ca="1" si="12"/>
        <v>0</v>
      </c>
      <c r="N42" s="220">
        <f t="shared" ca="1" si="13"/>
        <v>0</v>
      </c>
      <c r="O42" s="218">
        <f t="shared" ca="1" si="14"/>
        <v>0</v>
      </c>
    </row>
    <row r="43" spans="1:20" s="111" customFormat="1" ht="18.75" x14ac:dyDescent="0.3">
      <c r="A43" s="101" t="s">
        <v>105</v>
      </c>
      <c r="B43" s="238">
        <f>SUM(B33:B42)</f>
        <v>9263501.6889000013</v>
      </c>
      <c r="C43" s="238">
        <f>SUM(C33:C42)</f>
        <v>10905896.34936</v>
      </c>
      <c r="D43" s="104">
        <f t="shared" si="7"/>
        <v>17.7</v>
      </c>
      <c r="E43" s="354">
        <f>SUM(E33:E42)</f>
        <v>100</v>
      </c>
      <c r="F43" s="109"/>
      <c r="G43" s="178">
        <f>SUM(G33:G42)</f>
        <v>298480413.31316072</v>
      </c>
      <c r="H43" s="178">
        <f>SUM(H33:H42)</f>
        <v>338251094.8302899</v>
      </c>
      <c r="I43" s="104">
        <f t="shared" si="9"/>
        <v>13.3</v>
      </c>
      <c r="J43" s="354">
        <f>SUM(J33:J42)</f>
        <v>100.00000000000001</v>
      </c>
      <c r="K43" s="139"/>
      <c r="L43" s="220">
        <f ca="1">SUM(L33:L42)</f>
        <v>0</v>
      </c>
      <c r="M43" s="218">
        <f ca="1">SUM(M33:M42)</f>
        <v>0</v>
      </c>
      <c r="N43" s="220">
        <f ca="1">SUM(N33:N42)</f>
        <v>0</v>
      </c>
      <c r="O43" s="218">
        <f ca="1">SUM(O33:O42)</f>
        <v>0</v>
      </c>
    </row>
    <row r="44" spans="1:20" ht="18.75" x14ac:dyDescent="0.3">
      <c r="A44" s="101"/>
      <c r="B44" s="130"/>
      <c r="C44" s="109"/>
      <c r="D44" s="110"/>
      <c r="E44" s="353"/>
      <c r="F44" s="109"/>
      <c r="G44" s="178"/>
      <c r="H44" s="109"/>
      <c r="I44" s="110"/>
      <c r="J44" s="354"/>
      <c r="K44" s="139"/>
      <c r="L44" s="217" t="s">
        <v>106</v>
      </c>
      <c r="M44" s="223"/>
      <c r="N44" s="224"/>
      <c r="O44" s="223"/>
    </row>
    <row r="45" spans="1:20" ht="18.75" x14ac:dyDescent="0.3">
      <c r="A45" s="86"/>
      <c r="B45" s="130"/>
      <c r="C45" s="103"/>
      <c r="D45" s="104"/>
      <c r="E45" s="353"/>
      <c r="F45" s="103"/>
      <c r="G45" s="176"/>
      <c r="H45" s="103"/>
      <c r="I45" s="104"/>
      <c r="J45" s="353"/>
      <c r="K45" s="139"/>
      <c r="L45" s="221">
        <v>2015</v>
      </c>
      <c r="M45" s="222">
        <v>2016</v>
      </c>
      <c r="N45" s="221">
        <v>2015</v>
      </c>
      <c r="O45" s="222">
        <v>2016</v>
      </c>
    </row>
    <row r="46" spans="1:20" ht="18.75" x14ac:dyDescent="0.3">
      <c r="A46" s="101" t="s">
        <v>106</v>
      </c>
      <c r="B46" s="130"/>
      <c r="C46" s="103"/>
      <c r="D46" s="104"/>
      <c r="E46" s="353"/>
      <c r="F46" s="103"/>
      <c r="G46" s="176"/>
      <c r="H46" s="103"/>
      <c r="I46" s="104"/>
      <c r="J46" s="353"/>
      <c r="K46" s="139"/>
      <c r="L46" s="220"/>
      <c r="M46" s="218"/>
      <c r="N46" s="220"/>
      <c r="O46" s="218"/>
      <c r="P46" s="204"/>
      <c r="Q46" s="204"/>
      <c r="R46" s="204"/>
      <c r="S46" s="181"/>
      <c r="T46" s="139"/>
    </row>
    <row r="47" spans="1:20" ht="18.75" x14ac:dyDescent="0.3">
      <c r="A47" s="107" t="s">
        <v>86</v>
      </c>
      <c r="B47" s="130">
        <f>B9+B33</f>
        <v>618076.13399999996</v>
      </c>
      <c r="C47" s="103">
        <f>C9+C33</f>
        <v>613299.46799999999</v>
      </c>
      <c r="D47" s="104">
        <f t="shared" ref="D47:D68" si="15">IF(B47=0, "    ---- ", IF(ABS(ROUND(100/B47*C47-100,1))&lt;999,ROUND(100/B47*C47-100,1),IF(ROUND(100/B47*C47-100,1)&gt;999,999,-999)))</f>
        <v>-0.8</v>
      </c>
      <c r="E47" s="353">
        <f t="shared" ref="E47:E68" si="16">100/C$69*C47</f>
        <v>2.2770756851863543</v>
      </c>
      <c r="F47" s="103"/>
      <c r="G47" s="176">
        <f>G9+G33</f>
        <v>17762882.140999999</v>
      </c>
      <c r="H47" s="176">
        <f>H9+H33</f>
        <v>19417606.342</v>
      </c>
      <c r="I47" s="104">
        <f t="shared" ref="I47:I66" si="17">IF(G47=0, "    ---- ", IF(ABS(ROUND(100/G47*H47-100,1))&lt;999,ROUND(100/G47*H47-100,1),IF(ROUND(100/G47*H47-100,1)&gt;999,999,-999)))</f>
        <v>9.3000000000000007</v>
      </c>
      <c r="J47" s="353">
        <f t="shared" ref="J47:J68" si="18">100/H$69*H47</f>
        <v>1.433805589535005</v>
      </c>
      <c r="K47" s="139"/>
      <c r="L47" s="220">
        <f ca="1">L9+L33</f>
        <v>0</v>
      </c>
      <c r="M47" s="218">
        <f ca="1">M9+M33</f>
        <v>0</v>
      </c>
      <c r="N47" s="220" t="e">
        <f ca="1">N9+N33</f>
        <v>#REF!</v>
      </c>
      <c r="O47" s="218">
        <f ca="1">O9+O33</f>
        <v>0</v>
      </c>
      <c r="P47" s="204"/>
      <c r="Q47" s="204"/>
      <c r="R47" s="204"/>
      <c r="S47" s="181"/>
      <c r="T47" s="139"/>
    </row>
    <row r="48" spans="1:20" ht="18.75" x14ac:dyDescent="0.3">
      <c r="A48" s="86" t="s">
        <v>87</v>
      </c>
      <c r="B48" s="130">
        <f>B10+B34</f>
        <v>3706359</v>
      </c>
      <c r="C48" s="103">
        <f>+C10+C34</f>
        <v>4128465.8</v>
      </c>
      <c r="D48" s="104">
        <f t="shared" si="15"/>
        <v>11.4</v>
      </c>
      <c r="E48" s="353">
        <f t="shared" si="16"/>
        <v>15.328285088783788</v>
      </c>
      <c r="F48" s="103"/>
      <c r="G48" s="176">
        <f>+G10+G34</f>
        <v>277714492.5</v>
      </c>
      <c r="H48" s="176">
        <f>+H10+H34</f>
        <v>285535968.89700001</v>
      </c>
      <c r="I48" s="104">
        <f t="shared" si="17"/>
        <v>2.8</v>
      </c>
      <c r="J48" s="353">
        <f t="shared" si="18"/>
        <v>21.084116188527268</v>
      </c>
      <c r="K48" s="139"/>
      <c r="L48" s="220">
        <f ca="1">L10+L34</f>
        <v>0</v>
      </c>
      <c r="M48" s="218">
        <f ca="1">+M10+M34</f>
        <v>0</v>
      </c>
      <c r="N48" s="220" t="e">
        <f ca="1">+N10+N34</f>
        <v>#REF!</v>
      </c>
      <c r="O48" s="218">
        <f ca="1">+O10+O34</f>
        <v>0</v>
      </c>
      <c r="P48" s="204"/>
      <c r="Q48" s="204"/>
      <c r="R48" s="204"/>
      <c r="S48" s="181"/>
      <c r="T48" s="139"/>
    </row>
    <row r="49" spans="1:20" ht="18.75" x14ac:dyDescent="0.3">
      <c r="A49" s="86" t="s">
        <v>88</v>
      </c>
      <c r="B49" s="130">
        <f>B11</f>
        <v>66623</v>
      </c>
      <c r="C49" s="103">
        <f>C11</f>
        <v>73468</v>
      </c>
      <c r="D49" s="104">
        <f t="shared" si="15"/>
        <v>10.3</v>
      </c>
      <c r="E49" s="353">
        <f t="shared" si="16"/>
        <v>0.27277407721356622</v>
      </c>
      <c r="F49" s="103"/>
      <c r="G49" s="176">
        <f>G11</f>
        <v>0</v>
      </c>
      <c r="H49" s="176">
        <f>H11</f>
        <v>0</v>
      </c>
      <c r="I49" s="104"/>
      <c r="J49" s="353">
        <f t="shared" si="18"/>
        <v>0</v>
      </c>
      <c r="K49" s="139"/>
      <c r="L49" s="220">
        <f ca="1">L11</f>
        <v>0</v>
      </c>
      <c r="M49" s="218">
        <f ca="1">M11</f>
        <v>0</v>
      </c>
      <c r="N49" s="220" t="e">
        <f ca="1">N11</f>
        <v>#REF!</v>
      </c>
      <c r="O49" s="218">
        <f ca="1">+O11+O35</f>
        <v>0</v>
      </c>
      <c r="P49" s="204"/>
      <c r="Q49" s="204"/>
      <c r="R49" s="204"/>
      <c r="S49" s="181"/>
      <c r="T49" s="139"/>
    </row>
    <row r="50" spans="1:20" ht="18.75" x14ac:dyDescent="0.3">
      <c r="A50" s="107" t="s">
        <v>89</v>
      </c>
      <c r="B50" s="130">
        <f>B12+B35</f>
        <v>548648</v>
      </c>
      <c r="C50" s="105">
        <f>C12+C35</f>
        <v>589738</v>
      </c>
      <c r="D50" s="106">
        <f t="shared" si="15"/>
        <v>7.5</v>
      </c>
      <c r="E50" s="355">
        <f t="shared" si="16"/>
        <v>2.1895959975468791</v>
      </c>
      <c r="F50" s="105"/>
      <c r="G50" s="177">
        <f>G12+G35</f>
        <v>4200592</v>
      </c>
      <c r="H50" s="177">
        <f>H12+H35</f>
        <v>4785232.79</v>
      </c>
      <c r="I50" s="104">
        <f t="shared" si="17"/>
        <v>13.9</v>
      </c>
      <c r="J50" s="353">
        <f t="shared" si="18"/>
        <v>0.35334393955076437</v>
      </c>
      <c r="K50" s="139"/>
      <c r="L50" s="220">
        <f ca="1">L12+L35</f>
        <v>0</v>
      </c>
      <c r="M50" s="218">
        <f ca="1">M12+M35</f>
        <v>0</v>
      </c>
      <c r="N50" s="220" t="e">
        <f ca="1">N12+N35</f>
        <v>#REF!</v>
      </c>
      <c r="O50" s="218">
        <f ca="1">O12+O35</f>
        <v>0</v>
      </c>
      <c r="P50" s="207"/>
      <c r="Q50" s="207"/>
      <c r="R50" s="207"/>
      <c r="S50" s="181"/>
      <c r="T50" s="139"/>
    </row>
    <row r="51" spans="1:20" ht="18.75" x14ac:dyDescent="0.3">
      <c r="A51" s="107" t="s">
        <v>90</v>
      </c>
      <c r="B51" s="130">
        <f>B13</f>
        <v>4814</v>
      </c>
      <c r="C51" s="105">
        <f>C13</f>
        <v>1699</v>
      </c>
      <c r="D51" s="106">
        <f t="shared" si="15"/>
        <v>-64.7</v>
      </c>
      <c r="E51" s="355">
        <f t="shared" si="16"/>
        <v>6.3080954590549491E-3</v>
      </c>
      <c r="F51" s="105"/>
      <c r="G51" s="177">
        <f>G13</f>
        <v>0</v>
      </c>
      <c r="H51" s="177">
        <f>H13</f>
        <v>0</v>
      </c>
      <c r="I51" s="104"/>
      <c r="J51" s="353">
        <f t="shared" si="18"/>
        <v>0</v>
      </c>
      <c r="K51" s="139"/>
      <c r="L51" s="220">
        <f ca="1">L13</f>
        <v>0</v>
      </c>
      <c r="M51" s="218">
        <f ca="1">M13</f>
        <v>0</v>
      </c>
      <c r="N51" s="220" t="e">
        <f ca="1">N13</f>
        <v>#REF!</v>
      </c>
      <c r="O51" s="218">
        <f ca="1">O13</f>
        <v>0</v>
      </c>
      <c r="P51" s="207"/>
      <c r="Q51" s="207"/>
      <c r="R51" s="207"/>
      <c r="S51" s="181"/>
      <c r="T51" s="139"/>
    </row>
    <row r="52" spans="1:20" ht="18.75" x14ac:dyDescent="0.3">
      <c r="A52" s="86" t="s">
        <v>91</v>
      </c>
      <c r="B52" s="103">
        <f>B14</f>
        <v>1052245</v>
      </c>
      <c r="C52" s="103">
        <f>+C14</f>
        <v>1031602</v>
      </c>
      <c r="D52" s="104">
        <f t="shared" si="15"/>
        <v>-2</v>
      </c>
      <c r="E52" s="353">
        <f t="shared" si="16"/>
        <v>3.83016120762331</v>
      </c>
      <c r="F52" s="103"/>
      <c r="G52" s="176">
        <f>+G14</f>
        <v>0</v>
      </c>
      <c r="H52" s="176">
        <f>+H14</f>
        <v>0</v>
      </c>
      <c r="I52" s="104"/>
      <c r="J52" s="353">
        <f t="shared" si="18"/>
        <v>0</v>
      </c>
      <c r="K52" s="139"/>
      <c r="L52" s="220">
        <f ca="1">L14</f>
        <v>0</v>
      </c>
      <c r="M52" s="218">
        <f ca="1">+M14</f>
        <v>0</v>
      </c>
      <c r="N52" s="220" t="e">
        <f ca="1">+N14</f>
        <v>#REF!</v>
      </c>
      <c r="O52" s="218">
        <f ca="1">+O14</f>
        <v>0</v>
      </c>
      <c r="P52" s="204"/>
      <c r="Q52" s="204"/>
      <c r="R52" s="204"/>
      <c r="S52" s="181"/>
      <c r="T52" s="139"/>
    </row>
    <row r="53" spans="1:20" ht="18.75" x14ac:dyDescent="0.3">
      <c r="A53" s="86" t="s">
        <v>92</v>
      </c>
      <c r="B53" s="103">
        <f>B15+B36</f>
        <v>860118</v>
      </c>
      <c r="C53" s="103">
        <f>C15+C36</f>
        <v>983126</v>
      </c>
      <c r="D53" s="104">
        <f t="shared" si="15"/>
        <v>14.3</v>
      </c>
      <c r="E53" s="353">
        <f t="shared" si="16"/>
        <v>3.6501781378922047</v>
      </c>
      <c r="F53" s="103"/>
      <c r="G53" s="176">
        <f>G15+G36</f>
        <v>28922629</v>
      </c>
      <c r="H53" s="176">
        <f>H15+H36</f>
        <v>33680595</v>
      </c>
      <c r="I53" s="104">
        <f t="shared" si="17"/>
        <v>16.5</v>
      </c>
      <c r="J53" s="353">
        <f t="shared" si="18"/>
        <v>2.4869916775174854</v>
      </c>
      <c r="K53" s="139"/>
      <c r="L53" s="220">
        <f ca="1">L15+L36</f>
        <v>0</v>
      </c>
      <c r="M53" s="218">
        <f ca="1">M15+M36</f>
        <v>0</v>
      </c>
      <c r="N53" s="220" t="e">
        <f ca="1">N15+N36</f>
        <v>#REF!</v>
      </c>
      <c r="O53" s="218">
        <f ca="1">O15+O36</f>
        <v>0</v>
      </c>
      <c r="P53" s="204"/>
      <c r="Q53" s="204"/>
      <c r="R53" s="204"/>
      <c r="S53" s="181"/>
      <c r="T53" s="139"/>
    </row>
    <row r="54" spans="1:20" ht="18.75" x14ac:dyDescent="0.3">
      <c r="A54" s="86" t="s">
        <v>93</v>
      </c>
      <c r="B54" s="103">
        <f>B16</f>
        <v>10248</v>
      </c>
      <c r="C54" s="103">
        <f>+C16</f>
        <v>9227.8753499999984</v>
      </c>
      <c r="D54" s="104">
        <f t="shared" si="15"/>
        <v>-10</v>
      </c>
      <c r="E54" s="353">
        <f t="shared" si="16"/>
        <v>3.4261517711630426E-2</v>
      </c>
      <c r="F54" s="103"/>
      <c r="G54" s="176">
        <f>+G16</f>
        <v>23193</v>
      </c>
      <c r="H54" s="176">
        <f>+H16</f>
        <v>24156.061791620199</v>
      </c>
      <c r="I54" s="104">
        <f t="shared" si="17"/>
        <v>4.2</v>
      </c>
      <c r="J54" s="353">
        <f t="shared" si="18"/>
        <v>1.7836954672967491E-3</v>
      </c>
      <c r="K54" s="139"/>
      <c r="L54" s="220">
        <f ca="1">L16</f>
        <v>0</v>
      </c>
      <c r="M54" s="218">
        <f t="shared" ref="M54:O55" ca="1" si="19">+M16</f>
        <v>0</v>
      </c>
      <c r="N54" s="220" t="e">
        <f t="shared" ca="1" si="19"/>
        <v>#REF!</v>
      </c>
      <c r="O54" s="218">
        <f t="shared" ca="1" si="19"/>
        <v>0</v>
      </c>
      <c r="P54" s="204"/>
      <c r="Q54" s="204"/>
      <c r="R54" s="204"/>
      <c r="S54" s="181"/>
      <c r="T54" s="139"/>
    </row>
    <row r="55" spans="1:20" ht="18.75" x14ac:dyDescent="0.3">
      <c r="A55" s="86" t="s">
        <v>94</v>
      </c>
      <c r="B55" s="103">
        <f>B17</f>
        <v>153678.71638</v>
      </c>
      <c r="C55" s="103">
        <f>+C17</f>
        <v>152402.34600000002</v>
      </c>
      <c r="D55" s="104">
        <f t="shared" si="15"/>
        <v>-0.8</v>
      </c>
      <c r="E55" s="353">
        <f t="shared" si="16"/>
        <v>0.56584375912414442</v>
      </c>
      <c r="F55" s="103"/>
      <c r="G55" s="176">
        <f>+G17</f>
        <v>0</v>
      </c>
      <c r="H55" s="176">
        <f>+H17</f>
        <v>0</v>
      </c>
      <c r="I55" s="104"/>
      <c r="J55" s="353">
        <f t="shared" si="18"/>
        <v>0</v>
      </c>
      <c r="K55" s="139"/>
      <c r="L55" s="220">
        <f ca="1">L17</f>
        <v>0</v>
      </c>
      <c r="M55" s="218">
        <f t="shared" ca="1" si="19"/>
        <v>0</v>
      </c>
      <c r="N55" s="220" t="e">
        <f t="shared" ca="1" si="19"/>
        <v>#REF!</v>
      </c>
      <c r="O55" s="218">
        <f t="shared" ca="1" si="19"/>
        <v>0</v>
      </c>
      <c r="P55" s="204"/>
      <c r="Q55" s="204"/>
      <c r="R55" s="204"/>
      <c r="S55" s="181"/>
      <c r="T55" s="139"/>
    </row>
    <row r="56" spans="1:20" ht="18.75" x14ac:dyDescent="0.3">
      <c r="A56" s="86" t="s">
        <v>63</v>
      </c>
      <c r="B56" s="105">
        <f>B18+B37</f>
        <v>6328298.2141200006</v>
      </c>
      <c r="C56" s="105">
        <f>C18+C37</f>
        <v>6704777.3302199999</v>
      </c>
      <c r="D56" s="106">
        <f t="shared" si="15"/>
        <v>5.9</v>
      </c>
      <c r="E56" s="355">
        <f t="shared" si="16"/>
        <v>24.893687716736519</v>
      </c>
      <c r="F56" s="105"/>
      <c r="G56" s="177">
        <f>G18+G37</f>
        <v>453056558.18492001</v>
      </c>
      <c r="H56" s="177">
        <f>H18+H37</f>
        <v>479761272.07800001</v>
      </c>
      <c r="I56" s="104">
        <f t="shared" si="17"/>
        <v>5.9</v>
      </c>
      <c r="J56" s="353">
        <f t="shared" si="18"/>
        <v>35.42580797201439</v>
      </c>
      <c r="K56" s="139"/>
      <c r="L56" s="220">
        <f ca="1">L18+L37</f>
        <v>0</v>
      </c>
      <c r="M56" s="218">
        <f ca="1">M18+M37</f>
        <v>0</v>
      </c>
      <c r="N56" s="220" t="e">
        <f ca="1">N18+N37</f>
        <v>#REF!</v>
      </c>
      <c r="O56" s="218">
        <f ca="1">O18+O37</f>
        <v>0</v>
      </c>
      <c r="P56" s="207"/>
      <c r="Q56" s="207"/>
      <c r="R56" s="207"/>
      <c r="S56" s="181"/>
      <c r="T56" s="139"/>
    </row>
    <row r="57" spans="1:20" ht="18.75" x14ac:dyDescent="0.3">
      <c r="A57" s="86" t="s">
        <v>95</v>
      </c>
      <c r="B57" s="103">
        <f>B19+B38</f>
        <v>129187</v>
      </c>
      <c r="C57" s="103">
        <f>+C19+C38</f>
        <v>159307</v>
      </c>
      <c r="D57" s="104">
        <f t="shared" si="15"/>
        <v>23.3</v>
      </c>
      <c r="E57" s="353">
        <f t="shared" si="16"/>
        <v>0.59147955461781443</v>
      </c>
      <c r="F57" s="103"/>
      <c r="G57" s="176">
        <f>G19+G38</f>
        <v>4333164</v>
      </c>
      <c r="H57" s="176">
        <f>H19+H38</f>
        <v>5507660</v>
      </c>
      <c r="I57" s="104">
        <f t="shared" si="17"/>
        <v>27.1</v>
      </c>
      <c r="J57" s="353">
        <f t="shared" si="18"/>
        <v>0.40668831956786849</v>
      </c>
      <c r="K57" s="139"/>
      <c r="L57" s="220">
        <f ca="1">L19+L38</f>
        <v>0</v>
      </c>
      <c r="M57" s="218">
        <f ca="1">+M19+M38</f>
        <v>0</v>
      </c>
      <c r="N57" s="220" t="e">
        <f ca="1">N19+N38</f>
        <v>#REF!</v>
      </c>
      <c r="O57" s="218">
        <f ca="1">O19+O38</f>
        <v>0</v>
      </c>
      <c r="P57" s="204"/>
      <c r="Q57" s="204"/>
      <c r="R57" s="204"/>
      <c r="S57" s="181"/>
      <c r="T57" s="139"/>
    </row>
    <row r="58" spans="1:20" ht="18.75" x14ac:dyDescent="0.3">
      <c r="A58" s="86" t="s">
        <v>96</v>
      </c>
      <c r="B58" s="103">
        <f t="shared" ref="B58:C60" si="20">B20</f>
        <v>107643.077</v>
      </c>
      <c r="C58" s="103">
        <f t="shared" si="20"/>
        <v>136835</v>
      </c>
      <c r="D58" s="104">
        <f t="shared" si="15"/>
        <v>27.1</v>
      </c>
      <c r="E58" s="353">
        <f t="shared" si="16"/>
        <v>0.50804487471441084</v>
      </c>
      <c r="F58" s="103"/>
      <c r="G58" s="176">
        <f t="shared" ref="G58:H60" si="21">G20</f>
        <v>12214.147999999999</v>
      </c>
      <c r="H58" s="176">
        <f t="shared" si="21"/>
        <v>23088</v>
      </c>
      <c r="I58" s="104">
        <f t="shared" si="17"/>
        <v>89</v>
      </c>
      <c r="J58" s="353">
        <f t="shared" si="18"/>
        <v>1.704829260009323E-3</v>
      </c>
      <c r="K58" s="139"/>
      <c r="L58" s="220">
        <f t="shared" ref="L58:O60" ca="1" si="22">L20</f>
        <v>0</v>
      </c>
      <c r="M58" s="218">
        <f t="shared" ca="1" si="22"/>
        <v>0</v>
      </c>
      <c r="N58" s="220" t="e">
        <f t="shared" ca="1" si="22"/>
        <v>#REF!</v>
      </c>
      <c r="O58" s="218">
        <f t="shared" ca="1" si="22"/>
        <v>0</v>
      </c>
      <c r="P58" s="204"/>
      <c r="Q58" s="204"/>
      <c r="R58" s="204"/>
      <c r="S58" s="181"/>
      <c r="T58" s="139"/>
    </row>
    <row r="59" spans="1:20" ht="18.75" x14ac:dyDescent="0.3">
      <c r="A59" s="86" t="s">
        <v>97</v>
      </c>
      <c r="B59" s="103">
        <f t="shared" si="20"/>
        <v>21888.014999999999</v>
      </c>
      <c r="C59" s="103">
        <f t="shared" si="20"/>
        <v>22249</v>
      </c>
      <c r="D59" s="104">
        <f t="shared" si="15"/>
        <v>1.6</v>
      </c>
      <c r="E59" s="353">
        <f t="shared" si="16"/>
        <v>8.2606719169225171E-2</v>
      </c>
      <c r="F59" s="103"/>
      <c r="G59" s="176">
        <f t="shared" si="21"/>
        <v>0</v>
      </c>
      <c r="H59" s="176">
        <f t="shared" si="21"/>
        <v>0</v>
      </c>
      <c r="I59" s="104"/>
      <c r="J59" s="353">
        <f t="shared" si="18"/>
        <v>0</v>
      </c>
      <c r="K59" s="139"/>
      <c r="L59" s="220">
        <f t="shared" ca="1" si="22"/>
        <v>0</v>
      </c>
      <c r="M59" s="218">
        <f t="shared" ca="1" si="22"/>
        <v>0</v>
      </c>
      <c r="N59" s="220" t="e">
        <f t="shared" ca="1" si="22"/>
        <v>#REF!</v>
      </c>
      <c r="O59" s="218">
        <f t="shared" ca="1" si="22"/>
        <v>0</v>
      </c>
      <c r="P59" s="204"/>
      <c r="Q59" s="204"/>
      <c r="R59" s="204"/>
      <c r="S59" s="181"/>
      <c r="T59" s="139"/>
    </row>
    <row r="60" spans="1:20" ht="18.75" x14ac:dyDescent="0.3">
      <c r="A60" s="86" t="s">
        <v>98</v>
      </c>
      <c r="B60" s="103">
        <f t="shared" si="20"/>
        <v>620.45399999999995</v>
      </c>
      <c r="C60" s="103">
        <f t="shared" si="20"/>
        <v>4425.9740000000002</v>
      </c>
      <c r="D60" s="104">
        <f t="shared" si="15"/>
        <v>613.29999999999995</v>
      </c>
      <c r="E60" s="353">
        <f t="shared" si="16"/>
        <v>1.643288198428209E-2</v>
      </c>
      <c r="F60" s="103"/>
      <c r="G60" s="176">
        <f t="shared" si="21"/>
        <v>0</v>
      </c>
      <c r="H60" s="176">
        <f t="shared" si="21"/>
        <v>2618.067</v>
      </c>
      <c r="I60" s="104" t="str">
        <f t="shared" si="17"/>
        <v xml:space="preserve">    ---- </v>
      </c>
      <c r="J60" s="353">
        <f t="shared" si="18"/>
        <v>1.9331935318194854E-4</v>
      </c>
      <c r="K60" s="139"/>
      <c r="L60" s="220">
        <f t="shared" ca="1" si="22"/>
        <v>0</v>
      </c>
      <c r="M60" s="218">
        <f t="shared" ca="1" si="22"/>
        <v>0</v>
      </c>
      <c r="N60" s="220" t="e">
        <f t="shared" ca="1" si="22"/>
        <v>#REF!</v>
      </c>
      <c r="O60" s="218">
        <f t="shared" ca="1" si="22"/>
        <v>0</v>
      </c>
      <c r="P60" s="204"/>
      <c r="Q60" s="204"/>
      <c r="R60" s="204"/>
      <c r="S60" s="181"/>
      <c r="T60" s="139"/>
    </row>
    <row r="61" spans="1:20" ht="18.75" x14ac:dyDescent="0.3">
      <c r="A61" s="107" t="s">
        <v>68</v>
      </c>
      <c r="B61" s="103">
        <f>B23+B39</f>
        <v>2960717.1952293962</v>
      </c>
      <c r="C61" s="103">
        <f>+C23+C39</f>
        <v>3727156.4762758147</v>
      </c>
      <c r="D61" s="104">
        <f t="shared" si="15"/>
        <v>25.9</v>
      </c>
      <c r="E61" s="353">
        <f t="shared" si="16"/>
        <v>13.838292432714956</v>
      </c>
      <c r="F61" s="103"/>
      <c r="G61" s="176">
        <f>+G23+G39</f>
        <v>108274998.58530051</v>
      </c>
      <c r="H61" s="176">
        <f>+H23+H39</f>
        <v>115844472.35331395</v>
      </c>
      <c r="I61" s="104">
        <f t="shared" si="17"/>
        <v>7</v>
      </c>
      <c r="J61" s="353">
        <f t="shared" si="18"/>
        <v>8.5540127372778372</v>
      </c>
      <c r="K61" s="139"/>
      <c r="L61" s="220">
        <f ca="1">L23+L39</f>
        <v>0</v>
      </c>
      <c r="M61" s="218">
        <f ca="1">+M23+M39</f>
        <v>0</v>
      </c>
      <c r="N61" s="220" t="e">
        <f ca="1">+N23+N39</f>
        <v>#REF!</v>
      </c>
      <c r="O61" s="218">
        <f ca="1">+O23+O39</f>
        <v>0</v>
      </c>
      <c r="P61" s="204"/>
      <c r="Q61" s="204"/>
      <c r="R61" s="204"/>
      <c r="S61" s="181"/>
      <c r="T61" s="139"/>
    </row>
    <row r="62" spans="1:20" ht="18.75" customHeight="1" x14ac:dyDescent="0.3">
      <c r="A62" s="107" t="s">
        <v>100</v>
      </c>
      <c r="B62" s="103">
        <f>B24</f>
        <v>725316</v>
      </c>
      <c r="C62" s="103">
        <f>C24</f>
        <v>973969.14500999998</v>
      </c>
      <c r="D62" s="104">
        <f t="shared" si="15"/>
        <v>34.299999999999997</v>
      </c>
      <c r="E62" s="353">
        <f t="shared" si="16"/>
        <v>3.6161803065904721</v>
      </c>
      <c r="F62" s="103"/>
      <c r="G62" s="176">
        <f>G24</f>
        <v>71272663</v>
      </c>
      <c r="H62" s="176">
        <f>H24</f>
        <v>75420758.385900304</v>
      </c>
      <c r="I62" s="104">
        <f t="shared" si="17"/>
        <v>5.8</v>
      </c>
      <c r="J62" s="353">
        <f t="shared" si="18"/>
        <v>5.5691058432248939</v>
      </c>
      <c r="K62" s="139"/>
      <c r="L62" s="220">
        <f ca="1">L24</f>
        <v>0</v>
      </c>
      <c r="M62" s="218">
        <f ca="1">M24</f>
        <v>0</v>
      </c>
      <c r="N62" s="220" t="e">
        <f ca="1">N24</f>
        <v>#REF!</v>
      </c>
      <c r="O62" s="218">
        <f ca="1">O24</f>
        <v>0</v>
      </c>
      <c r="P62" s="204"/>
      <c r="Q62" s="204"/>
      <c r="R62" s="204"/>
      <c r="S62" s="181"/>
      <c r="T62" s="139"/>
    </row>
    <row r="63" spans="1:20" ht="18.75" customHeight="1" x14ac:dyDescent="0.3">
      <c r="A63" s="107" t="s">
        <v>370</v>
      </c>
      <c r="B63" s="103">
        <f>B25</f>
        <v>0</v>
      </c>
      <c r="C63" s="103">
        <f>C25</f>
        <v>174427.98112853389</v>
      </c>
      <c r="D63" s="104" t="str">
        <f t="shared" ref="D63" si="23">IF(B63=0, "    ---- ", IF(ABS(ROUND(100/B63*C63-100,1))&lt;999,ROUND(100/B63*C63-100,1),IF(ROUND(100/B63*C63-100,1)&gt;999,999,-999)))</f>
        <v xml:space="preserve">    ---- </v>
      </c>
      <c r="E63" s="353">
        <f t="shared" si="16"/>
        <v>0.64762116285404769</v>
      </c>
      <c r="F63" s="103"/>
      <c r="G63" s="176">
        <f>G25</f>
        <v>0</v>
      </c>
      <c r="H63" s="176">
        <f>H25</f>
        <v>0</v>
      </c>
      <c r="I63" s="104"/>
      <c r="J63" s="353">
        <f t="shared" si="18"/>
        <v>0</v>
      </c>
      <c r="K63" s="139"/>
      <c r="L63" s="220"/>
      <c r="M63" s="218"/>
      <c r="N63" s="220"/>
      <c r="O63" s="218"/>
      <c r="P63" s="204"/>
      <c r="Q63" s="204"/>
      <c r="R63" s="204"/>
      <c r="S63" s="181"/>
      <c r="T63" s="139"/>
    </row>
    <row r="64" spans="1:20" ht="18.75" customHeight="1" x14ac:dyDescent="0.3">
      <c r="A64" s="107" t="s">
        <v>74</v>
      </c>
      <c r="B64" s="103">
        <f>B40</f>
        <v>42877</v>
      </c>
      <c r="C64" s="103">
        <f>C40</f>
        <v>38700.716099999998</v>
      </c>
      <c r="D64" s="104">
        <f t="shared" si="15"/>
        <v>-9.6999999999999993</v>
      </c>
      <c r="E64" s="353">
        <f t="shared" si="16"/>
        <v>0.14368911800622999</v>
      </c>
      <c r="F64" s="103"/>
      <c r="G64" s="176">
        <f>G40</f>
        <v>2055445</v>
      </c>
      <c r="H64" s="176">
        <f>H40</f>
        <v>2236863.3610899998</v>
      </c>
      <c r="I64" s="104">
        <f t="shared" si="17"/>
        <v>8.8000000000000007</v>
      </c>
      <c r="J64" s="353">
        <f t="shared" si="18"/>
        <v>0.16517108925108417</v>
      </c>
      <c r="K64" s="139"/>
      <c r="L64" s="220">
        <f ca="1">L40</f>
        <v>0</v>
      </c>
      <c r="M64" s="218">
        <f ca="1">M40</f>
        <v>0</v>
      </c>
      <c r="N64" s="220">
        <f ca="1">N40</f>
        <v>0</v>
      </c>
      <c r="O64" s="218">
        <f ca="1">O40</f>
        <v>0</v>
      </c>
      <c r="P64" s="204"/>
      <c r="Q64" s="204"/>
      <c r="R64" s="204"/>
      <c r="S64" s="181"/>
      <c r="T64" s="139"/>
    </row>
    <row r="65" spans="1:240" ht="18.75" customHeight="1" x14ac:dyDescent="0.3">
      <c r="A65" s="86" t="s">
        <v>70</v>
      </c>
      <c r="B65" s="103">
        <f>B26+B41</f>
        <v>1728965.2914100001</v>
      </c>
      <c r="C65" s="103">
        <f>+C26+C41</f>
        <v>1967935.4851500001</v>
      </c>
      <c r="D65" s="104">
        <f t="shared" si="15"/>
        <v>13.8</v>
      </c>
      <c r="E65" s="353">
        <f t="shared" si="16"/>
        <v>7.3066067672676951</v>
      </c>
      <c r="F65" s="103"/>
      <c r="G65" s="176">
        <f>+G26+G41</f>
        <v>45220180.622320004</v>
      </c>
      <c r="H65" s="176">
        <f>+H26+H41</f>
        <v>50870905.05116</v>
      </c>
      <c r="I65" s="104">
        <f t="shared" si="17"/>
        <v>12.5</v>
      </c>
      <c r="J65" s="353">
        <f t="shared" si="18"/>
        <v>3.7563326149676728</v>
      </c>
      <c r="K65" s="139"/>
      <c r="L65" s="220">
        <f ca="1">L26+L41</f>
        <v>0</v>
      </c>
      <c r="M65" s="218">
        <f t="shared" ref="M65:O66" ca="1" si="24">+M26+M41</f>
        <v>0</v>
      </c>
      <c r="N65" s="220" t="e">
        <f t="shared" ca="1" si="24"/>
        <v>#REF!</v>
      </c>
      <c r="O65" s="218">
        <f t="shared" ca="1" si="24"/>
        <v>0</v>
      </c>
      <c r="P65" s="204"/>
      <c r="Q65" s="204"/>
      <c r="R65" s="204"/>
      <c r="S65" s="181"/>
      <c r="T65" s="139"/>
    </row>
    <row r="66" spans="1:240" ht="18.75" customHeight="1" x14ac:dyDescent="0.3">
      <c r="A66" s="86" t="s">
        <v>101</v>
      </c>
      <c r="B66" s="103">
        <f>B42+B27</f>
        <v>4975292.1030000001</v>
      </c>
      <c r="C66" s="103">
        <f>+C27+C42</f>
        <v>4942993.813000001</v>
      </c>
      <c r="D66" s="104">
        <f t="shared" si="15"/>
        <v>-0.6</v>
      </c>
      <c r="E66" s="353">
        <f t="shared" si="16"/>
        <v>18.352487831619786</v>
      </c>
      <c r="F66" s="103"/>
      <c r="G66" s="176">
        <f>+G27+G42</f>
        <v>270363114.31099999</v>
      </c>
      <c r="H66" s="176">
        <f>+H27+H42</f>
        <v>281159318.648</v>
      </c>
      <c r="I66" s="104">
        <f t="shared" si="17"/>
        <v>4</v>
      </c>
      <c r="J66" s="353">
        <f t="shared" si="18"/>
        <v>20.760942184485241</v>
      </c>
      <c r="K66" s="139"/>
      <c r="L66" s="220">
        <f ca="1">L42+L27</f>
        <v>0</v>
      </c>
      <c r="M66" s="218">
        <f t="shared" ca="1" si="24"/>
        <v>0</v>
      </c>
      <c r="N66" s="220" t="e">
        <f t="shared" ca="1" si="24"/>
        <v>#REF!</v>
      </c>
      <c r="O66" s="218">
        <f t="shared" ca="1" si="24"/>
        <v>0</v>
      </c>
      <c r="P66" s="204"/>
      <c r="Q66" s="204"/>
      <c r="R66" s="204"/>
      <c r="S66" s="181"/>
      <c r="T66" s="139"/>
    </row>
    <row r="67" spans="1:240" ht="18.75" customHeight="1" x14ac:dyDescent="0.3">
      <c r="A67" s="86" t="s">
        <v>102</v>
      </c>
      <c r="B67" s="103">
        <f>B28</f>
        <v>0</v>
      </c>
      <c r="C67" s="103">
        <f>+C28</f>
        <v>0</v>
      </c>
      <c r="D67" s="104"/>
      <c r="E67" s="353">
        <f t="shared" si="16"/>
        <v>0</v>
      </c>
      <c r="F67" s="103"/>
      <c r="G67" s="176">
        <f>+G28</f>
        <v>0</v>
      </c>
      <c r="H67" s="176">
        <f>+H28</f>
        <v>0</v>
      </c>
      <c r="I67" s="104"/>
      <c r="J67" s="353">
        <f t="shared" si="18"/>
        <v>0</v>
      </c>
      <c r="K67" s="139"/>
      <c r="L67" s="220">
        <f ca="1">L28</f>
        <v>0</v>
      </c>
      <c r="M67" s="218">
        <f t="shared" ref="M67:O68" ca="1" si="25">+M28</f>
        <v>0</v>
      </c>
      <c r="N67" s="220" t="e">
        <f t="shared" ca="1" si="25"/>
        <v>#REF!</v>
      </c>
      <c r="O67" s="218">
        <f t="shared" ca="1" si="25"/>
        <v>0</v>
      </c>
      <c r="P67" s="204"/>
      <c r="Q67" s="204"/>
      <c r="R67" s="204"/>
      <c r="S67" s="181"/>
      <c r="T67" s="139"/>
    </row>
    <row r="68" spans="1:240" ht="18.75" customHeight="1" x14ac:dyDescent="0.3">
      <c r="A68" s="86" t="s">
        <v>103</v>
      </c>
      <c r="B68" s="103">
        <f>B29</f>
        <v>417186</v>
      </c>
      <c r="C68" s="103">
        <f>+C29</f>
        <v>497838</v>
      </c>
      <c r="D68" s="104">
        <f t="shared" si="15"/>
        <v>19.3</v>
      </c>
      <c r="E68" s="353">
        <f t="shared" si="16"/>
        <v>1.8483870671836362</v>
      </c>
      <c r="F68" s="103"/>
      <c r="G68" s="176">
        <f>+G29</f>
        <v>0</v>
      </c>
      <c r="H68" s="176">
        <f>+H29</f>
        <v>0</v>
      </c>
      <c r="I68" s="104"/>
      <c r="J68" s="353">
        <f t="shared" si="18"/>
        <v>0</v>
      </c>
      <c r="K68" s="139"/>
      <c r="L68" s="220">
        <f ca="1">L29</f>
        <v>0</v>
      </c>
      <c r="M68" s="218">
        <f t="shared" ca="1" si="25"/>
        <v>0</v>
      </c>
      <c r="N68" s="220" t="e">
        <f t="shared" ca="1" si="25"/>
        <v>#REF!</v>
      </c>
      <c r="O68" s="218">
        <f t="shared" ca="1" si="25"/>
        <v>0</v>
      </c>
      <c r="P68" s="204"/>
      <c r="Q68" s="204"/>
      <c r="R68" s="204"/>
      <c r="S68" s="181"/>
      <c r="T68" s="139"/>
    </row>
    <row r="69" spans="1:240" s="111" customFormat="1" ht="18.75" customHeight="1" x14ac:dyDescent="0.3">
      <c r="A69" s="113" t="s">
        <v>2</v>
      </c>
      <c r="B69" s="114">
        <f>SUM(B47:B68)</f>
        <v>24458800.200139396</v>
      </c>
      <c r="C69" s="114">
        <f>SUM(C47:C68)</f>
        <v>26933644.410234347</v>
      </c>
      <c r="D69" s="115">
        <f>IF(B69=0, "    ---- ", IF(ABS(ROUND(100/B69*C69-100,1))&lt;999,ROUND(100/B69*C69-100,1),IF(ROUND(100/B69*C69-100,1)&gt;999,999,-999)))</f>
        <v>10.1</v>
      </c>
      <c r="E69" s="356">
        <f>SUM(E47:E68)</f>
        <v>100</v>
      </c>
      <c r="F69" s="109"/>
      <c r="G69" s="180">
        <f>SUM(G47:G68)</f>
        <v>1283212126.4925406</v>
      </c>
      <c r="H69" s="180">
        <f>SUM(H47:H68)</f>
        <v>1354270515.0352559</v>
      </c>
      <c r="I69" s="115">
        <f>IF(G69=0, "    ---- ", IF(ABS(ROUND(100/G69*H69-100,1))&lt;999,ROUND(100/G69*H69-100,1),IF(ROUND(100/G69*H69-100,1)&gt;999,999,-999)))</f>
        <v>5.5</v>
      </c>
      <c r="J69" s="356">
        <f>SUM(J47:J68)</f>
        <v>100</v>
      </c>
      <c r="K69" s="179"/>
      <c r="L69" s="225">
        <f ca="1">SUM(L47:L68)</f>
        <v>0</v>
      </c>
      <c r="M69" s="226">
        <f ca="1">SUM(M47:M68)</f>
        <v>0</v>
      </c>
      <c r="N69" s="225" t="e">
        <f ca="1">SUM(N47:N68)</f>
        <v>#REF!</v>
      </c>
      <c r="O69" s="226">
        <f ca="1">SUM(O47:O68)</f>
        <v>0</v>
      </c>
      <c r="P69" s="206"/>
      <c r="Q69" s="206"/>
      <c r="R69" s="206"/>
      <c r="S69" s="138"/>
      <c r="T69" s="179"/>
    </row>
    <row r="70" spans="1:240" ht="18.75" customHeight="1" x14ac:dyDescent="0.3">
      <c r="A70" s="112" t="s">
        <v>107</v>
      </c>
      <c r="B70" s="112"/>
      <c r="C70" s="112"/>
      <c r="D70" s="112"/>
      <c r="E70" s="112"/>
      <c r="F70" s="112"/>
      <c r="G70" s="112"/>
      <c r="H70" s="112"/>
      <c r="I70" s="112"/>
      <c r="J70" s="112"/>
      <c r="K70" s="112"/>
      <c r="L70" s="183"/>
      <c r="M70" s="183"/>
      <c r="N70" s="183"/>
      <c r="O70" s="183"/>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c r="EO70" s="112"/>
      <c r="EP70" s="112"/>
      <c r="EQ70" s="112"/>
      <c r="ER70" s="112"/>
      <c r="ES70" s="112"/>
      <c r="ET70" s="112"/>
      <c r="EU70" s="112"/>
      <c r="EV70" s="112"/>
      <c r="EW70" s="112"/>
      <c r="EX70" s="112"/>
      <c r="EY70" s="112"/>
      <c r="EZ70" s="112"/>
      <c r="FA70" s="112"/>
      <c r="FB70" s="112"/>
      <c r="FC70" s="112"/>
      <c r="FD70" s="112"/>
      <c r="FE70" s="112"/>
      <c r="FF70" s="112"/>
      <c r="FG70" s="112"/>
      <c r="FH70" s="112"/>
      <c r="FI70" s="112"/>
      <c r="FJ70" s="112"/>
      <c r="FK70" s="112"/>
      <c r="FL70" s="112"/>
      <c r="FM70" s="112"/>
      <c r="FN70" s="112"/>
      <c r="FO70" s="112"/>
      <c r="FP70" s="112"/>
      <c r="FQ70" s="112"/>
      <c r="FR70" s="112"/>
      <c r="FS70" s="112"/>
      <c r="FT70" s="112"/>
      <c r="FU70" s="112"/>
      <c r="FV70" s="112"/>
      <c r="FW70" s="112"/>
      <c r="FX70" s="112"/>
      <c r="FY70" s="112"/>
      <c r="FZ70" s="112"/>
      <c r="GA70" s="112"/>
      <c r="GB70" s="112"/>
      <c r="GC70" s="112"/>
      <c r="GD70" s="112"/>
      <c r="GE70" s="112"/>
      <c r="GF70" s="112"/>
      <c r="GG70" s="112"/>
      <c r="GH70" s="112"/>
      <c r="GI70" s="112"/>
      <c r="GJ70" s="112"/>
      <c r="GK70" s="112"/>
      <c r="GL70" s="112"/>
      <c r="GM70" s="112"/>
      <c r="GN70" s="112"/>
      <c r="GO70" s="112"/>
      <c r="GP70" s="112"/>
      <c r="GQ70" s="112"/>
      <c r="GR70" s="112"/>
      <c r="GS70" s="112"/>
      <c r="GT70" s="112"/>
      <c r="GU70" s="112"/>
      <c r="GV70" s="112"/>
      <c r="GW70" s="112"/>
      <c r="GX70" s="112"/>
      <c r="GY70" s="112"/>
      <c r="GZ70" s="112"/>
      <c r="HA70" s="112"/>
      <c r="HB70" s="112"/>
      <c r="HC70" s="112"/>
      <c r="HD70" s="112"/>
      <c r="HE70" s="112"/>
      <c r="HF70" s="112"/>
      <c r="HG70" s="112"/>
      <c r="HH70" s="112"/>
      <c r="HI70" s="112"/>
      <c r="HJ70" s="112"/>
      <c r="HK70" s="112"/>
      <c r="HL70" s="112"/>
      <c r="HM70" s="112"/>
      <c r="HN70" s="112"/>
      <c r="HO70" s="112"/>
      <c r="HP70" s="112"/>
      <c r="HQ70" s="112"/>
      <c r="HR70" s="112"/>
      <c r="HS70" s="112"/>
      <c r="HT70" s="112"/>
      <c r="HU70" s="112"/>
      <c r="HV70" s="112"/>
      <c r="HW70" s="112"/>
      <c r="HX70" s="112"/>
      <c r="HY70" s="112"/>
      <c r="HZ70" s="112"/>
      <c r="IA70" s="112"/>
      <c r="IB70" s="112"/>
      <c r="IC70" s="112"/>
      <c r="ID70" s="112"/>
      <c r="IE70" s="112"/>
      <c r="IF70" s="112"/>
    </row>
    <row r="71" spans="1:240" ht="18.75" customHeight="1" x14ac:dyDescent="0.3">
      <c r="A71" s="74"/>
      <c r="B71" s="74"/>
      <c r="C71" s="74"/>
      <c r="D71" s="74"/>
      <c r="E71" s="74"/>
      <c r="F71" s="74"/>
      <c r="G71" s="74"/>
      <c r="H71" s="74"/>
      <c r="I71" s="74"/>
      <c r="J71" s="74"/>
      <c r="K71" s="74"/>
    </row>
    <row r="72" spans="1:240" ht="18.75" customHeight="1" x14ac:dyDescent="0.3">
      <c r="A72" s="74"/>
      <c r="B72" s="74"/>
      <c r="C72" s="74"/>
      <c r="D72" s="74"/>
      <c r="E72" s="74"/>
      <c r="F72" s="74"/>
      <c r="G72" s="74"/>
      <c r="H72" s="74"/>
      <c r="I72" s="74"/>
      <c r="J72" s="74"/>
      <c r="K72" s="74"/>
    </row>
    <row r="73" spans="1:240" ht="18.75" customHeight="1" x14ac:dyDescent="0.3">
      <c r="A73" s="74"/>
      <c r="B73" s="77"/>
      <c r="C73" s="77"/>
      <c r="D73" s="74"/>
      <c r="E73" s="74"/>
      <c r="F73" s="74"/>
      <c r="G73" s="77"/>
      <c r="H73" s="77"/>
      <c r="I73" s="74"/>
      <c r="J73" s="74"/>
      <c r="K73" s="74"/>
    </row>
    <row r="74" spans="1:240" ht="18.75" customHeight="1" x14ac:dyDescent="0.3">
      <c r="A74" s="74"/>
      <c r="B74" s="74"/>
      <c r="C74" s="74"/>
      <c r="D74" s="74"/>
      <c r="E74" s="74"/>
      <c r="F74" s="74"/>
      <c r="G74" s="74"/>
      <c r="H74" s="74"/>
      <c r="I74" s="74"/>
      <c r="J74" s="74"/>
      <c r="K74" s="74"/>
    </row>
    <row r="75" spans="1:240" ht="18.75" customHeight="1" x14ac:dyDescent="0.3">
      <c r="A75" s="74"/>
      <c r="B75" s="74"/>
      <c r="C75" s="74"/>
      <c r="D75" s="74"/>
      <c r="E75" s="74"/>
      <c r="F75" s="74"/>
      <c r="G75" s="74"/>
      <c r="H75" s="74"/>
      <c r="I75" s="74"/>
      <c r="J75" s="74"/>
      <c r="K75" s="74"/>
    </row>
    <row r="76" spans="1:240" ht="18.75" customHeight="1" x14ac:dyDescent="0.3">
      <c r="A76" s="74"/>
      <c r="B76" s="74"/>
      <c r="C76" s="74"/>
      <c r="D76" s="74"/>
      <c r="E76" s="74"/>
      <c r="F76" s="74"/>
      <c r="G76" s="74"/>
      <c r="H76" s="74"/>
      <c r="I76" s="74"/>
      <c r="J76" s="74"/>
      <c r="K76" s="74"/>
    </row>
    <row r="77" spans="1:240" ht="18.75" customHeight="1" x14ac:dyDescent="0.3">
      <c r="A77" s="74"/>
      <c r="B77" s="74"/>
      <c r="C77" s="74"/>
      <c r="D77" s="74"/>
      <c r="E77" s="74"/>
      <c r="F77" s="74"/>
      <c r="G77" s="74"/>
      <c r="H77" s="74"/>
      <c r="I77" s="74"/>
      <c r="J77" s="74"/>
      <c r="K77" s="74"/>
    </row>
    <row r="78" spans="1:240" ht="18.75" x14ac:dyDescent="0.3">
      <c r="A78" s="74"/>
      <c r="B78" s="74"/>
      <c r="C78" s="74"/>
      <c r="D78" s="74"/>
      <c r="E78" s="74"/>
      <c r="F78" s="74"/>
      <c r="G78" s="74"/>
      <c r="H78" s="74"/>
      <c r="I78" s="74"/>
      <c r="J78" s="74"/>
      <c r="K78" s="74"/>
    </row>
    <row r="79" spans="1:240" ht="18.75" x14ac:dyDescent="0.3">
      <c r="A79" s="74"/>
      <c r="B79" s="74"/>
      <c r="C79" s="74"/>
      <c r="D79" s="74"/>
      <c r="E79" s="74"/>
      <c r="F79" s="74"/>
      <c r="G79" s="74"/>
      <c r="H79" s="74"/>
      <c r="I79" s="74"/>
      <c r="J79" s="74"/>
      <c r="K79" s="74"/>
    </row>
    <row r="80" spans="1:240" ht="18.75" x14ac:dyDescent="0.3">
      <c r="A80" s="74"/>
      <c r="B80" s="74"/>
      <c r="C80" s="74"/>
      <c r="D80" s="74"/>
      <c r="E80" s="74"/>
      <c r="F80" s="74"/>
      <c r="G80" s="74"/>
      <c r="H80" s="74"/>
      <c r="I80" s="74"/>
      <c r="J80" s="74"/>
      <c r="K80" s="74"/>
    </row>
    <row r="81" spans="1:11" ht="18.75" x14ac:dyDescent="0.3">
      <c r="A81" s="74"/>
      <c r="B81" s="74"/>
      <c r="C81" s="74"/>
      <c r="D81" s="74"/>
      <c r="E81" s="74"/>
      <c r="F81" s="74"/>
      <c r="G81" s="74"/>
      <c r="H81" s="74"/>
      <c r="I81" s="74"/>
      <c r="J81" s="74"/>
      <c r="K81" s="74"/>
    </row>
    <row r="82" spans="1:11" ht="18.75" x14ac:dyDescent="0.3">
      <c r="A82" s="74"/>
      <c r="B82" s="74"/>
      <c r="C82" s="74"/>
      <c r="D82" s="74"/>
      <c r="E82" s="74"/>
      <c r="F82" s="74"/>
      <c r="G82" s="74"/>
      <c r="H82" s="74"/>
      <c r="I82" s="74"/>
      <c r="J82" s="74"/>
      <c r="K82" s="74"/>
    </row>
    <row r="83" spans="1:11" ht="18.75" x14ac:dyDescent="0.3">
      <c r="A83" s="74"/>
      <c r="B83" s="74"/>
      <c r="C83" s="74"/>
      <c r="D83" s="74"/>
      <c r="E83" s="74"/>
      <c r="F83" s="74"/>
      <c r="G83" s="74"/>
      <c r="H83" s="74"/>
      <c r="I83" s="74"/>
      <c r="J83" s="74"/>
      <c r="K83" s="74"/>
    </row>
    <row r="84" spans="1:11" ht="18.75"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112"/>
      <c r="B95" s="112"/>
      <c r="C95" s="112"/>
      <c r="D95" s="112"/>
      <c r="E95" s="112"/>
      <c r="F95" s="112"/>
      <c r="G95" s="112"/>
      <c r="H95" s="112"/>
      <c r="I95" s="112"/>
      <c r="J95" s="112"/>
      <c r="K95" s="112"/>
    </row>
    <row r="96" spans="1:11" ht="18.75" x14ac:dyDescent="0.3">
      <c r="A96" s="116"/>
      <c r="B96" s="117"/>
      <c r="C96" s="117"/>
      <c r="D96" s="117"/>
      <c r="E96" s="74"/>
      <c r="F96" s="74"/>
      <c r="G96" s="74"/>
      <c r="H96" s="74"/>
      <c r="I96" s="74"/>
      <c r="J96" s="75"/>
      <c r="K96" s="75"/>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74"/>
      <c r="B102" s="74"/>
      <c r="C102" s="74"/>
      <c r="D102" s="74"/>
      <c r="E102" s="74"/>
      <c r="F102" s="74"/>
      <c r="G102" s="74"/>
      <c r="H102" s="74"/>
      <c r="I102" s="74"/>
      <c r="J102" s="74"/>
      <c r="K102" s="74"/>
    </row>
    <row r="103" spans="1:11" ht="18.75" x14ac:dyDescent="0.3">
      <c r="A103" s="74"/>
      <c r="B103" s="74"/>
      <c r="C103" s="74"/>
      <c r="D103" s="74"/>
      <c r="E103" s="74"/>
      <c r="F103" s="74"/>
      <c r="G103" s="74"/>
      <c r="H103" s="74"/>
      <c r="I103" s="74"/>
      <c r="J103" s="74"/>
      <c r="K103" s="74"/>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C23" sqref="C23"/>
    </sheetView>
  </sheetViews>
  <sheetFormatPr baseColWidth="10" defaultColWidth="11.42578125" defaultRowHeight="18" x14ac:dyDescent="0.25"/>
  <cols>
    <col min="1" max="1" width="51" style="81" customWidth="1"/>
    <col min="2" max="2" width="16.7109375" style="81" customWidth="1"/>
    <col min="3"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85546875" style="81" customWidth="1"/>
    <col min="11" max="11" width="18" style="81" bestFit="1" customWidth="1"/>
    <col min="12" max="12" width="9.28515625" style="81" bestFit="1" customWidth="1"/>
    <col min="13" max="13" width="11.42578125" style="81"/>
    <col min="14" max="15" width="17.140625" style="81" bestFit="1" customWidth="1"/>
    <col min="16" max="16384" width="11.42578125" style="81"/>
  </cols>
  <sheetData>
    <row r="1" spans="1:13" ht="20.25" x14ac:dyDescent="0.3">
      <c r="A1" s="80" t="s">
        <v>79</v>
      </c>
      <c r="B1" s="73" t="s">
        <v>52</v>
      </c>
      <c r="C1" s="74"/>
      <c r="D1" s="74"/>
      <c r="E1" s="74"/>
      <c r="F1" s="74"/>
      <c r="G1" s="74"/>
      <c r="H1" s="74"/>
      <c r="I1" s="74"/>
      <c r="J1" s="74"/>
      <c r="K1" s="74"/>
      <c r="L1" s="74"/>
      <c r="M1" s="74"/>
    </row>
    <row r="2" spans="1:13" ht="20.25" x14ac:dyDescent="0.3">
      <c r="A2" s="80" t="s">
        <v>108</v>
      </c>
      <c r="B2" s="73"/>
      <c r="C2" s="74"/>
      <c r="D2" s="74"/>
      <c r="E2" s="74"/>
      <c r="F2" s="74"/>
      <c r="G2" s="74"/>
      <c r="H2" s="74"/>
      <c r="I2" s="74"/>
      <c r="J2" s="74"/>
      <c r="K2" s="74"/>
      <c r="L2" s="74"/>
      <c r="M2" s="74"/>
    </row>
    <row r="3" spans="1:13" ht="18.75" x14ac:dyDescent="0.3">
      <c r="A3" s="75" t="s">
        <v>109</v>
      </c>
      <c r="B3" s="74"/>
      <c r="C3" s="74"/>
      <c r="D3" s="74"/>
      <c r="E3" s="74"/>
      <c r="F3" s="74"/>
      <c r="G3" s="74"/>
      <c r="H3" s="74"/>
      <c r="I3" s="74"/>
      <c r="J3" s="74"/>
      <c r="K3" s="74"/>
      <c r="L3" s="74"/>
      <c r="M3" s="74"/>
    </row>
    <row r="4" spans="1:13" ht="18.75" x14ac:dyDescent="0.3">
      <c r="A4" s="82" t="s">
        <v>413</v>
      </c>
      <c r="B4" s="102"/>
      <c r="C4" s="118"/>
      <c r="D4" s="119"/>
      <c r="E4" s="112"/>
      <c r="F4" s="83"/>
      <c r="G4" s="84"/>
      <c r="H4" s="85"/>
      <c r="I4" s="112"/>
      <c r="J4" s="83"/>
      <c r="K4" s="84"/>
      <c r="L4" s="85"/>
      <c r="M4" s="74"/>
    </row>
    <row r="5" spans="1:13" ht="18.75" x14ac:dyDescent="0.3">
      <c r="A5" s="120"/>
      <c r="B5" s="664" t="s">
        <v>0</v>
      </c>
      <c r="C5" s="665"/>
      <c r="D5" s="666"/>
      <c r="E5" s="89"/>
      <c r="F5" s="664" t="s">
        <v>1</v>
      </c>
      <c r="G5" s="665"/>
      <c r="H5" s="666"/>
      <c r="I5" s="121"/>
      <c r="J5" s="664" t="s">
        <v>110</v>
      </c>
      <c r="K5" s="665"/>
      <c r="L5" s="666"/>
      <c r="M5" s="74"/>
    </row>
    <row r="6" spans="1:13" ht="18.75" x14ac:dyDescent="0.3">
      <c r="A6" s="122"/>
      <c r="B6" s="123"/>
      <c r="C6" s="124"/>
      <c r="D6" s="94" t="s">
        <v>111</v>
      </c>
      <c r="E6" s="100"/>
      <c r="F6" s="123"/>
      <c r="G6" s="124"/>
      <c r="H6" s="94" t="s">
        <v>111</v>
      </c>
      <c r="I6" s="125"/>
      <c r="J6" s="123"/>
      <c r="K6" s="124"/>
      <c r="L6" s="94" t="s">
        <v>111</v>
      </c>
      <c r="M6" s="74"/>
    </row>
    <row r="7" spans="1:13" ht="18.75" x14ac:dyDescent="0.3">
      <c r="A7" s="126" t="s">
        <v>112</v>
      </c>
      <c r="B7" s="97">
        <v>2018</v>
      </c>
      <c r="C7" s="97">
        <v>2019</v>
      </c>
      <c r="D7" s="99" t="s">
        <v>85</v>
      </c>
      <c r="E7" s="100"/>
      <c r="F7" s="97">
        <v>2018</v>
      </c>
      <c r="G7" s="97">
        <v>2019</v>
      </c>
      <c r="H7" s="99" t="s">
        <v>85</v>
      </c>
      <c r="I7" s="128"/>
      <c r="J7" s="97">
        <v>2018</v>
      </c>
      <c r="K7" s="97">
        <v>2019</v>
      </c>
      <c r="L7" s="99" t="s">
        <v>85</v>
      </c>
      <c r="M7" s="74"/>
    </row>
    <row r="8" spans="1:13" ht="22.5" x14ac:dyDescent="0.3">
      <c r="A8" s="189" t="s">
        <v>113</v>
      </c>
      <c r="B8" s="228"/>
      <c r="C8" s="198"/>
      <c r="D8" s="198"/>
      <c r="E8" s="181"/>
      <c r="F8" s="198"/>
      <c r="G8" s="198"/>
      <c r="H8" s="198"/>
      <c r="I8" s="199"/>
      <c r="J8" s="198"/>
      <c r="K8" s="198"/>
      <c r="L8" s="198"/>
      <c r="M8" s="74"/>
    </row>
    <row r="9" spans="1:13" ht="18.75" x14ac:dyDescent="0.3">
      <c r="A9" s="190" t="s">
        <v>114</v>
      </c>
      <c r="B9" s="104">
        <f>'Skjema total MA'!B7</f>
        <v>1545264.721506322</v>
      </c>
      <c r="C9" s="104">
        <f>'Skjema total MA'!C7</f>
        <v>1597772.8419394668</v>
      </c>
      <c r="D9" s="229">
        <f>IF(B9=0, "    ---- ", IF(ABS(ROUND(100/B9*C9-100,1))&lt;999,ROUND(100/B9*C9-100,1),IF(ROUND(100/B9*C9-100,1)&gt;999,999,-999)))</f>
        <v>3.4</v>
      </c>
      <c r="E9" s="181"/>
      <c r="F9" s="193">
        <f>'Skjema total MA'!E7</f>
        <v>2036900.6120499999</v>
      </c>
      <c r="G9" s="193">
        <f>'Skjema total MA'!F7</f>
        <v>2690409.6018500002</v>
      </c>
      <c r="H9" s="229">
        <f>IF(F9=0, "    ---- ", IF(ABS(ROUND(100/F9*G9-100,1))&lt;999,ROUND(100/F9*G9-100,1),IF(ROUND(100/F9*G9-100,1)&gt;999,999,-999)))</f>
        <v>32.1</v>
      </c>
      <c r="I9" s="181"/>
      <c r="J9" s="193">
        <f t="shared" ref="J9:K60" si="0">SUM(B9+F9)</f>
        <v>3582165.3335563219</v>
      </c>
      <c r="K9" s="193">
        <f t="shared" si="0"/>
        <v>4288182.4437894672</v>
      </c>
      <c r="L9" s="227">
        <f>IF(J9=0, "    ---- ", IF(ABS(ROUND(100/J9*K9-100,1))&lt;999,ROUND(100/J9*K9-100,1),IF(ROUND(100/J9*K9-100,1)&gt;999,999,-999)))</f>
        <v>19.7</v>
      </c>
      <c r="M9" s="74"/>
    </row>
    <row r="10" spans="1:13" ht="18.75" x14ac:dyDescent="0.3">
      <c r="A10" s="190" t="s">
        <v>115</v>
      </c>
      <c r="B10" s="104">
        <f>'Skjema total MA'!B22</f>
        <v>551078.99162307382</v>
      </c>
      <c r="C10" s="104">
        <f>'Skjema total MA'!C22</f>
        <v>689346.93827549648</v>
      </c>
      <c r="D10" s="229">
        <f t="shared" ref="D10:D17" si="1">IF(B10=0, "    ---- ", IF(ABS(ROUND(100/B10*C10-100,1))&lt;999,ROUND(100/B10*C10-100,1),IF(ROUND(100/B10*C10-100,1)&gt;999,999,-999)))</f>
        <v>25.1</v>
      </c>
      <c r="E10" s="181"/>
      <c r="F10" s="193">
        <f>'Skjema total MA'!E22</f>
        <v>294957.45139</v>
      </c>
      <c r="G10" s="193">
        <f>'Skjema total MA'!F22</f>
        <v>309187.42986999999</v>
      </c>
      <c r="H10" s="229">
        <f t="shared" ref="H10:H57" si="2">IF(F10=0, "    ---- ", IF(ABS(ROUND(100/F10*G10-100,1))&lt;999,ROUND(100/F10*G10-100,1),IF(ROUND(100/F10*G10-100,1)&gt;999,999,-999)))</f>
        <v>4.8</v>
      </c>
      <c r="I10" s="181"/>
      <c r="J10" s="193">
        <f t="shared" si="0"/>
        <v>846036.44301307388</v>
      </c>
      <c r="K10" s="193">
        <f t="shared" si="0"/>
        <v>998534.36814549647</v>
      </c>
      <c r="L10" s="227">
        <f t="shared" ref="L10:L60" si="3">IF(J10=0, "    ---- ", IF(ABS(ROUND(100/J10*K10-100,1))&lt;999,ROUND(100/J10*K10-100,1),IF(ROUND(100/J10*K10-100,1)&gt;999,999,-999)))</f>
        <v>18</v>
      </c>
      <c r="M10" s="74"/>
    </row>
    <row r="11" spans="1:13" ht="18.75" x14ac:dyDescent="0.3">
      <c r="A11" s="190" t="s">
        <v>116</v>
      </c>
      <c r="B11" s="104">
        <f>'Skjema total MA'!B47</f>
        <v>2242938.9719999996</v>
      </c>
      <c r="C11" s="104">
        <f>'Skjema total MA'!C47</f>
        <v>2502402.8992893849</v>
      </c>
      <c r="D11" s="229">
        <f t="shared" si="1"/>
        <v>11.6</v>
      </c>
      <c r="E11" s="181"/>
      <c r="F11" s="193"/>
      <c r="G11" s="193"/>
      <c r="H11" s="229"/>
      <c r="I11" s="181"/>
      <c r="J11" s="193">
        <f t="shared" si="0"/>
        <v>2242938.9719999996</v>
      </c>
      <c r="K11" s="193">
        <f t="shared" si="0"/>
        <v>2502402.8992893849</v>
      </c>
      <c r="L11" s="227">
        <f t="shared" si="3"/>
        <v>11.6</v>
      </c>
      <c r="M11" s="74"/>
    </row>
    <row r="12" spans="1:13" ht="18.75" x14ac:dyDescent="0.3">
      <c r="A12" s="190" t="s">
        <v>117</v>
      </c>
      <c r="B12" s="104">
        <f>'Skjema total MA'!B66</f>
        <v>3759362.3480099998</v>
      </c>
      <c r="C12" s="104">
        <f>'Skjema total MA'!C66</f>
        <v>3513095.71282</v>
      </c>
      <c r="D12" s="229">
        <f t="shared" si="1"/>
        <v>-6.6</v>
      </c>
      <c r="E12" s="181"/>
      <c r="F12" s="193">
        <f>'Skjema total MA'!E66</f>
        <v>6910767.8474599998</v>
      </c>
      <c r="G12" s="193">
        <f>'Skjema total MA'!F66</f>
        <v>7886810.06164</v>
      </c>
      <c r="H12" s="229">
        <f t="shared" si="2"/>
        <v>14.1</v>
      </c>
      <c r="I12" s="181"/>
      <c r="J12" s="193">
        <f t="shared" si="0"/>
        <v>10670130.19547</v>
      </c>
      <c r="K12" s="193">
        <f t="shared" si="0"/>
        <v>11399905.774459999</v>
      </c>
      <c r="L12" s="227">
        <f t="shared" si="3"/>
        <v>6.8</v>
      </c>
      <c r="M12" s="74"/>
    </row>
    <row r="13" spans="1:13" ht="18.75" x14ac:dyDescent="0.3">
      <c r="A13" s="190" t="s">
        <v>118</v>
      </c>
      <c r="B13" s="104">
        <f>'Skjema total MA'!B68</f>
        <v>93203.550610000006</v>
      </c>
      <c r="C13" s="104">
        <f>'Skjema total MA'!C68</f>
        <v>97026.137539999996</v>
      </c>
      <c r="D13" s="229">
        <f t="shared" si="1"/>
        <v>4.0999999999999996</v>
      </c>
      <c r="E13" s="181"/>
      <c r="F13" s="193">
        <f>'Skjema total MA'!E68</f>
        <v>6810945.3706999999</v>
      </c>
      <c r="G13" s="193">
        <f>'Skjema total MA'!F68</f>
        <v>7783934.2037599999</v>
      </c>
      <c r="H13" s="229">
        <f t="shared" si="2"/>
        <v>14.3</v>
      </c>
      <c r="I13" s="181"/>
      <c r="J13" s="193">
        <f t="shared" si="0"/>
        <v>6904148.9213100001</v>
      </c>
      <c r="K13" s="193">
        <f t="shared" si="0"/>
        <v>7880960.3412999995</v>
      </c>
      <c r="L13" s="227">
        <f t="shared" si="3"/>
        <v>14.1</v>
      </c>
      <c r="M13" s="74"/>
    </row>
    <row r="14" spans="1:13" s="133" customFormat="1" ht="18.75" x14ac:dyDescent="0.3">
      <c r="A14" s="191" t="s">
        <v>119</v>
      </c>
      <c r="B14" s="131">
        <f>'Skjema total MA'!B75</f>
        <v>95014.286940000005</v>
      </c>
      <c r="C14" s="131">
        <f>'Skjema total MA'!C75</f>
        <v>114321.28322000001</v>
      </c>
      <c r="D14" s="229">
        <f t="shared" si="1"/>
        <v>20.3</v>
      </c>
      <c r="E14" s="182"/>
      <c r="F14" s="194">
        <f>'Skjema total MA'!E75</f>
        <v>99822.47675999999</v>
      </c>
      <c r="G14" s="194">
        <f>'Skjema total MA'!F75</f>
        <v>102875.85788</v>
      </c>
      <c r="H14" s="229">
        <f t="shared" si="2"/>
        <v>3.1</v>
      </c>
      <c r="I14" s="182"/>
      <c r="J14" s="193">
        <f t="shared" si="0"/>
        <v>194836.76370000001</v>
      </c>
      <c r="K14" s="193">
        <f t="shared" si="0"/>
        <v>217197.14110000001</v>
      </c>
      <c r="L14" s="227">
        <f t="shared" si="3"/>
        <v>11.5</v>
      </c>
      <c r="M14" s="132"/>
    </row>
    <row r="15" spans="1:13" ht="22.5" x14ac:dyDescent="0.3">
      <c r="A15" s="190" t="s">
        <v>359</v>
      </c>
      <c r="B15" s="104">
        <f>'Skjema total MA'!B134</f>
        <v>7095848.5151000004</v>
      </c>
      <c r="C15" s="104">
        <f>'Skjema total MA'!C134</f>
        <v>7724103.9205499999</v>
      </c>
      <c r="D15" s="229">
        <f t="shared" si="1"/>
        <v>8.9</v>
      </c>
      <c r="E15" s="181"/>
      <c r="F15" s="193">
        <f>'Skjema total MA'!E134</f>
        <v>20875.777999999998</v>
      </c>
      <c r="G15" s="193">
        <f>'Skjema total MA'!F134</f>
        <v>19489.256000000001</v>
      </c>
      <c r="H15" s="229">
        <f t="shared" si="2"/>
        <v>-6.6</v>
      </c>
      <c r="I15" s="181"/>
      <c r="J15" s="193">
        <f t="shared" si="0"/>
        <v>7116724.2931000004</v>
      </c>
      <c r="K15" s="193">
        <f t="shared" si="0"/>
        <v>7743593.17655</v>
      </c>
      <c r="L15" s="227">
        <f t="shared" si="3"/>
        <v>8.8000000000000007</v>
      </c>
      <c r="M15" s="74"/>
    </row>
    <row r="16" spans="1:13" ht="18.75" x14ac:dyDescent="0.3">
      <c r="A16" s="190" t="s">
        <v>120</v>
      </c>
      <c r="B16" s="104">
        <f>'Skjema total MA'!B36</f>
        <v>804.96299999999997</v>
      </c>
      <c r="C16" s="104">
        <f>'Skjema total MA'!C36</f>
        <v>1025.748</v>
      </c>
      <c r="D16" s="229">
        <f t="shared" si="1"/>
        <v>27.4</v>
      </c>
      <c r="E16" s="181"/>
      <c r="F16" s="193">
        <f>'Skjema total MA'!E36</f>
        <v>0</v>
      </c>
      <c r="G16" s="193">
        <f>'Skjema total MA'!F36</f>
        <v>0</v>
      </c>
      <c r="H16" s="229"/>
      <c r="I16" s="181"/>
      <c r="J16" s="193">
        <f t="shared" si="0"/>
        <v>804.96299999999997</v>
      </c>
      <c r="K16" s="193">
        <f t="shared" si="0"/>
        <v>1025.748</v>
      </c>
      <c r="L16" s="227">
        <f t="shared" si="3"/>
        <v>27.4</v>
      </c>
      <c r="M16" s="74"/>
    </row>
    <row r="17" spans="1:23" s="135" customFormat="1" ht="18.75" customHeight="1" x14ac:dyDescent="0.3">
      <c r="A17" s="137" t="s">
        <v>121</v>
      </c>
      <c r="B17" s="110">
        <f>'Tabel 1.1'!B30</f>
        <v>15195298.511239396</v>
      </c>
      <c r="C17" s="195">
        <f>'Tabel 1.1'!C30</f>
        <v>16027748.060874349</v>
      </c>
      <c r="D17" s="229">
        <f t="shared" si="1"/>
        <v>5.5</v>
      </c>
      <c r="E17" s="138"/>
      <c r="F17" s="195">
        <f>'Tabel 1.1'!B43</f>
        <v>9263501.6889000013</v>
      </c>
      <c r="G17" s="195">
        <f>'Tabel 1.1'!C43</f>
        <v>10905896.34936</v>
      </c>
      <c r="H17" s="229">
        <f t="shared" si="2"/>
        <v>17.7</v>
      </c>
      <c r="I17" s="138"/>
      <c r="J17" s="195">
        <f t="shared" si="0"/>
        <v>24458800.200139396</v>
      </c>
      <c r="K17" s="195">
        <f t="shared" si="0"/>
        <v>26933644.410234347</v>
      </c>
      <c r="L17" s="227">
        <f t="shared" si="3"/>
        <v>10.1</v>
      </c>
      <c r="M17" s="75"/>
      <c r="N17" s="134"/>
      <c r="O17" s="134"/>
      <c r="Q17" s="136"/>
      <c r="R17" s="136"/>
      <c r="S17" s="136"/>
      <c r="T17" s="136"/>
      <c r="U17" s="136"/>
      <c r="V17" s="136"/>
      <c r="W17" s="136"/>
    </row>
    <row r="18" spans="1:23" ht="18.75" customHeight="1" x14ac:dyDescent="0.3">
      <c r="A18" s="137"/>
      <c r="B18" s="104"/>
      <c r="C18" s="193"/>
      <c r="D18" s="193"/>
      <c r="E18" s="181"/>
      <c r="F18" s="193"/>
      <c r="G18" s="193"/>
      <c r="H18" s="229"/>
      <c r="I18" s="181"/>
      <c r="J18" s="193"/>
      <c r="K18" s="193"/>
      <c r="L18" s="227"/>
      <c r="M18" s="74"/>
    </row>
    <row r="19" spans="1:23" ht="18.75" customHeight="1" x14ac:dyDescent="0.3">
      <c r="A19" s="189" t="s">
        <v>360</v>
      </c>
      <c r="B19" s="197"/>
      <c r="C19" s="200"/>
      <c r="D19" s="193"/>
      <c r="E19" s="181"/>
      <c r="F19" s="200"/>
      <c r="G19" s="200"/>
      <c r="H19" s="229"/>
      <c r="I19" s="181"/>
      <c r="J19" s="193"/>
      <c r="K19" s="193"/>
      <c r="L19" s="227"/>
      <c r="M19" s="74"/>
    </row>
    <row r="20" spans="1:23" ht="18.75" customHeight="1" x14ac:dyDescent="0.3">
      <c r="A20" s="190" t="s">
        <v>114</v>
      </c>
      <c r="B20" s="104">
        <f>'Skjema total MA'!B10</f>
        <v>21661481.751078147</v>
      </c>
      <c r="C20" s="104">
        <f>'Skjema total MA'!C10</f>
        <v>20244209.887745671</v>
      </c>
      <c r="D20" s="229">
        <f>IF(B20=0, "    ---- ", IF(ABS(ROUND(100/B20*C20-100,1))&lt;999,ROUND(100/B20*C20-100,1),IF(ROUND(100/B20*C20-100,1)&gt;999,999,-999)))</f>
        <v>-6.5</v>
      </c>
      <c r="E20" s="181"/>
      <c r="F20" s="193">
        <f>'Skjema total MA'!E10</f>
        <v>41674442.834689103</v>
      </c>
      <c r="G20" s="193">
        <f>'Skjema total MA'!F10</f>
        <v>44815409.115429401</v>
      </c>
      <c r="H20" s="229">
        <f t="shared" si="2"/>
        <v>7.5</v>
      </c>
      <c r="I20" s="181"/>
      <c r="J20" s="193">
        <f t="shared" si="0"/>
        <v>63335924.585767254</v>
      </c>
      <c r="K20" s="193">
        <f t="shared" si="0"/>
        <v>65059619.003175072</v>
      </c>
      <c r="L20" s="227">
        <f t="shared" si="3"/>
        <v>2.7</v>
      </c>
      <c r="M20" s="74"/>
    </row>
    <row r="21" spans="1:23" ht="18.75" customHeight="1" x14ac:dyDescent="0.3">
      <c r="A21" s="190" t="s">
        <v>115</v>
      </c>
      <c r="B21" s="104">
        <f>'Skjema total MA'!B29</f>
        <v>49582856.630989999</v>
      </c>
      <c r="C21" s="104">
        <f>'Skjema total MA'!C29</f>
        <v>47925076.957120001</v>
      </c>
      <c r="D21" s="229">
        <f t="shared" ref="D21:D27" si="4">IF(B21=0, "    ---- ", IF(ABS(ROUND(100/B21*C21-100,1))&lt;999,ROUND(100/B21*C21-100,1),IF(ROUND(100/B21*C21-100,1)&gt;999,999,-999)))</f>
        <v>-3.3</v>
      </c>
      <c r="E21" s="181"/>
      <c r="F21" s="193">
        <f>'Skjema total MA'!E29</f>
        <v>19998255.59527</v>
      </c>
      <c r="G21" s="193">
        <f>'Skjema total MA'!F29</f>
        <v>20307031.191550002</v>
      </c>
      <c r="H21" s="229">
        <f t="shared" si="2"/>
        <v>1.5</v>
      </c>
      <c r="I21" s="181"/>
      <c r="J21" s="193">
        <f t="shared" si="0"/>
        <v>69581112.226260006</v>
      </c>
      <c r="K21" s="193">
        <f t="shared" si="0"/>
        <v>68232108.148670003</v>
      </c>
      <c r="L21" s="227">
        <f t="shared" si="3"/>
        <v>-1.9</v>
      </c>
      <c r="M21" s="74"/>
    </row>
    <row r="22" spans="1:23" ht="18.75" x14ac:dyDescent="0.3">
      <c r="A22" s="190" t="s">
        <v>117</v>
      </c>
      <c r="B22" s="104">
        <f>'Skjema total MA'!B87</f>
        <v>384768921.84054166</v>
      </c>
      <c r="C22" s="104">
        <f>'Skjema total MA'!C87</f>
        <v>388484395.42734998</v>
      </c>
      <c r="D22" s="229">
        <f t="shared" si="4"/>
        <v>1</v>
      </c>
      <c r="E22" s="181"/>
      <c r="F22" s="193">
        <f>'Skjema total MA'!E87</f>
        <v>234462731.14205161</v>
      </c>
      <c r="G22" s="193">
        <f>'Skjema total MA'!F87</f>
        <v>270631435.74916047</v>
      </c>
      <c r="H22" s="229">
        <f t="shared" si="2"/>
        <v>15.4</v>
      </c>
      <c r="I22" s="181"/>
      <c r="J22" s="193">
        <f t="shared" si="0"/>
        <v>619231652.9825933</v>
      </c>
      <c r="K22" s="193">
        <f t="shared" si="0"/>
        <v>659115831.17651045</v>
      </c>
      <c r="L22" s="227">
        <f t="shared" si="3"/>
        <v>6.4</v>
      </c>
      <c r="M22" s="74"/>
    </row>
    <row r="23" spans="1:23" ht="22.5" x14ac:dyDescent="0.3">
      <c r="A23" s="190" t="s">
        <v>122</v>
      </c>
      <c r="B23" s="104">
        <f>'Skjema total MA'!B89</f>
        <v>2681345.48997594</v>
      </c>
      <c r="C23" s="104">
        <f>'Skjema total MA'!C89</f>
        <v>2791553.3224900002</v>
      </c>
      <c r="D23" s="229">
        <f t="shared" si="4"/>
        <v>4.0999999999999996</v>
      </c>
      <c r="E23" s="181"/>
      <c r="F23" s="193">
        <f>'Skjema total MA'!E89</f>
        <v>233679203.61454159</v>
      </c>
      <c r="G23" s="193">
        <f>'Skjema total MA'!F89</f>
        <v>269440960.45366049</v>
      </c>
      <c r="H23" s="229">
        <f t="shared" si="2"/>
        <v>15.3</v>
      </c>
      <c r="I23" s="181"/>
      <c r="J23" s="193">
        <f t="shared" si="0"/>
        <v>236360549.10451752</v>
      </c>
      <c r="K23" s="193">
        <f t="shared" si="0"/>
        <v>272232513.77615047</v>
      </c>
      <c r="L23" s="227">
        <f t="shared" si="3"/>
        <v>15.2</v>
      </c>
      <c r="M23" s="74"/>
    </row>
    <row r="24" spans="1:23" ht="18.75" x14ac:dyDescent="0.3">
      <c r="A24" s="191" t="s">
        <v>119</v>
      </c>
      <c r="B24" s="104">
        <f>'Skjema total MA'!B96</f>
        <v>573391.07704</v>
      </c>
      <c r="C24" s="104">
        <f>'Skjema total MA'!C96</f>
        <v>979107.02083000005</v>
      </c>
      <c r="D24" s="229">
        <f t="shared" si="4"/>
        <v>70.8</v>
      </c>
      <c r="E24" s="181"/>
      <c r="F24" s="193">
        <f>'Skjema total MA'!E96</f>
        <v>783527.52750999993</v>
      </c>
      <c r="G24" s="193">
        <f>'Skjema total MA'!F96</f>
        <v>1190475.2955</v>
      </c>
      <c r="H24" s="229">
        <f t="shared" si="2"/>
        <v>51.9</v>
      </c>
      <c r="I24" s="181"/>
      <c r="J24" s="193">
        <f t="shared" si="0"/>
        <v>1356918.6045499998</v>
      </c>
      <c r="K24" s="193">
        <f t="shared" si="0"/>
        <v>2169582.3163299998</v>
      </c>
      <c r="L24" s="227">
        <f t="shared" si="3"/>
        <v>59.9</v>
      </c>
      <c r="M24" s="74"/>
    </row>
    <row r="25" spans="1:23" ht="22.5" x14ac:dyDescent="0.3">
      <c r="A25" s="190" t="s">
        <v>359</v>
      </c>
      <c r="B25" s="104">
        <f>'Skjema total MA'!B135</f>
        <v>524790162.00976998</v>
      </c>
      <c r="C25" s="104">
        <f>'Skjema total MA'!C135</f>
        <v>555615524.04275036</v>
      </c>
      <c r="D25" s="229">
        <f t="shared" si="4"/>
        <v>5.9</v>
      </c>
      <c r="E25" s="181"/>
      <c r="F25" s="193">
        <f>'Skjema total MA'!E135</f>
        <v>2344983.7411500001</v>
      </c>
      <c r="G25" s="193">
        <f>'Skjema total MA'!F135</f>
        <v>2497218.77415</v>
      </c>
      <c r="H25" s="229">
        <f t="shared" si="2"/>
        <v>6.5</v>
      </c>
      <c r="I25" s="181"/>
      <c r="J25" s="193">
        <f t="shared" si="0"/>
        <v>527135145.75092</v>
      </c>
      <c r="K25" s="193">
        <f t="shared" si="0"/>
        <v>558112742.81690037</v>
      </c>
      <c r="L25" s="227">
        <f t="shared" si="3"/>
        <v>5.9</v>
      </c>
      <c r="M25" s="74"/>
    </row>
    <row r="26" spans="1:23" ht="18.75" x14ac:dyDescent="0.3">
      <c r="A26" s="190" t="s">
        <v>120</v>
      </c>
      <c r="B26" s="104">
        <f>'Skjema total MA'!B37</f>
        <v>3928290.9470000002</v>
      </c>
      <c r="C26" s="104">
        <f>'Skjema total MA'!C37</f>
        <v>3750213.89</v>
      </c>
      <c r="D26" s="229">
        <f t="shared" si="4"/>
        <v>-4.5</v>
      </c>
      <c r="E26" s="181"/>
      <c r="F26" s="193">
        <f>'Skjema total MA'!E37</f>
        <v>0</v>
      </c>
      <c r="G26" s="193">
        <f>'Skjema total MA'!F37</f>
        <v>0</v>
      </c>
      <c r="H26" s="229"/>
      <c r="I26" s="181"/>
      <c r="J26" s="193">
        <f t="shared" si="0"/>
        <v>3928290.9470000002</v>
      </c>
      <c r="K26" s="193">
        <f t="shared" si="0"/>
        <v>3750213.89</v>
      </c>
      <c r="L26" s="227">
        <f t="shared" si="3"/>
        <v>-4.5</v>
      </c>
      <c r="M26" s="74"/>
    </row>
    <row r="27" spans="1:23" s="135" customFormat="1" ht="18.75" x14ac:dyDescent="0.3">
      <c r="A27" s="137" t="s">
        <v>123</v>
      </c>
      <c r="B27" s="110">
        <f>'Tabel 1.1'!G30</f>
        <v>984731713.17937994</v>
      </c>
      <c r="C27" s="195">
        <f>'Tabel 1.1'!H30</f>
        <v>1016019420.2049661</v>
      </c>
      <c r="D27" s="229">
        <f t="shared" si="4"/>
        <v>3.2</v>
      </c>
      <c r="E27" s="138"/>
      <c r="F27" s="195">
        <f>'Tabel 1.1'!G43</f>
        <v>298480413.31316072</v>
      </c>
      <c r="G27" s="195">
        <f>'Tabel 1.1'!H43</f>
        <v>338251094.8302899</v>
      </c>
      <c r="H27" s="229">
        <f t="shared" si="2"/>
        <v>13.3</v>
      </c>
      <c r="I27" s="138"/>
      <c r="J27" s="195">
        <f t="shared" si="0"/>
        <v>1283212126.4925406</v>
      </c>
      <c r="K27" s="195">
        <f t="shared" si="0"/>
        <v>1354270515.0352559</v>
      </c>
      <c r="L27" s="227">
        <f t="shared" si="3"/>
        <v>5.5</v>
      </c>
      <c r="M27" s="75"/>
      <c r="N27" s="134"/>
      <c r="O27" s="134"/>
    </row>
    <row r="28" spans="1:23" ht="18.75" x14ac:dyDescent="0.3">
      <c r="A28" s="137"/>
      <c r="B28" s="104"/>
      <c r="C28" s="193"/>
      <c r="D28" s="229"/>
      <c r="E28" s="181"/>
      <c r="F28" s="193"/>
      <c r="G28" s="193"/>
      <c r="H28" s="229"/>
      <c r="I28" s="181"/>
      <c r="J28" s="193">
        <f t="shared" si="0"/>
        <v>0</v>
      </c>
      <c r="K28" s="193">
        <f t="shared" si="0"/>
        <v>0</v>
      </c>
      <c r="L28" s="227"/>
      <c r="M28" s="74"/>
    </row>
    <row r="29" spans="1:23" ht="22.5" x14ac:dyDescent="0.3">
      <c r="A29" s="189" t="s">
        <v>361</v>
      </c>
      <c r="B29" s="197"/>
      <c r="C29" s="200"/>
      <c r="D29" s="193"/>
      <c r="E29" s="181"/>
      <c r="F29" s="193"/>
      <c r="G29" s="193"/>
      <c r="H29" s="229"/>
      <c r="I29" s="181"/>
      <c r="J29" s="193"/>
      <c r="K29" s="193"/>
      <c r="L29" s="227"/>
      <c r="M29" s="74"/>
    </row>
    <row r="30" spans="1:23" ht="18.75" x14ac:dyDescent="0.3">
      <c r="A30" s="190" t="s">
        <v>114</v>
      </c>
      <c r="B30" s="104">
        <f>'Skjema total MA'!B11</f>
        <v>2968</v>
      </c>
      <c r="C30" s="104">
        <f>'Skjema total MA'!C11</f>
        <v>5332</v>
      </c>
      <c r="D30" s="229">
        <f>IF(B30=0, "    ---- ", IF(ABS(ROUND(100/B30*C30-100,1))&lt;999,ROUND(100/B30*C30-100,1),IF(ROUND(100/B30*C30-100,1)&gt;999,999,-999)))</f>
        <v>79.599999999999994</v>
      </c>
      <c r="E30" s="181"/>
      <c r="F30" s="193">
        <f>'Skjema total MA'!E11</f>
        <v>52468.167150000001</v>
      </c>
      <c r="G30" s="193">
        <f>'Skjema total MA'!F11</f>
        <v>92838.963300000003</v>
      </c>
      <c r="H30" s="229">
        <f t="shared" si="2"/>
        <v>76.900000000000006</v>
      </c>
      <c r="I30" s="181"/>
      <c r="J30" s="193">
        <f t="shared" si="0"/>
        <v>55436.167150000001</v>
      </c>
      <c r="K30" s="193">
        <f t="shared" si="0"/>
        <v>98170.963300000003</v>
      </c>
      <c r="L30" s="227">
        <f t="shared" si="3"/>
        <v>77.099999999999994</v>
      </c>
      <c r="M30" s="74"/>
    </row>
    <row r="31" spans="1:23" ht="18.75" x14ac:dyDescent="0.3">
      <c r="A31" s="190" t="s">
        <v>115</v>
      </c>
      <c r="B31" s="104">
        <f>'Skjema total MA'!B34</f>
        <v>7602.5492800000002</v>
      </c>
      <c r="C31" s="104">
        <f>'Skjema total MA'!C34</f>
        <v>5990.25</v>
      </c>
      <c r="D31" s="229">
        <f t="shared" ref="D31:D38" si="5">IF(B31=0, "    ---- ", IF(ABS(ROUND(100/B31*C31-100,1))&lt;999,ROUND(100/B31*C31-100,1),IF(ROUND(100/B31*C31-100,1)&gt;999,999,-999)))</f>
        <v>-21.2</v>
      </c>
      <c r="E31" s="181"/>
      <c r="F31" s="193">
        <f>'Skjema total MA'!E34</f>
        <v>5579.303100000001</v>
      </c>
      <c r="G31" s="193">
        <f>'Skjema total MA'!F34</f>
        <v>13409.651279999998</v>
      </c>
      <c r="H31" s="229">
        <f t="shared" si="2"/>
        <v>140.30000000000001</v>
      </c>
      <c r="I31" s="181"/>
      <c r="J31" s="193">
        <f t="shared" si="0"/>
        <v>13181.85238</v>
      </c>
      <c r="K31" s="193">
        <f t="shared" si="0"/>
        <v>19399.901279999998</v>
      </c>
      <c r="L31" s="227">
        <f t="shared" si="3"/>
        <v>47.2</v>
      </c>
      <c r="M31" s="74"/>
    </row>
    <row r="32" spans="1:23" ht="18.75" x14ac:dyDescent="0.3">
      <c r="A32" s="190" t="s">
        <v>117</v>
      </c>
      <c r="B32" s="104">
        <f>'Skjema total MA'!B111</f>
        <v>443861.89147000003</v>
      </c>
      <c r="C32" s="104">
        <f>'Skjema total MA'!C111</f>
        <v>227801.04758999997</v>
      </c>
      <c r="D32" s="229">
        <f t="shared" si="5"/>
        <v>-48.7</v>
      </c>
      <c r="E32" s="181"/>
      <c r="F32" s="193">
        <f>'Skjema total MA'!E111</f>
        <v>4800049.0777200004</v>
      </c>
      <c r="G32" s="193">
        <f>'Skjema total MA'!F111</f>
        <v>4274858.4827999994</v>
      </c>
      <c r="H32" s="229">
        <f t="shared" si="2"/>
        <v>-10.9</v>
      </c>
      <c r="I32" s="181"/>
      <c r="J32" s="193">
        <f t="shared" si="0"/>
        <v>5243910.9691900006</v>
      </c>
      <c r="K32" s="193">
        <f t="shared" si="0"/>
        <v>4502659.530389999</v>
      </c>
      <c r="L32" s="227">
        <f t="shared" si="3"/>
        <v>-14.1</v>
      </c>
      <c r="M32" s="74"/>
    </row>
    <row r="33" spans="1:15" ht="22.5" x14ac:dyDescent="0.3">
      <c r="A33" s="190" t="s">
        <v>359</v>
      </c>
      <c r="B33" s="104">
        <f>'Skjema total MA'!B136</f>
        <v>5301.9790000000003</v>
      </c>
      <c r="C33" s="104">
        <f>'Skjema total MA'!C136</f>
        <v>0</v>
      </c>
      <c r="D33" s="229">
        <f t="shared" si="5"/>
        <v>-100</v>
      </c>
      <c r="E33" s="181"/>
      <c r="F33" s="193">
        <f>'Skjema total MA'!E136</f>
        <v>0</v>
      </c>
      <c r="G33" s="193">
        <f>'Skjema total MA'!F136</f>
        <v>0</v>
      </c>
      <c r="H33" s="229"/>
      <c r="I33" s="181"/>
      <c r="J33" s="193">
        <f t="shared" si="0"/>
        <v>5301.9790000000003</v>
      </c>
      <c r="K33" s="193">
        <f t="shared" si="0"/>
        <v>0</v>
      </c>
      <c r="L33" s="227">
        <f t="shared" si="3"/>
        <v>-100</v>
      </c>
      <c r="M33" s="74"/>
    </row>
    <row r="34" spans="1:15" ht="18.75" x14ac:dyDescent="0.3">
      <c r="A34" s="190" t="s">
        <v>120</v>
      </c>
      <c r="B34" s="104">
        <f>'Skjema total MA'!B38</f>
        <v>611</v>
      </c>
      <c r="C34" s="104">
        <f>'Skjema total MA'!C38</f>
        <v>0</v>
      </c>
      <c r="D34" s="229">
        <f t="shared" si="5"/>
        <v>-100</v>
      </c>
      <c r="E34" s="181"/>
      <c r="F34" s="193">
        <f>'Skjema total MA'!E38</f>
        <v>0</v>
      </c>
      <c r="G34" s="193">
        <f>'Skjema total MA'!F38</f>
        <v>0</v>
      </c>
      <c r="H34" s="229"/>
      <c r="I34" s="181"/>
      <c r="J34" s="193">
        <f t="shared" si="0"/>
        <v>611</v>
      </c>
      <c r="K34" s="193">
        <f t="shared" si="0"/>
        <v>0</v>
      </c>
      <c r="L34" s="227">
        <f t="shared" si="3"/>
        <v>-100</v>
      </c>
      <c r="M34" s="74"/>
    </row>
    <row r="35" spans="1:15" s="135" customFormat="1" ht="18.75" x14ac:dyDescent="0.3">
      <c r="A35" s="137" t="s">
        <v>124</v>
      </c>
      <c r="B35" s="110">
        <f>SUM(B30:B34)</f>
        <v>460345.41975</v>
      </c>
      <c r="C35" s="195">
        <f>SUM(C30:C34)</f>
        <v>239123.29758999997</v>
      </c>
      <c r="D35" s="229">
        <f t="shared" si="5"/>
        <v>-48.1</v>
      </c>
      <c r="E35" s="138"/>
      <c r="F35" s="195">
        <f>SUM(F30:F34)</f>
        <v>4858096.5479700007</v>
      </c>
      <c r="G35" s="195">
        <f>SUM(G30:G34)</f>
        <v>4381107.0973799992</v>
      </c>
      <c r="H35" s="229">
        <f t="shared" si="2"/>
        <v>-9.8000000000000007</v>
      </c>
      <c r="I35" s="138"/>
      <c r="J35" s="195">
        <f t="shared" si="0"/>
        <v>5318441.967720001</v>
      </c>
      <c r="K35" s="195">
        <f t="shared" si="0"/>
        <v>4620230.3949699989</v>
      </c>
      <c r="L35" s="227">
        <f t="shared" si="3"/>
        <v>-13.1</v>
      </c>
      <c r="M35" s="75"/>
    </row>
    <row r="36" spans="1:15" ht="18.75" x14ac:dyDescent="0.3">
      <c r="A36" s="137"/>
      <c r="B36" s="110"/>
      <c r="C36" s="195"/>
      <c r="D36" s="229"/>
      <c r="E36" s="138"/>
      <c r="F36" s="195"/>
      <c r="G36" s="195"/>
      <c r="H36" s="229"/>
      <c r="I36" s="138"/>
      <c r="J36" s="193"/>
      <c r="K36" s="193"/>
      <c r="L36" s="227"/>
      <c r="M36" s="74"/>
    </row>
    <row r="37" spans="1:15" ht="22.5" x14ac:dyDescent="0.3">
      <c r="A37" s="137" t="s">
        <v>362</v>
      </c>
      <c r="B37" s="110"/>
      <c r="C37" s="195"/>
      <c r="D37" s="193"/>
      <c r="E37" s="138"/>
      <c r="F37" s="195"/>
      <c r="G37" s="195"/>
      <c r="H37" s="229"/>
      <c r="I37" s="138"/>
      <c r="J37" s="193"/>
      <c r="K37" s="193"/>
      <c r="L37" s="227"/>
      <c r="M37" s="74"/>
    </row>
    <row r="38" spans="1:15" s="135" customFormat="1" ht="18.75" x14ac:dyDescent="0.3">
      <c r="A38" s="137" t="s">
        <v>116</v>
      </c>
      <c r="B38" s="110">
        <f>'Skjema total MA'!B53</f>
        <v>45529.34199999999</v>
      </c>
      <c r="C38" s="110">
        <f>'Skjema total MA'!C53</f>
        <v>149001.03700000001</v>
      </c>
      <c r="D38" s="229">
        <f t="shared" si="5"/>
        <v>227.3</v>
      </c>
      <c r="E38" s="138"/>
      <c r="F38" s="195"/>
      <c r="G38" s="195"/>
      <c r="H38" s="229"/>
      <c r="I38" s="138"/>
      <c r="J38" s="195">
        <f t="shared" si="0"/>
        <v>45529.34199999999</v>
      </c>
      <c r="K38" s="195">
        <f t="shared" si="0"/>
        <v>149001.03700000001</v>
      </c>
      <c r="L38" s="227">
        <f t="shared" si="3"/>
        <v>227.3</v>
      </c>
      <c r="M38" s="75"/>
    </row>
    <row r="39" spans="1:15" ht="18.75" x14ac:dyDescent="0.3">
      <c r="A39" s="137"/>
      <c r="B39" s="110"/>
      <c r="C39" s="195"/>
      <c r="D39" s="193"/>
      <c r="E39" s="138"/>
      <c r="F39" s="195"/>
      <c r="G39" s="195"/>
      <c r="H39" s="229"/>
      <c r="I39" s="138"/>
      <c r="J39" s="193"/>
      <c r="K39" s="193"/>
      <c r="L39" s="227"/>
      <c r="M39" s="74"/>
    </row>
    <row r="40" spans="1:15" ht="22.5" x14ac:dyDescent="0.3">
      <c r="A40" s="189" t="s">
        <v>363</v>
      </c>
      <c r="B40" s="197"/>
      <c r="C40" s="200"/>
      <c r="D40" s="193"/>
      <c r="E40" s="181"/>
      <c r="F40" s="193"/>
      <c r="G40" s="193"/>
      <c r="H40" s="229"/>
      <c r="I40" s="181"/>
      <c r="J40" s="193"/>
      <c r="K40" s="193"/>
      <c r="L40" s="227"/>
      <c r="M40" s="74"/>
    </row>
    <row r="41" spans="1:15" ht="18.75" x14ac:dyDescent="0.3">
      <c r="A41" s="190" t="s">
        <v>114</v>
      </c>
      <c r="B41" s="104">
        <f>'Skjema total MA'!B12</f>
        <v>-21</v>
      </c>
      <c r="C41" s="104">
        <f>'Skjema total MA'!C12</f>
        <v>2053</v>
      </c>
      <c r="D41" s="229">
        <f>IF(B41=0, "    ---- ", IF(ABS(ROUND(100/B41*C41-100,1))&lt;999,ROUND(100/B41*C41-100,1),IF(ROUND(100/B41*C41-100,1)&gt;999,999,-999)))</f>
        <v>-999</v>
      </c>
      <c r="E41" s="181"/>
      <c r="F41" s="193">
        <f>'Skjema total MA'!E12</f>
        <v>61220.261790000004</v>
      </c>
      <c r="G41" s="193">
        <f>'Skjema total MA'!F12</f>
        <v>41806.845820000002</v>
      </c>
      <c r="H41" s="229">
        <f t="shared" si="2"/>
        <v>-31.7</v>
      </c>
      <c r="I41" s="181"/>
      <c r="J41" s="193">
        <f t="shared" si="0"/>
        <v>61199.261790000004</v>
      </c>
      <c r="K41" s="193">
        <f t="shared" si="0"/>
        <v>43859.845820000002</v>
      </c>
      <c r="L41" s="227">
        <f t="shared" si="3"/>
        <v>-28.3</v>
      </c>
      <c r="M41" s="74"/>
    </row>
    <row r="42" spans="1:15" ht="18.75" x14ac:dyDescent="0.3">
      <c r="A42" s="190" t="s">
        <v>115</v>
      </c>
      <c r="B42" s="104">
        <f>'Skjema total MA'!B35</f>
        <v>-9944.9119100000007</v>
      </c>
      <c r="C42" s="104">
        <f>'Skjema total MA'!C35</f>
        <v>-7524.6640200000002</v>
      </c>
      <c r="D42" s="229">
        <f t="shared" ref="D42:D46" si="6">IF(B42=0, "    ---- ", IF(ABS(ROUND(100/B42*C42-100,1))&lt;999,ROUND(100/B42*C42-100,1),IF(ROUND(100/B42*C42-100,1)&gt;999,999,-999)))</f>
        <v>-24.3</v>
      </c>
      <c r="E42" s="181"/>
      <c r="F42" s="193">
        <f>'Skjema total MA'!E35</f>
        <v>27172.133980000002</v>
      </c>
      <c r="G42" s="193">
        <f>'Skjema total MA'!F35</f>
        <v>22528.448659999998</v>
      </c>
      <c r="H42" s="229">
        <f t="shared" si="2"/>
        <v>-17.100000000000001</v>
      </c>
      <c r="I42" s="181"/>
      <c r="J42" s="193">
        <f t="shared" si="0"/>
        <v>17227.222070000003</v>
      </c>
      <c r="K42" s="193">
        <f t="shared" si="0"/>
        <v>15003.784639999998</v>
      </c>
      <c r="L42" s="227">
        <f t="shared" si="3"/>
        <v>-12.9</v>
      </c>
      <c r="M42" s="74"/>
    </row>
    <row r="43" spans="1:15" ht="18.75" x14ac:dyDescent="0.3">
      <c r="A43" s="190" t="s">
        <v>117</v>
      </c>
      <c r="B43" s="104">
        <f>'Skjema total MA'!B119</f>
        <v>170176.22447999968</v>
      </c>
      <c r="C43" s="104">
        <f>'Skjema total MA'!C119</f>
        <v>186074.15502999991</v>
      </c>
      <c r="D43" s="229">
        <f t="shared" si="6"/>
        <v>9.3000000000000007</v>
      </c>
      <c r="E43" s="181"/>
      <c r="F43" s="193">
        <f>'Skjema total MA'!E119</f>
        <v>5018920.8331699995</v>
      </c>
      <c r="G43" s="193">
        <f>'Skjema total MA'!F119</f>
        <v>4369085.9826800004</v>
      </c>
      <c r="H43" s="229">
        <f t="shared" si="2"/>
        <v>-12.9</v>
      </c>
      <c r="I43" s="181"/>
      <c r="J43" s="193">
        <f t="shared" si="0"/>
        <v>5189097.0576499989</v>
      </c>
      <c r="K43" s="193">
        <f t="shared" si="0"/>
        <v>4555160.1377100004</v>
      </c>
      <c r="L43" s="227">
        <f t="shared" si="3"/>
        <v>-12.2</v>
      </c>
      <c r="M43" s="74"/>
    </row>
    <row r="44" spans="1:15" ht="22.5" x14ac:dyDescent="0.3">
      <c r="A44" s="190" t="s">
        <v>359</v>
      </c>
      <c r="B44" s="104">
        <f>'Skjema total MA'!B137</f>
        <v>423500</v>
      </c>
      <c r="C44" s="104">
        <f>'Skjema total MA'!C137</f>
        <v>248299.76699999999</v>
      </c>
      <c r="D44" s="229">
        <f t="shared" si="6"/>
        <v>-41.4</v>
      </c>
      <c r="E44" s="181"/>
      <c r="F44" s="193">
        <f>'Skjema total MA'!E137</f>
        <v>0</v>
      </c>
      <c r="G44" s="193">
        <f>'Skjema total MA'!F137</f>
        <v>0</v>
      </c>
      <c r="H44" s="229"/>
      <c r="I44" s="181"/>
      <c r="J44" s="193">
        <f t="shared" si="0"/>
        <v>423500</v>
      </c>
      <c r="K44" s="193">
        <f t="shared" si="0"/>
        <v>248299.76699999999</v>
      </c>
      <c r="L44" s="227">
        <f t="shared" si="3"/>
        <v>-41.4</v>
      </c>
      <c r="M44" s="74"/>
    </row>
    <row r="45" spans="1:15" ht="18.75" x14ac:dyDescent="0.3">
      <c r="A45" s="190" t="s">
        <v>120</v>
      </c>
      <c r="B45" s="104">
        <f>'Skjema total MA'!B39</f>
        <v>0</v>
      </c>
      <c r="C45" s="104">
        <f>'Skjema total MA'!C39</f>
        <v>0</v>
      </c>
      <c r="D45" s="229"/>
      <c r="E45" s="181"/>
      <c r="F45" s="193"/>
      <c r="G45" s="193"/>
      <c r="H45" s="229"/>
      <c r="I45" s="181"/>
      <c r="J45" s="193">
        <f t="shared" si="0"/>
        <v>0</v>
      </c>
      <c r="K45" s="193">
        <f t="shared" si="0"/>
        <v>0</v>
      </c>
      <c r="L45" s="227"/>
      <c r="M45" s="74"/>
    </row>
    <row r="46" spans="1:15" s="135" customFormat="1" ht="18.75" x14ac:dyDescent="0.3">
      <c r="A46" s="137" t="s">
        <v>125</v>
      </c>
      <c r="B46" s="110">
        <f>SUM(B41:B45)</f>
        <v>583710.31256999972</v>
      </c>
      <c r="C46" s="195">
        <f>SUM(C41:C45)</f>
        <v>428902.25800999987</v>
      </c>
      <c r="D46" s="229">
        <f t="shared" si="6"/>
        <v>-26.5</v>
      </c>
      <c r="E46" s="138"/>
      <c r="F46" s="195">
        <f>SUM(F41:F45)</f>
        <v>5107313.2289399998</v>
      </c>
      <c r="G46" s="268">
        <f>SUM(G41:G45)</f>
        <v>4433421.2771600001</v>
      </c>
      <c r="H46" s="229">
        <f t="shared" si="2"/>
        <v>-13.2</v>
      </c>
      <c r="I46" s="138"/>
      <c r="J46" s="195">
        <f t="shared" si="0"/>
        <v>5691023.5415099999</v>
      </c>
      <c r="K46" s="195">
        <f t="shared" si="0"/>
        <v>4862323.53517</v>
      </c>
      <c r="L46" s="227">
        <f t="shared" si="3"/>
        <v>-14.6</v>
      </c>
      <c r="M46" s="75"/>
      <c r="N46" s="134"/>
      <c r="O46" s="134"/>
    </row>
    <row r="47" spans="1:15" ht="18.75" x14ac:dyDescent="0.3">
      <c r="A47" s="137"/>
      <c r="B47" s="110"/>
      <c r="C47" s="195"/>
      <c r="D47" s="193"/>
      <c r="E47" s="138"/>
      <c r="F47" s="195"/>
      <c r="G47" s="195"/>
      <c r="H47" s="229"/>
      <c r="I47" s="138"/>
      <c r="J47" s="193"/>
      <c r="K47" s="193"/>
      <c r="L47" s="227"/>
      <c r="M47" s="74"/>
    </row>
    <row r="48" spans="1:15" ht="22.5" x14ac:dyDescent="0.3">
      <c r="A48" s="137" t="s">
        <v>364</v>
      </c>
      <c r="B48" s="110"/>
      <c r="C48" s="195"/>
      <c r="D48" s="193"/>
      <c r="E48" s="138"/>
      <c r="F48" s="195"/>
      <c r="G48" s="195"/>
      <c r="H48" s="229"/>
      <c r="I48" s="138"/>
      <c r="J48" s="193"/>
      <c r="K48" s="193"/>
      <c r="L48" s="227"/>
      <c r="M48" s="74"/>
    </row>
    <row r="49" spans="1:15" s="135" customFormat="1" ht="18.75" x14ac:dyDescent="0.3">
      <c r="A49" s="137" t="s">
        <v>116</v>
      </c>
      <c r="B49" s="110">
        <f>'Skjema total MA'!B56</f>
        <v>42022.144</v>
      </c>
      <c r="C49" s="110">
        <f>'Skjema total MA'!C56</f>
        <v>121084.31299999999</v>
      </c>
      <c r="D49" s="229">
        <f t="shared" ref="D49" si="7">IF(B49=0, "    ---- ", IF(ABS(ROUND(100/B49*C49-100,1))&lt;999,ROUND(100/B49*C49-100,1),IF(ROUND(100/B49*C49-100,1)&gt;999,999,-999)))</f>
        <v>188.1</v>
      </c>
      <c r="E49" s="138"/>
      <c r="F49" s="195"/>
      <c r="G49" s="195"/>
      <c r="H49" s="229"/>
      <c r="I49" s="138"/>
      <c r="J49" s="195">
        <f>SUM(B49+F49)</f>
        <v>42022.144</v>
      </c>
      <c r="K49" s="195">
        <f>SUM(C49+G49)</f>
        <v>121084.31299999999</v>
      </c>
      <c r="L49" s="227">
        <f t="shared" si="3"/>
        <v>188.1</v>
      </c>
      <c r="M49" s="75"/>
    </row>
    <row r="50" spans="1:15" ht="18.75" x14ac:dyDescent="0.3">
      <c r="A50" s="137"/>
      <c r="B50" s="104"/>
      <c r="C50" s="193"/>
      <c r="D50" s="193"/>
      <c r="E50" s="181"/>
      <c r="F50" s="193"/>
      <c r="G50" s="193"/>
      <c r="H50" s="229"/>
      <c r="I50" s="181"/>
      <c r="J50" s="193"/>
      <c r="K50" s="193"/>
      <c r="L50" s="227"/>
      <c r="M50" s="74"/>
    </row>
    <row r="51" spans="1:15" ht="21.75" x14ac:dyDescent="0.3">
      <c r="A51" s="189" t="s">
        <v>365</v>
      </c>
      <c r="B51" s="104"/>
      <c r="C51" s="193"/>
      <c r="D51" s="193"/>
      <c r="E51" s="181"/>
      <c r="F51" s="193"/>
      <c r="G51" s="193"/>
      <c r="H51" s="229"/>
      <c r="I51" s="181"/>
      <c r="J51" s="193"/>
      <c r="K51" s="193"/>
      <c r="L51" s="227"/>
      <c r="M51" s="74"/>
    </row>
    <row r="52" spans="1:15" ht="18.75" x14ac:dyDescent="0.3">
      <c r="A52" s="190" t="s">
        <v>114</v>
      </c>
      <c r="B52" s="104">
        <f>B30-B41</f>
        <v>2989</v>
      </c>
      <c r="C52" s="193">
        <f>C30-C41</f>
        <v>3279</v>
      </c>
      <c r="D52" s="229">
        <f>IF(B52=0, "    ---- ", IF(ABS(ROUND(100/B52*C52-100,1))&lt;999,ROUND(100/B52*C52-100,1),IF(ROUND(100/B52*C52-100,1)&gt;999,999,-999)))</f>
        <v>9.6999999999999993</v>
      </c>
      <c r="E52" s="181"/>
      <c r="F52" s="193">
        <f>F30-F41</f>
        <v>-8752.094640000003</v>
      </c>
      <c r="G52" s="193">
        <f>G30-G41</f>
        <v>51032.117480000001</v>
      </c>
      <c r="H52" s="229">
        <f t="shared" si="2"/>
        <v>-683.1</v>
      </c>
      <c r="I52" s="181"/>
      <c r="J52" s="193">
        <f t="shared" si="0"/>
        <v>-5763.094640000003</v>
      </c>
      <c r="K52" s="193">
        <f t="shared" si="0"/>
        <v>54311.117480000001</v>
      </c>
      <c r="L52" s="227">
        <f t="shared" si="3"/>
        <v>-999</v>
      </c>
      <c r="M52" s="74"/>
    </row>
    <row r="53" spans="1:15" ht="18.75" x14ac:dyDescent="0.3">
      <c r="A53" s="190" t="s">
        <v>115</v>
      </c>
      <c r="B53" s="104">
        <f t="shared" ref="B53:C56" si="8">B31-B42</f>
        <v>17547.461190000002</v>
      </c>
      <c r="C53" s="193">
        <f t="shared" si="8"/>
        <v>13514.91402</v>
      </c>
      <c r="D53" s="229">
        <f t="shared" ref="D53:D60" si="9">IF(B53=0, "    ---- ", IF(ABS(ROUND(100/B53*C53-100,1))&lt;999,ROUND(100/B53*C53-100,1),IF(ROUND(100/B53*C53-100,1)&gt;999,999,-999)))</f>
        <v>-23</v>
      </c>
      <c r="E53" s="181"/>
      <c r="F53" s="193">
        <f t="shared" ref="F53:G56" si="10">F31-F42</f>
        <v>-21592.830880000001</v>
      </c>
      <c r="G53" s="193">
        <f t="shared" si="10"/>
        <v>-9118.79738</v>
      </c>
      <c r="H53" s="229">
        <f t="shared" si="2"/>
        <v>-57.8</v>
      </c>
      <c r="I53" s="181"/>
      <c r="J53" s="193">
        <f t="shared" si="0"/>
        <v>-4045.3696899999995</v>
      </c>
      <c r="K53" s="193">
        <f t="shared" si="0"/>
        <v>4396.1166400000002</v>
      </c>
      <c r="L53" s="227">
        <f t="shared" si="3"/>
        <v>-208.7</v>
      </c>
      <c r="M53" s="74"/>
    </row>
    <row r="54" spans="1:15" ht="18.75" x14ac:dyDescent="0.3">
      <c r="A54" s="190" t="s">
        <v>117</v>
      </c>
      <c r="B54" s="104">
        <f t="shared" si="8"/>
        <v>273685.66699000035</v>
      </c>
      <c r="C54" s="193">
        <f t="shared" si="8"/>
        <v>41726.892560000066</v>
      </c>
      <c r="D54" s="229">
        <f t="shared" si="9"/>
        <v>-84.8</v>
      </c>
      <c r="E54" s="181"/>
      <c r="F54" s="193">
        <f t="shared" si="10"/>
        <v>-218871.75544999912</v>
      </c>
      <c r="G54" s="193">
        <f t="shared" si="10"/>
        <v>-94227.499880000949</v>
      </c>
      <c r="H54" s="229">
        <f t="shared" si="2"/>
        <v>-56.9</v>
      </c>
      <c r="I54" s="181"/>
      <c r="J54" s="193">
        <f t="shared" si="0"/>
        <v>54813.911540001223</v>
      </c>
      <c r="K54" s="193">
        <f t="shared" si="0"/>
        <v>-52500.607320000883</v>
      </c>
      <c r="L54" s="227">
        <f t="shared" si="3"/>
        <v>-195.8</v>
      </c>
      <c r="M54" s="74"/>
    </row>
    <row r="55" spans="1:15" ht="22.5" x14ac:dyDescent="0.3">
      <c r="A55" s="190" t="s">
        <v>359</v>
      </c>
      <c r="B55" s="104">
        <f t="shared" si="8"/>
        <v>-418198.02100000001</v>
      </c>
      <c r="C55" s="193">
        <f t="shared" si="8"/>
        <v>-248299.76699999999</v>
      </c>
      <c r="D55" s="229">
        <f t="shared" si="9"/>
        <v>-40.6</v>
      </c>
      <c r="E55" s="181"/>
      <c r="F55" s="193">
        <f t="shared" si="10"/>
        <v>0</v>
      </c>
      <c r="G55" s="193">
        <f t="shared" si="10"/>
        <v>0</v>
      </c>
      <c r="H55" s="229"/>
      <c r="I55" s="181"/>
      <c r="J55" s="193">
        <f t="shared" si="0"/>
        <v>-418198.02100000001</v>
      </c>
      <c r="K55" s="193">
        <f t="shared" si="0"/>
        <v>-248299.76699999999</v>
      </c>
      <c r="L55" s="227">
        <f t="shared" si="3"/>
        <v>-40.6</v>
      </c>
      <c r="M55" s="74"/>
    </row>
    <row r="56" spans="1:15" ht="18.75" x14ac:dyDescent="0.3">
      <c r="A56" s="190" t="s">
        <v>120</v>
      </c>
      <c r="B56" s="104">
        <f t="shared" si="8"/>
        <v>611</v>
      </c>
      <c r="C56" s="193">
        <f t="shared" si="8"/>
        <v>0</v>
      </c>
      <c r="D56" s="229">
        <f t="shared" si="9"/>
        <v>-100</v>
      </c>
      <c r="E56" s="181"/>
      <c r="F56" s="193">
        <f t="shared" si="10"/>
        <v>0</v>
      </c>
      <c r="G56" s="193">
        <f t="shared" si="10"/>
        <v>0</v>
      </c>
      <c r="H56" s="229"/>
      <c r="I56" s="181"/>
      <c r="J56" s="193">
        <f t="shared" si="0"/>
        <v>611</v>
      </c>
      <c r="K56" s="193">
        <f t="shared" si="0"/>
        <v>0</v>
      </c>
      <c r="L56" s="227">
        <f t="shared" si="3"/>
        <v>-100</v>
      </c>
      <c r="M56" s="74"/>
    </row>
    <row r="57" spans="1:15" s="135" customFormat="1" ht="18.75" x14ac:dyDescent="0.3">
      <c r="A57" s="137" t="s">
        <v>126</v>
      </c>
      <c r="B57" s="110">
        <f>SUM(B52:B56)</f>
        <v>-123364.89281999966</v>
      </c>
      <c r="C57" s="195">
        <f>SUM(C52:C56)</f>
        <v>-189778.96041999993</v>
      </c>
      <c r="D57" s="229">
        <f>IF(B57=0, "    ---- ", IF(ABS(ROUND(100/B57*C57-100,1))&lt;999,ROUND(100/B57*C57-100,1),IF(ROUND(100/B57*C57-100,1)&gt;999,999,-999)))</f>
        <v>53.8</v>
      </c>
      <c r="E57" s="138"/>
      <c r="F57" s="195">
        <f>SUM(F52:F56)</f>
        <v>-249216.68096999911</v>
      </c>
      <c r="G57" s="268">
        <f>SUM(G52:G56)</f>
        <v>-52314.179780000952</v>
      </c>
      <c r="H57" s="229">
        <f t="shared" si="2"/>
        <v>-79</v>
      </c>
      <c r="I57" s="138"/>
      <c r="J57" s="195">
        <f t="shared" si="0"/>
        <v>-372581.57378999877</v>
      </c>
      <c r="K57" s="193">
        <f t="shared" si="0"/>
        <v>-242093.1402000009</v>
      </c>
      <c r="L57" s="227">
        <f t="shared" si="3"/>
        <v>-35</v>
      </c>
      <c r="M57" s="75"/>
      <c r="N57" s="134"/>
      <c r="O57" s="134"/>
    </row>
    <row r="58" spans="1:15" ht="18.75" x14ac:dyDescent="0.3">
      <c r="A58" s="137"/>
      <c r="B58" s="110"/>
      <c r="C58" s="195"/>
      <c r="D58" s="229"/>
      <c r="E58" s="138"/>
      <c r="F58" s="195"/>
      <c r="G58" s="195"/>
      <c r="H58" s="229"/>
      <c r="I58" s="138"/>
      <c r="J58" s="195"/>
      <c r="K58" s="193"/>
      <c r="L58" s="227"/>
      <c r="M58" s="74"/>
    </row>
    <row r="59" spans="1:15" ht="22.5" x14ac:dyDescent="0.3">
      <c r="A59" s="137" t="s">
        <v>366</v>
      </c>
      <c r="B59" s="110"/>
      <c r="C59" s="195"/>
      <c r="D59" s="229"/>
      <c r="E59" s="138"/>
      <c r="F59" s="195"/>
      <c r="G59" s="195"/>
      <c r="H59" s="229"/>
      <c r="I59" s="138"/>
      <c r="J59" s="195"/>
      <c r="K59" s="193"/>
      <c r="L59" s="227"/>
      <c r="M59" s="74"/>
    </row>
    <row r="60" spans="1:15" s="135" customFormat="1" ht="18.75" x14ac:dyDescent="0.3">
      <c r="A60" s="137" t="s">
        <v>116</v>
      </c>
      <c r="B60" s="110">
        <f>B38-B49</f>
        <v>3507.1979999999894</v>
      </c>
      <c r="C60" s="195">
        <f>C38-C49</f>
        <v>27916.724000000017</v>
      </c>
      <c r="D60" s="229">
        <f t="shared" si="9"/>
        <v>696</v>
      </c>
      <c r="E60" s="138"/>
      <c r="F60" s="195">
        <f>F38-F49</f>
        <v>0</v>
      </c>
      <c r="G60" s="195">
        <f>G38-G49</f>
        <v>0</v>
      </c>
      <c r="H60" s="229"/>
      <c r="I60" s="138"/>
      <c r="J60" s="195">
        <f t="shared" si="0"/>
        <v>3507.1979999999894</v>
      </c>
      <c r="K60" s="193">
        <f t="shared" si="0"/>
        <v>27916.724000000017</v>
      </c>
      <c r="L60" s="227">
        <f t="shared" si="3"/>
        <v>696</v>
      </c>
      <c r="M60" s="75"/>
    </row>
    <row r="61" spans="1:15" s="135" customFormat="1" ht="18.75" x14ac:dyDescent="0.3">
      <c r="A61" s="192"/>
      <c r="B61" s="115"/>
      <c r="C61" s="196"/>
      <c r="D61" s="201"/>
      <c r="E61" s="138"/>
      <c r="F61" s="196"/>
      <c r="G61" s="196"/>
      <c r="H61" s="201"/>
      <c r="I61" s="138"/>
      <c r="J61" s="201"/>
      <c r="K61" s="201"/>
      <c r="L61" s="201"/>
      <c r="M61" s="75"/>
    </row>
    <row r="62" spans="1:15" ht="18.75" x14ac:dyDescent="0.3">
      <c r="A62" s="112" t="s">
        <v>127</v>
      </c>
      <c r="C62" s="139"/>
      <c r="D62" s="139"/>
      <c r="E62" s="139"/>
      <c r="F62" s="139"/>
      <c r="G62" s="112"/>
      <c r="H62" s="74"/>
      <c r="I62" s="112"/>
      <c r="J62" s="112"/>
      <c r="K62" s="112"/>
      <c r="L62" s="74"/>
      <c r="M62" s="74"/>
    </row>
    <row r="63" spans="1:15" ht="18.75" x14ac:dyDescent="0.3">
      <c r="A63" s="112" t="s">
        <v>128</v>
      </c>
      <c r="C63" s="139"/>
      <c r="D63" s="139"/>
      <c r="E63" s="139"/>
      <c r="F63" s="139"/>
      <c r="G63" s="74"/>
      <c r="H63" s="74"/>
      <c r="I63" s="74"/>
      <c r="J63" s="74"/>
      <c r="K63" s="74"/>
      <c r="L63" s="74"/>
      <c r="M63" s="74"/>
    </row>
    <row r="64" spans="1:15" ht="18.75" x14ac:dyDescent="0.3">
      <c r="A64" s="112" t="s">
        <v>107</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C20" sqref="C20"/>
    </sheetView>
  </sheetViews>
  <sheetFormatPr baseColWidth="10" defaultColWidth="11.42578125" defaultRowHeight="18" x14ac:dyDescent="0.25"/>
  <cols>
    <col min="1" max="1" width="35.85546875" style="81" customWidth="1"/>
    <col min="2" max="2" width="18.140625" style="81" customWidth="1"/>
    <col min="3" max="3" width="17.855468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140625" style="81" bestFit="1" customWidth="1"/>
    <col min="13" max="16384" width="11.42578125" style="81"/>
  </cols>
  <sheetData>
    <row r="1" spans="1:10" ht="18.75" customHeight="1" x14ac:dyDescent="0.3">
      <c r="A1" s="80" t="s">
        <v>79</v>
      </c>
      <c r="B1" s="73" t="s">
        <v>52</v>
      </c>
      <c r="C1" s="80"/>
      <c r="D1" s="80"/>
      <c r="E1" s="80"/>
      <c r="F1" s="74"/>
      <c r="G1" s="74"/>
      <c r="H1" s="74"/>
      <c r="I1" s="74"/>
      <c r="J1" s="74"/>
    </row>
    <row r="2" spans="1:10" ht="20.100000000000001" customHeight="1" x14ac:dyDescent="0.3">
      <c r="A2" s="80" t="s">
        <v>163</v>
      </c>
      <c r="B2" s="80"/>
      <c r="C2" s="80"/>
      <c r="D2" s="80"/>
      <c r="E2" s="80"/>
      <c r="F2" s="74"/>
      <c r="G2" s="74"/>
      <c r="H2" s="74"/>
      <c r="I2" s="74"/>
      <c r="J2" s="74"/>
    </row>
    <row r="3" spans="1:10" ht="20.100000000000001" customHeight="1" x14ac:dyDescent="0.3">
      <c r="A3" s="75"/>
      <c r="B3" s="75"/>
      <c r="C3" s="75"/>
      <c r="D3" s="75"/>
      <c r="E3" s="252"/>
      <c r="F3" s="74"/>
      <c r="G3" s="74"/>
      <c r="H3" s="74"/>
      <c r="I3" s="74"/>
      <c r="J3" s="74"/>
    </row>
    <row r="4" spans="1:10" ht="20.100000000000001" customHeight="1" x14ac:dyDescent="0.3">
      <c r="A4" s="253"/>
      <c r="B4" s="668" t="s">
        <v>164</v>
      </c>
      <c r="C4" s="668"/>
      <c r="D4" s="669"/>
      <c r="E4" s="89"/>
      <c r="F4" s="670" t="s">
        <v>164</v>
      </c>
      <c r="G4" s="668"/>
      <c r="H4" s="669"/>
      <c r="I4" s="74"/>
      <c r="J4" s="74"/>
    </row>
    <row r="5" spans="1:10" ht="18.75" customHeight="1" x14ac:dyDescent="0.3">
      <c r="A5" s="254" t="s">
        <v>413</v>
      </c>
      <c r="B5" s="671" t="s">
        <v>165</v>
      </c>
      <c r="C5" s="672"/>
      <c r="D5" s="673"/>
      <c r="E5" s="255"/>
      <c r="F5" s="674" t="s">
        <v>166</v>
      </c>
      <c r="G5" s="675"/>
      <c r="H5" s="676"/>
      <c r="I5" s="112"/>
      <c r="J5" s="74"/>
    </row>
    <row r="6" spans="1:10" ht="18.75" customHeight="1" x14ac:dyDescent="0.3">
      <c r="A6" s="122"/>
      <c r="B6" s="120"/>
      <c r="C6" s="189"/>
      <c r="D6" s="256" t="s">
        <v>83</v>
      </c>
      <c r="E6" s="256"/>
      <c r="F6" s="123"/>
      <c r="G6" s="124"/>
      <c r="H6" s="94" t="s">
        <v>83</v>
      </c>
      <c r="I6" s="100"/>
      <c r="J6" s="74"/>
    </row>
    <row r="7" spans="1:10" ht="18.75" customHeight="1" x14ac:dyDescent="0.3">
      <c r="A7" s="126"/>
      <c r="B7" s="97">
        <v>2018</v>
      </c>
      <c r="C7" s="97">
        <v>2019</v>
      </c>
      <c r="D7" s="257" t="s">
        <v>85</v>
      </c>
      <c r="E7" s="256"/>
      <c r="F7" s="97">
        <v>2018</v>
      </c>
      <c r="G7" s="127">
        <v>2019</v>
      </c>
      <c r="H7" s="258" t="s">
        <v>85</v>
      </c>
      <c r="I7" s="100"/>
      <c r="J7" s="74"/>
    </row>
    <row r="8" spans="1:10" ht="18.75" customHeight="1" x14ac:dyDescent="0.3">
      <c r="A8" s="101" t="s">
        <v>167</v>
      </c>
      <c r="B8" s="109">
        <f>SUM(B9:B14)</f>
        <v>138709.58478355999</v>
      </c>
      <c r="C8" s="109">
        <f>SUM(C9:C14)</f>
        <v>143798.78548649003</v>
      </c>
      <c r="D8" s="259">
        <f t="shared" ref="D8:D38" si="0">IF(B8=0, "    ---- ", IF(ABS(ROUND(100/B8*C8-100,1))&lt;999,ROUND(100/B8*C8-100,1),IF(ROUND(100/B8*C8-100,1)&gt;999,999,-999)))</f>
        <v>3.7</v>
      </c>
      <c r="E8" s="260"/>
      <c r="F8" s="259">
        <f>SUM(F9:F14)</f>
        <v>99.999999999999986</v>
      </c>
      <c r="G8" s="259">
        <f>SUM(G9:G14)</f>
        <v>100</v>
      </c>
      <c r="H8" s="260">
        <f t="shared" ref="H8:H38" si="1">IF(F8=0, "    ---- ", IF(ABS(ROUND(100/F8*G8-100,1))&lt;999,ROUND(100/F8*G8-100,1),IF(ROUND(100/F8*G8-100,1)&gt;999,999,-999)))</f>
        <v>0</v>
      </c>
      <c r="I8" s="104"/>
      <c r="J8" s="74"/>
    </row>
    <row r="9" spans="1:10" ht="18.75" customHeight="1" x14ac:dyDescent="0.3">
      <c r="A9" s="86" t="s">
        <v>168</v>
      </c>
      <c r="B9" s="106">
        <f>'Tabell 6'!AO21</f>
        <v>3447.0859</v>
      </c>
      <c r="C9" s="106">
        <f>'Tabell 6'!AP21</f>
        <v>4194.4814084499994</v>
      </c>
      <c r="D9" s="261">
        <f t="shared" si="0"/>
        <v>21.7</v>
      </c>
      <c r="E9" s="261"/>
      <c r="F9" s="261">
        <f>'Tabell 6'!AO21/'Tabell 6'!AO29*100</f>
        <v>2.4851100991894479</v>
      </c>
      <c r="G9" s="261">
        <f>'Tabell 6'!AP21/'Tabell 6'!AP29*100</f>
        <v>2.9169101771336408</v>
      </c>
      <c r="H9" s="262">
        <f t="shared" si="1"/>
        <v>17.399999999999999</v>
      </c>
      <c r="I9" s="104"/>
      <c r="J9" s="77"/>
    </row>
    <row r="10" spans="1:10" ht="18.75" customHeight="1" x14ac:dyDescent="0.3">
      <c r="A10" s="86" t="s">
        <v>169</v>
      </c>
      <c r="B10" s="105">
        <f>'Tabell 6'!AO18+'Tabell 6'!AO22</f>
        <v>75460.465330589999</v>
      </c>
      <c r="C10" s="105">
        <f>'Tabell 6'!AP18+'Tabell 6'!AP22</f>
        <v>71174.236143960006</v>
      </c>
      <c r="D10" s="261">
        <f t="shared" si="0"/>
        <v>-5.7</v>
      </c>
      <c r="E10" s="261"/>
      <c r="F10" s="261">
        <f>('Tabell 6'!AO18+'Tabell 6'!AO22)/'Tabell 6'!AO29*100</f>
        <v>54.401767151373981</v>
      </c>
      <c r="G10" s="261">
        <f>('Tabell 6'!AP18+'Tabell 6'!AP22)/'Tabell 6'!AP29*100</f>
        <v>49.495714378371353</v>
      </c>
      <c r="H10" s="262">
        <f t="shared" si="1"/>
        <v>-9</v>
      </c>
      <c r="I10" s="104"/>
      <c r="J10" s="74"/>
    </row>
    <row r="11" spans="1:10" ht="18.75" customHeight="1" x14ac:dyDescent="0.3">
      <c r="A11" s="86" t="s">
        <v>170</v>
      </c>
      <c r="B11" s="105">
        <f>'Tabell 6'!AO14</f>
        <v>855.96876674999999</v>
      </c>
      <c r="C11" s="105">
        <f>'Tabell 6'!AP14</f>
        <v>983.27323775000002</v>
      </c>
      <c r="D11" s="261">
        <f t="shared" si="0"/>
        <v>14.9</v>
      </c>
      <c r="E11" s="261"/>
      <c r="F11" s="261">
        <f>'Tabell 6'!AO14/'Tabell 6'!AO29*100</f>
        <v>0.61709417419541601</v>
      </c>
      <c r="G11" s="261">
        <f>'Tabell 6'!AP14/'Tabell 6'!AP29*100</f>
        <v>0.6837841045899371</v>
      </c>
      <c r="H11" s="262">
        <f t="shared" si="1"/>
        <v>10.8</v>
      </c>
      <c r="I11" s="104"/>
      <c r="J11" s="74"/>
    </row>
    <row r="12" spans="1:10" ht="18.75" customHeight="1" x14ac:dyDescent="0.3">
      <c r="A12" s="108" t="s">
        <v>171</v>
      </c>
      <c r="B12" s="105">
        <f>'Tabell 6'!AO15</f>
        <v>21505.342857720003</v>
      </c>
      <c r="C12" s="105">
        <f>'Tabell 6'!AP15</f>
        <v>23608.08246582</v>
      </c>
      <c r="D12" s="263">
        <f t="shared" si="0"/>
        <v>9.8000000000000007</v>
      </c>
      <c r="E12" s="263"/>
      <c r="F12" s="261">
        <f>'Tabell 6'!AO15/'Tabell 6'!AO29*100</f>
        <v>15.503862181749414</v>
      </c>
      <c r="G12" s="261">
        <f>'Tabell 6'!AP15/'Tabell 6'!AP29*100</f>
        <v>16.417442182109387</v>
      </c>
      <c r="H12" s="262">
        <f t="shared" si="1"/>
        <v>5.9</v>
      </c>
      <c r="I12" s="104"/>
      <c r="J12" s="74"/>
    </row>
    <row r="13" spans="1:10" ht="18.75" customHeight="1" x14ac:dyDescent="0.3">
      <c r="A13" s="86" t="s">
        <v>172</v>
      </c>
      <c r="B13" s="105">
        <f>'Tabell 6'!AO19+'Tabell 6'!AO23</f>
        <v>23304.965510409998</v>
      </c>
      <c r="C13" s="105">
        <f>'Tabell 6'!AP19+'Tabell 6'!AP23</f>
        <v>28778.677208300003</v>
      </c>
      <c r="D13" s="261">
        <f t="shared" si="0"/>
        <v>23.5</v>
      </c>
      <c r="E13" s="261"/>
      <c r="F13" s="261">
        <f>('Tabell 6'!AO19+'Tabell 6'!AO23)/'Tabell 6'!AO29*100</f>
        <v>16.801265425727181</v>
      </c>
      <c r="G13" s="261">
        <f>('Tabell 6'!AP19+'Tabell 6'!AP23)/'Tabell 6'!AP29*100</f>
        <v>20.013157351042981</v>
      </c>
      <c r="H13" s="262">
        <f t="shared" si="1"/>
        <v>19.100000000000001</v>
      </c>
      <c r="I13" s="104"/>
      <c r="J13" s="74"/>
    </row>
    <row r="14" spans="1:10" ht="18.75" customHeight="1" x14ac:dyDescent="0.3">
      <c r="A14" s="86" t="s">
        <v>173</v>
      </c>
      <c r="B14" s="176">
        <f>'Tabell 6'!AO17-'Tabell 6'!AO18+'Tabell 6'!AO24+'Tabell 6'!AO25+'Tabell 6'!AO26+'Tabell 6'!AO28</f>
        <v>14135.756418090001</v>
      </c>
      <c r="C14" s="176">
        <f>'Tabell 6'!AP17-'Tabell 6'!AP18+'Tabell 6'!AP24+'Tabell 6'!AP25+'Tabell 6'!AP26+'Tabell 6'!AP28</f>
        <v>15060.035022210002</v>
      </c>
      <c r="D14" s="261">
        <f t="shared" si="0"/>
        <v>6.5</v>
      </c>
      <c r="E14" s="261"/>
      <c r="F14" s="261">
        <f>('Tabell 6'!AO17-'Tabell 6'!AO18+'Tabell 6'!AO24+'Tabell 6'!AO25+'Tabell 6'!AO26+'Tabell 6'!AO28)/'Tabell 6'!AO29*100</f>
        <v>10.190900967764547</v>
      </c>
      <c r="G14" s="261">
        <f>('Tabell 6'!AP17-'Tabell 6'!AP18+'Tabell 6'!AP24+'Tabell 6'!AP25+'Tabell 6'!AP26+'Tabell 6'!AP28)/'Tabell 6'!AP29*100</f>
        <v>10.472991806752709</v>
      </c>
      <c r="H14" s="262">
        <f t="shared" si="1"/>
        <v>2.8</v>
      </c>
      <c r="I14" s="104"/>
      <c r="J14" s="74"/>
    </row>
    <row r="15" spans="1:10" ht="18.75" customHeight="1" x14ac:dyDescent="0.3">
      <c r="A15" s="190"/>
      <c r="B15" s="103"/>
      <c r="C15" s="176"/>
      <c r="D15" s="262"/>
      <c r="E15" s="262"/>
      <c r="F15" s="262"/>
      <c r="G15" s="261"/>
      <c r="H15" s="262"/>
      <c r="I15" s="104"/>
      <c r="J15" s="74"/>
    </row>
    <row r="16" spans="1:10" s="135" customFormat="1" ht="18.75" customHeight="1" x14ac:dyDescent="0.3">
      <c r="A16" s="101" t="s">
        <v>174</v>
      </c>
      <c r="B16" s="109">
        <f>SUM(B17:B22)</f>
        <v>1058787.5131200599</v>
      </c>
      <c r="C16" s="109">
        <f>SUM(C17:C22)</f>
        <v>1101760.3974695497</v>
      </c>
      <c r="D16" s="259">
        <f t="shared" si="0"/>
        <v>4.0999999999999996</v>
      </c>
      <c r="E16" s="259"/>
      <c r="F16" s="259">
        <f>SUM(F17:F22)</f>
        <v>99.999999999999957</v>
      </c>
      <c r="G16" s="259">
        <f>SUM(G17:G22)</f>
        <v>100.00000000000001</v>
      </c>
      <c r="H16" s="260">
        <f t="shared" si="1"/>
        <v>0</v>
      </c>
      <c r="I16" s="110"/>
      <c r="J16" s="75"/>
    </row>
    <row r="17" spans="1:10" ht="18.75" customHeight="1" x14ac:dyDescent="0.3">
      <c r="A17" s="86" t="s">
        <v>168</v>
      </c>
      <c r="B17" s="103">
        <f>'Tabell 6'!AO40</f>
        <v>175037.22010919999</v>
      </c>
      <c r="C17" s="103">
        <f>'Tabell 6'!AP40</f>
        <v>189211.21758330998</v>
      </c>
      <c r="D17" s="261">
        <f t="shared" si="0"/>
        <v>8.1</v>
      </c>
      <c r="E17" s="261"/>
      <c r="F17" s="261">
        <f>'Tabell 6'!AO40/('Tabell 6'!AO45+'Tabell 6'!AO46)*100</f>
        <v>16.531855347764367</v>
      </c>
      <c r="G17" s="261">
        <f>'Tabell 6'!AP40/('Tabell 6'!AP45+'Tabell 6'!AP46)*100</f>
        <v>17.173535917417048</v>
      </c>
      <c r="H17" s="262">
        <f t="shared" si="1"/>
        <v>3.9</v>
      </c>
      <c r="I17" s="104"/>
      <c r="J17" s="74"/>
    </row>
    <row r="18" spans="1:10" ht="18.75" customHeight="1" x14ac:dyDescent="0.3">
      <c r="A18" s="86" t="s">
        <v>169</v>
      </c>
      <c r="B18" s="103">
        <f>'Tabell 6'!AO37+'Tabell 6'!AO41</f>
        <v>361481.89156712999</v>
      </c>
      <c r="C18" s="103">
        <f>'Tabell 6'!AP37+'Tabell 6'!AP41</f>
        <v>350433.05922608002</v>
      </c>
      <c r="D18" s="261">
        <f t="shared" si="0"/>
        <v>-3.1</v>
      </c>
      <c r="E18" s="261"/>
      <c r="F18" s="261">
        <f>('Tabell 6'!AO37+'Tabell 6'!AO41)/('Tabell 6'!AO45+'Tabell 6'!AO46)*100</f>
        <v>34.141117749104026</v>
      </c>
      <c r="G18" s="261">
        <f>('Tabell 6'!AP37+'Tabell 6'!AP41)/('Tabell 6'!AP45+'Tabell 6'!AP46)*100</f>
        <v>31.806648707916114</v>
      </c>
      <c r="H18" s="262">
        <f t="shared" si="1"/>
        <v>-6.8</v>
      </c>
      <c r="I18" s="104"/>
      <c r="J18" s="74"/>
    </row>
    <row r="19" spans="1:10" ht="18.75" customHeight="1" x14ac:dyDescent="0.3">
      <c r="A19" s="86" t="s">
        <v>170</v>
      </c>
      <c r="B19" s="103">
        <f>'Tabell 6'!AO33</f>
        <v>34.575001970000002</v>
      </c>
      <c r="C19" s="103">
        <f>'Tabell 6'!AP33</f>
        <v>33.442</v>
      </c>
      <c r="D19" s="261">
        <f t="shared" si="0"/>
        <v>-3.3</v>
      </c>
      <c r="E19" s="261"/>
      <c r="F19" s="261">
        <f>'Tabell 6'!AO33/('Tabell 6'!AO45+'Tabell 6'!AO46)*100</f>
        <v>3.265527930917278E-3</v>
      </c>
      <c r="G19" s="261">
        <f>'Tabell 6'!AP33/('Tabell 6'!AP45+'Tabell 6'!AP46)*100</f>
        <v>3.035324202685753E-3</v>
      </c>
      <c r="H19" s="262">
        <f t="shared" si="1"/>
        <v>-7</v>
      </c>
      <c r="I19" s="104"/>
      <c r="J19" s="74"/>
    </row>
    <row r="20" spans="1:10" ht="18.75" customHeight="1" x14ac:dyDescent="0.3">
      <c r="A20" s="108" t="s">
        <v>171</v>
      </c>
      <c r="B20" s="105">
        <f>'Tabell 6'!AO34</f>
        <v>124940.77206121999</v>
      </c>
      <c r="C20" s="105">
        <f>'Tabell 6'!AP34</f>
        <v>137832.59241354</v>
      </c>
      <c r="D20" s="263">
        <f t="shared" si="0"/>
        <v>10.3</v>
      </c>
      <c r="E20" s="263"/>
      <c r="F20" s="261">
        <f>'Tabell 6'!AO34/('Tabell 6'!AO45+'Tabell 6'!AO46)*100</f>
        <v>11.800363199698264</v>
      </c>
      <c r="G20" s="261">
        <f>'Tabell 6'!AP34/('Tabell 6'!AP45+'Tabell 6'!AP46)*100</f>
        <v>12.510214809871979</v>
      </c>
      <c r="H20" s="262">
        <f t="shared" si="1"/>
        <v>6</v>
      </c>
      <c r="I20" s="104"/>
      <c r="J20" s="74"/>
    </row>
    <row r="21" spans="1:10" ht="18.75" customHeight="1" x14ac:dyDescent="0.3">
      <c r="A21" s="86" t="s">
        <v>172</v>
      </c>
      <c r="B21" s="103">
        <f>'Tabell 6'!AO38+'Tabell 6'!AO42</f>
        <v>387616.15118345985</v>
      </c>
      <c r="C21" s="103">
        <f>'Tabell 6'!AP38+'Tabell 6'!AP42</f>
        <v>415257.29665263987</v>
      </c>
      <c r="D21" s="261">
        <f t="shared" si="0"/>
        <v>7.1</v>
      </c>
      <c r="E21" s="261"/>
      <c r="F21" s="261">
        <f>('Tabell 6'!AO38+'Tabell 6'!AO42)/('Tabell 6'!AO45+'Tabell 6'!AO46)*100</f>
        <v>36.60943734038036</v>
      </c>
      <c r="G21" s="261">
        <f>('Tabell 6'!AP38+'Tabell 6'!AP42)/('Tabell 6'!AP45+'Tabell 6'!AP46)*100</f>
        <v>37.690345160923847</v>
      </c>
      <c r="H21" s="262">
        <f t="shared" si="1"/>
        <v>3</v>
      </c>
      <c r="I21" s="104"/>
      <c r="J21" s="74"/>
    </row>
    <row r="22" spans="1:10" ht="18.75" customHeight="1" x14ac:dyDescent="0.3">
      <c r="A22" s="190" t="s">
        <v>173</v>
      </c>
      <c r="B22" s="103">
        <f>'Tabell 6'!AO36-'Tabell 6'!AO37+'Tabell 6'!AO43+'Tabell 6'!AO44+'Tabell 6'!AO46</f>
        <v>9676.9031970800042</v>
      </c>
      <c r="C22" s="103">
        <f>'Tabell 6'!AP36-'Tabell 6'!AP37+'Tabell 6'!AP43+'Tabell 6'!AP44+'Tabell 6'!AP46</f>
        <v>8992.7895939799782</v>
      </c>
      <c r="D22" s="261">
        <f t="shared" si="0"/>
        <v>-7.1</v>
      </c>
      <c r="E22" s="261"/>
      <c r="F22" s="262">
        <f>('Tabell 6'!AO36-'Tabell 6'!AO37+'Tabell 6'!AO43+'Tabell 6'!AO44+'Tabell 6'!AO46)/('Tabell 6'!AO45+'Tabell 6'!AO46)*100</f>
        <v>0.91396083512204229</v>
      </c>
      <c r="G22" s="262">
        <f>('Tabell 6'!AP36-'Tabell 6'!AP37+'Tabell 6'!AP43+'Tabell 6'!AP44+'Tabell 6'!AP46)/('Tabell 6'!AP45+'Tabell 6'!AP46)*100</f>
        <v>0.81622007966832177</v>
      </c>
      <c r="H22" s="262">
        <f t="shared" si="1"/>
        <v>-10.7</v>
      </c>
      <c r="I22" s="104"/>
      <c r="J22" s="74"/>
    </row>
    <row r="23" spans="1:10" ht="18.75" customHeight="1" x14ac:dyDescent="0.3">
      <c r="A23" s="86"/>
      <c r="B23" s="176"/>
      <c r="C23" s="176"/>
      <c r="D23" s="262"/>
      <c r="E23" s="261"/>
      <c r="F23" s="261"/>
      <c r="G23" s="262"/>
      <c r="H23" s="262"/>
      <c r="I23" s="181"/>
      <c r="J23" s="74"/>
    </row>
    <row r="24" spans="1:10" ht="18.75" customHeight="1" x14ac:dyDescent="0.3">
      <c r="A24" s="137" t="s">
        <v>175</v>
      </c>
      <c r="B24" s="109">
        <f>SUM(B25:B30)</f>
        <v>298758.34241106</v>
      </c>
      <c r="C24" s="109">
        <f>SUM(C25:C30)</f>
        <v>338395.12895604991</v>
      </c>
      <c r="D24" s="259">
        <f t="shared" si="0"/>
        <v>13.3</v>
      </c>
      <c r="E24" s="259"/>
      <c r="F24" s="260">
        <f>SUM(F25:F30)</f>
        <v>100.00000000000001</v>
      </c>
      <c r="G24" s="260">
        <f>SUM(G25:G30)</f>
        <v>100</v>
      </c>
      <c r="H24" s="262">
        <f t="shared" si="1"/>
        <v>0</v>
      </c>
      <c r="I24" s="181"/>
      <c r="J24" s="74"/>
    </row>
    <row r="25" spans="1:10" ht="18.75" customHeight="1" x14ac:dyDescent="0.3">
      <c r="A25" s="190" t="s">
        <v>168</v>
      </c>
      <c r="B25" s="103">
        <f>'Tabell 6'!AO55</f>
        <v>203569.41262556001</v>
      </c>
      <c r="C25" s="103">
        <f>'Tabell 6'!AP55</f>
        <v>187041.67945738998</v>
      </c>
      <c r="D25" s="261">
        <f t="shared" si="0"/>
        <v>-8.1</v>
      </c>
      <c r="E25" s="261"/>
      <c r="F25" s="261">
        <f>'Tabell 6'!AO55/('Tabell 6'!AO60+'Tabell 6'!AO61)*100</f>
        <v>68.138486437801276</v>
      </c>
      <c r="G25" s="261">
        <f>'Tabell 6'!AP55/('Tabell 6'!AP60+'Tabell 6'!AP61)*100</f>
        <v>55.273159526383886</v>
      </c>
      <c r="H25" s="262">
        <f t="shared" si="1"/>
        <v>-18.899999999999999</v>
      </c>
      <c r="I25" s="181"/>
      <c r="J25" s="74"/>
    </row>
    <row r="26" spans="1:10" ht="18.75" customHeight="1" x14ac:dyDescent="0.3">
      <c r="A26" s="190" t="s">
        <v>169</v>
      </c>
      <c r="B26" s="103">
        <f>'Tabell 6'!AO52+'Tabell 6'!AO56</f>
        <v>86567.555404010011</v>
      </c>
      <c r="C26" s="103">
        <f>'Tabell 6'!AP52+'Tabell 6'!AP56</f>
        <v>126868.11202816</v>
      </c>
      <c r="D26" s="261">
        <f t="shared" si="0"/>
        <v>46.6</v>
      </c>
      <c r="E26" s="261"/>
      <c r="F26" s="261">
        <f>('Tabell 6'!AO52+'Tabell 6'!AO56)/('Tabell 6'!AO60+'Tabell 6'!AO61)*100</f>
        <v>28.97577845203806</v>
      </c>
      <c r="G26" s="261">
        <f>('Tabell 6'!AP52+'Tabell 6'!AP56)/('Tabell 6'!AP60+'Tabell 6'!AP61)*100</f>
        <v>37.49111650027249</v>
      </c>
      <c r="H26" s="262">
        <f t="shared" si="1"/>
        <v>29.4</v>
      </c>
      <c r="I26" s="181"/>
      <c r="J26" s="74"/>
    </row>
    <row r="27" spans="1:10" ht="18.75" customHeight="1" x14ac:dyDescent="0.3">
      <c r="A27" s="190" t="s">
        <v>170</v>
      </c>
      <c r="B27" s="103">
        <f>'Tabell 6'!AO48</f>
        <v>0</v>
      </c>
      <c r="C27" s="103">
        <f>'Tabell 6'!AP48</f>
        <v>0</v>
      </c>
      <c r="D27" s="261" t="str">
        <f t="shared" si="0"/>
        <v xml:space="preserve">    ---- </v>
      </c>
      <c r="E27" s="261"/>
      <c r="F27" s="261">
        <f>'Tabell 6'!AO48/('Tabell 6'!AO60+'Tabell 6'!AO61)*100</f>
        <v>0</v>
      </c>
      <c r="G27" s="261">
        <f>'Tabell 6'!AP48/('Tabell 6'!AP60+'Tabell 6'!AP61)*100</f>
        <v>0</v>
      </c>
      <c r="H27" s="262" t="str">
        <f t="shared" si="1"/>
        <v xml:space="preserve">    ---- </v>
      </c>
      <c r="I27" s="181"/>
      <c r="J27" s="74"/>
    </row>
    <row r="28" spans="1:10" ht="18.75" customHeight="1" x14ac:dyDescent="0.3">
      <c r="A28" s="108" t="s">
        <v>171</v>
      </c>
      <c r="B28" s="105">
        <f>'Tabell 6'!AO49</f>
        <v>4135.4493108799998</v>
      </c>
      <c r="C28" s="105">
        <f>'Tabell 6'!AP49</f>
        <v>18518.771066879999</v>
      </c>
      <c r="D28" s="263">
        <f t="shared" si="0"/>
        <v>347.8</v>
      </c>
      <c r="E28" s="263"/>
      <c r="F28" s="261">
        <f>'Tabell 6'!AO49/('Tabell 6'!AO60+'Tabell 6'!AO61)*100</f>
        <v>1.3842121620791621</v>
      </c>
      <c r="G28" s="261">
        <f>'Tabell 6'!AP49/('Tabell 6'!AP60+'Tabell 6'!AP61)*100</f>
        <v>5.4725288522947908</v>
      </c>
      <c r="H28" s="262">
        <f t="shared" si="1"/>
        <v>295.39999999999998</v>
      </c>
      <c r="I28" s="181"/>
      <c r="J28" s="74"/>
    </row>
    <row r="29" spans="1:10" ht="18.75" customHeight="1" x14ac:dyDescent="0.3">
      <c r="A29" s="190" t="s">
        <v>172</v>
      </c>
      <c r="B29" s="103">
        <f>'Tabell 6'!AO53+'Tabell 6'!AO57</f>
        <v>2552.0225147900001</v>
      </c>
      <c r="C29" s="103">
        <f>'Tabell 6'!AP53+'Tabell 6'!AP57</f>
        <v>2902.43611573</v>
      </c>
      <c r="D29" s="261">
        <f t="shared" si="0"/>
        <v>13.7</v>
      </c>
      <c r="E29" s="261"/>
      <c r="F29" s="261">
        <f>('Tabell 6'!AO53+'Tabell 6'!AO57)/('Tabell 6'!AO60+'Tabell 6'!AO61)*100</f>
        <v>0.8542096244725732</v>
      </c>
      <c r="G29" s="261">
        <f>('Tabell 6'!AP53+'Tabell 6'!AP57)/('Tabell 6'!AP60+'Tabell 6'!AP61)*100</f>
        <v>0.85770623374042776</v>
      </c>
      <c r="H29" s="262">
        <f t="shared" si="1"/>
        <v>0.4</v>
      </c>
      <c r="I29" s="181"/>
      <c r="J29" s="74"/>
    </row>
    <row r="30" spans="1:10" ht="18.75" customHeight="1" x14ac:dyDescent="0.3">
      <c r="A30" s="86" t="s">
        <v>173</v>
      </c>
      <c r="B30" s="103">
        <f>'Tabell 6'!AO51-'Tabell 6'!AO52+'Tabell 6'!AO58+'Tabell 6'!AO59+'Tabell 6'!AO61</f>
        <v>1933.9025558200003</v>
      </c>
      <c r="C30" s="103">
        <f>'Tabell 6'!AP51-'Tabell 6'!AP52+'Tabell 6'!AP58+'Tabell 6'!AP59+'Tabell 6'!AP61</f>
        <v>3064.1302878900001</v>
      </c>
      <c r="D30" s="262">
        <f t="shared" si="0"/>
        <v>58.4</v>
      </c>
      <c r="E30" s="262"/>
      <c r="F30" s="262">
        <f>('Tabell 6'!AO51-'Tabell 6'!AO52+'Tabell 6'!AO58+'Tabell 6'!AO59+'Tabell 6'!AO61)/('Tabell 6'!AO60+'Tabell 6'!AO61)*100</f>
        <v>0.64731332360893679</v>
      </c>
      <c r="G30" s="262">
        <f>('Tabell 6'!AP51-'Tabell 6'!AP52+'Tabell 6'!AP58+'Tabell 6'!AP59+'Tabell 6'!AP61)/('Tabell 6'!AP60+'Tabell 6'!AP61)*100</f>
        <v>0.90548888730841126</v>
      </c>
      <c r="H30" s="262">
        <f t="shared" si="1"/>
        <v>39.9</v>
      </c>
      <c r="I30" s="181"/>
      <c r="J30" s="74"/>
    </row>
    <row r="31" spans="1:10" ht="18.75" customHeight="1" x14ac:dyDescent="0.3">
      <c r="A31" s="190"/>
      <c r="B31" s="176"/>
      <c r="C31" s="176"/>
      <c r="D31" s="261"/>
      <c r="E31" s="261"/>
      <c r="F31" s="261"/>
      <c r="G31" s="262"/>
      <c r="H31" s="262"/>
      <c r="I31" s="181"/>
      <c r="J31" s="74"/>
    </row>
    <row r="32" spans="1:10" ht="18.75" customHeight="1" x14ac:dyDescent="0.3">
      <c r="A32" s="137" t="s">
        <v>2</v>
      </c>
      <c r="B32" s="109">
        <f>SUM(B33:B38)</f>
        <v>1496255.4403146801</v>
      </c>
      <c r="C32" s="109">
        <f>SUM(C33:C38)</f>
        <v>1583954.3119120898</v>
      </c>
      <c r="D32" s="259">
        <f t="shared" si="0"/>
        <v>5.9</v>
      </c>
      <c r="E32" s="259"/>
      <c r="F32" s="259">
        <f>SUM(F33:F38)</f>
        <v>99.999999999999972</v>
      </c>
      <c r="G32" s="259">
        <f>SUM(G33:G38)</f>
        <v>100</v>
      </c>
      <c r="H32" s="260">
        <f t="shared" si="1"/>
        <v>0</v>
      </c>
      <c r="I32" s="181"/>
      <c r="J32" s="74"/>
    </row>
    <row r="33" spans="1:10" ht="18.75" customHeight="1" x14ac:dyDescent="0.3">
      <c r="A33" s="190" t="s">
        <v>168</v>
      </c>
      <c r="B33" s="103">
        <f t="shared" ref="B33:C38" si="2">B9+B17+B25</f>
        <v>382053.71863476001</v>
      </c>
      <c r="C33" s="103">
        <f t="shared" si="2"/>
        <v>380447.37844914995</v>
      </c>
      <c r="D33" s="261">
        <f t="shared" si="0"/>
        <v>-0.4</v>
      </c>
      <c r="E33" s="261"/>
      <c r="F33" s="261">
        <f>B33/B32*100</f>
        <v>25.533990276046019</v>
      </c>
      <c r="G33" s="261">
        <f>C33/C32*100</f>
        <v>24.018835365894375</v>
      </c>
      <c r="H33" s="262">
        <f t="shared" si="1"/>
        <v>-5.9</v>
      </c>
      <c r="I33" s="181"/>
      <c r="J33" s="74"/>
    </row>
    <row r="34" spans="1:10" ht="18.75" customHeight="1" x14ac:dyDescent="0.3">
      <c r="A34" s="190" t="s">
        <v>169</v>
      </c>
      <c r="B34" s="103">
        <f t="shared" si="2"/>
        <v>523509.91230173002</v>
      </c>
      <c r="C34" s="103">
        <f t="shared" si="2"/>
        <v>548475.40739820001</v>
      </c>
      <c r="D34" s="261">
        <f t="shared" si="0"/>
        <v>4.8</v>
      </c>
      <c r="E34" s="261"/>
      <c r="F34" s="261">
        <f>B34/B32*100</f>
        <v>34.988003932779662</v>
      </c>
      <c r="G34" s="261">
        <f>C34/C32*100</f>
        <v>34.626971451979649</v>
      </c>
      <c r="H34" s="262">
        <f t="shared" si="1"/>
        <v>-1</v>
      </c>
      <c r="I34" s="181"/>
      <c r="J34" s="74"/>
    </row>
    <row r="35" spans="1:10" ht="18.75" customHeight="1" x14ac:dyDescent="0.3">
      <c r="A35" s="190" t="s">
        <v>170</v>
      </c>
      <c r="B35" s="103">
        <f t="shared" si="2"/>
        <v>890.54376872</v>
      </c>
      <c r="C35" s="103">
        <f t="shared" si="2"/>
        <v>1016.71523775</v>
      </c>
      <c r="D35" s="261">
        <f t="shared" si="0"/>
        <v>14.2</v>
      </c>
      <c r="E35" s="261"/>
      <c r="F35" s="261">
        <f>B35/B32*100</f>
        <v>5.9518164126621871E-2</v>
      </c>
      <c r="G35" s="261">
        <f>C35/C32*100</f>
        <v>6.4188419457797352E-2</v>
      </c>
      <c r="H35" s="262">
        <f t="shared" si="1"/>
        <v>7.8</v>
      </c>
      <c r="I35" s="181"/>
      <c r="J35" s="74"/>
    </row>
    <row r="36" spans="1:10" ht="18.75" customHeight="1" x14ac:dyDescent="0.3">
      <c r="A36" s="108" t="s">
        <v>171</v>
      </c>
      <c r="B36" s="105">
        <f t="shared" si="2"/>
        <v>150581.56422982001</v>
      </c>
      <c r="C36" s="105">
        <f t="shared" si="2"/>
        <v>179959.44594624001</v>
      </c>
      <c r="D36" s="263">
        <f t="shared" si="0"/>
        <v>19.5</v>
      </c>
      <c r="E36" s="263"/>
      <c r="F36" s="261">
        <f>B36/B32*100</f>
        <v>10.063894183612856</v>
      </c>
      <c r="G36" s="261">
        <f>C36/C32*100</f>
        <v>11.36140383550582</v>
      </c>
      <c r="H36" s="262">
        <f t="shared" si="1"/>
        <v>12.9</v>
      </c>
      <c r="I36" s="181"/>
      <c r="J36" s="74"/>
    </row>
    <row r="37" spans="1:10" ht="18.75" customHeight="1" x14ac:dyDescent="0.3">
      <c r="A37" s="190" t="s">
        <v>172</v>
      </c>
      <c r="B37" s="103">
        <f t="shared" si="2"/>
        <v>413473.13920865988</v>
      </c>
      <c r="C37" s="103">
        <f t="shared" si="2"/>
        <v>446938.40997666982</v>
      </c>
      <c r="D37" s="261">
        <f t="shared" si="0"/>
        <v>8.1</v>
      </c>
      <c r="E37" s="261"/>
      <c r="F37" s="261">
        <f>B37/B32*100</f>
        <v>27.633860373580436</v>
      </c>
      <c r="G37" s="261">
        <f>C37/C32*100</f>
        <v>28.216622576515014</v>
      </c>
      <c r="H37" s="262">
        <f t="shared" si="1"/>
        <v>2.1</v>
      </c>
      <c r="I37" s="181"/>
      <c r="J37" s="74"/>
    </row>
    <row r="38" spans="1:10" ht="18.75" customHeight="1" x14ac:dyDescent="0.3">
      <c r="A38" s="264" t="s">
        <v>173</v>
      </c>
      <c r="B38" s="265">
        <f t="shared" si="2"/>
        <v>25746.562170990008</v>
      </c>
      <c r="C38" s="265">
        <f t="shared" si="2"/>
        <v>27116.954904079979</v>
      </c>
      <c r="D38" s="266">
        <f t="shared" si="0"/>
        <v>5.3</v>
      </c>
      <c r="E38" s="261"/>
      <c r="F38" s="266">
        <f>B38/B32*100</f>
        <v>1.7207330698543828</v>
      </c>
      <c r="G38" s="266">
        <f>C38/C32*100</f>
        <v>1.7119783506473376</v>
      </c>
      <c r="H38" s="267">
        <f t="shared" si="1"/>
        <v>-0.5</v>
      </c>
      <c r="I38" s="181"/>
      <c r="J38" s="74"/>
    </row>
    <row r="39" spans="1:10" ht="18.75" customHeight="1" x14ac:dyDescent="0.3">
      <c r="A39" s="112"/>
      <c r="B39" s="112"/>
      <c r="C39" s="112"/>
      <c r="D39" s="112"/>
      <c r="E39" s="112"/>
      <c r="F39" s="181"/>
      <c r="G39" s="181"/>
      <c r="H39" s="181"/>
      <c r="I39" s="181"/>
      <c r="J39" s="74"/>
    </row>
    <row r="40" spans="1:10" ht="18.75" customHeight="1" x14ac:dyDescent="0.3">
      <c r="A40" s="112" t="s">
        <v>176</v>
      </c>
      <c r="B40" s="112"/>
      <c r="C40" s="112"/>
      <c r="D40" s="112"/>
      <c r="E40" s="112"/>
      <c r="F40" s="181"/>
      <c r="G40" s="181"/>
      <c r="H40" s="181"/>
      <c r="I40" s="181"/>
      <c r="J40" s="74"/>
    </row>
    <row r="41" spans="1:10" ht="18.75" x14ac:dyDescent="0.3">
      <c r="A41" s="112" t="s">
        <v>107</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K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C28" sqref="C28"/>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43">
        <v>4</v>
      </c>
      <c r="B1" s="4"/>
      <c r="C1" s="4"/>
      <c r="D1" s="4"/>
      <c r="E1" s="4"/>
      <c r="F1" s="4"/>
      <c r="G1" s="4"/>
      <c r="H1" s="4"/>
      <c r="I1" s="4"/>
      <c r="J1" s="4"/>
    </row>
    <row r="2" spans="1:10" ht="15.75" customHeight="1" x14ac:dyDescent="0.25">
      <c r="A2" s="165" t="s">
        <v>28</v>
      </c>
      <c r="B2" s="677"/>
      <c r="C2" s="677"/>
      <c r="D2" s="677"/>
      <c r="E2" s="677"/>
      <c r="F2" s="677"/>
      <c r="G2" s="677"/>
      <c r="H2" s="677"/>
      <c r="I2" s="677"/>
      <c r="J2" s="677"/>
    </row>
    <row r="3" spans="1:10" ht="15.75" customHeight="1" x14ac:dyDescent="0.25">
      <c r="A3" s="163"/>
      <c r="B3" s="289"/>
      <c r="C3" s="289"/>
      <c r="D3" s="289"/>
      <c r="E3" s="289"/>
      <c r="F3" s="289"/>
      <c r="G3" s="289"/>
      <c r="H3" s="289"/>
      <c r="I3" s="289"/>
      <c r="J3" s="289"/>
    </row>
    <row r="4" spans="1:10" ht="15.75" customHeight="1" x14ac:dyDescent="0.2">
      <c r="A4" s="144"/>
      <c r="B4" s="678" t="s">
        <v>0</v>
      </c>
      <c r="C4" s="679"/>
      <c r="D4" s="679"/>
      <c r="E4" s="678" t="s">
        <v>1</v>
      </c>
      <c r="F4" s="679"/>
      <c r="G4" s="679"/>
      <c r="H4" s="678" t="s">
        <v>2</v>
      </c>
      <c r="I4" s="679"/>
      <c r="J4" s="680"/>
    </row>
    <row r="5" spans="1:10" ht="15.75" customHeight="1" x14ac:dyDescent="0.2">
      <c r="A5" s="158"/>
      <c r="B5" s="20" t="s">
        <v>416</v>
      </c>
      <c r="C5" s="20" t="s">
        <v>417</v>
      </c>
      <c r="D5" s="245" t="s">
        <v>3</v>
      </c>
      <c r="E5" s="20" t="s">
        <v>416</v>
      </c>
      <c r="F5" s="20" t="s">
        <v>417</v>
      </c>
      <c r="G5" s="245" t="s">
        <v>3</v>
      </c>
      <c r="H5" s="20" t="s">
        <v>416</v>
      </c>
      <c r="I5" s="20" t="s">
        <v>417</v>
      </c>
      <c r="J5" s="245" t="s">
        <v>3</v>
      </c>
    </row>
    <row r="6" spans="1:10" ht="15.75" customHeight="1" x14ac:dyDescent="0.2">
      <c r="A6" s="649"/>
      <c r="B6" s="15"/>
      <c r="C6" s="15"/>
      <c r="D6" s="17" t="s">
        <v>4</v>
      </c>
      <c r="E6" s="16"/>
      <c r="F6" s="16"/>
      <c r="G6" s="15" t="s">
        <v>4</v>
      </c>
      <c r="H6" s="16"/>
      <c r="I6" s="16"/>
      <c r="J6" s="15" t="s">
        <v>4</v>
      </c>
    </row>
    <row r="7" spans="1:10" s="43" customFormat="1" ht="15.75" customHeight="1" x14ac:dyDescent="0.2">
      <c r="A7" s="14" t="s">
        <v>23</v>
      </c>
      <c r="B7" s="232">
        <f>'Danica Pensjonsforsikring'!B7+'DNB Livsforsikring'!B7+'Eika Forsikring AS'!B7+'Frende Livsforsikring'!B7+'Frende Skadeforsikring'!B7+'Gjensidige Forsikring'!B7+'Gjensidige Pensjon'!B7+'Handelsbanken Liv'!B7+'If Skadeforsikring NUF'!B7+KLP!B7+'KLP Bedriftspensjon AS'!B7+'KLP Skadeforsikring AS'!B7+'Landkreditt Forsikring'!B7+'NEMI Forsikring'!B7+'Nordea Liv '!B7+'Oslo Pensjonsforsikring'!B7+'Protector Forsikring'!B7+'SHB Liv'!B7+'Sparebank 1'!B7+'Storebrand Livsforsikring'!B7+'Telenor Forsikring'!B7+'Tryg Forsikring'!B7</f>
        <v>1545264.721506322</v>
      </c>
      <c r="C7" s="232">
        <f>'Danica Pensjonsforsikring'!C7+'DNB Livsforsikring'!C7+'Eika Forsikring AS'!C7+'Frende Livsforsikring'!C7+'Frende Skadeforsikring'!C7+'Gjensidige Forsikring'!C7+'Gjensidige Pensjon'!C7+'Handelsbanken Liv'!C7+'If Skadeforsikring NUF'!C7+KLP!C7+'KLP Bedriftspensjon AS'!C7+'KLP Skadeforsikring AS'!C7+'Landkreditt Forsikring'!C7+'NEMI Forsikring'!C7+'Nordea Liv '!C7+'Oslo Pensjonsforsikring'!C7+'Protector Forsikring'!C7+'SHB Liv'!C7+'Sparebank 1'!C7+'Storebrand Livsforsikring'!C7+'Telenor Forsikring'!C7+'Tryg Forsikring'!C7</f>
        <v>1597772.8419394668</v>
      </c>
      <c r="D7" s="160">
        <f t="shared" ref="D7:D12" si="0">IF(B7=0, "    ---- ", IF(ABS(ROUND(100/B7*C7-100,1))&lt;999,ROUND(100/B7*C7-100,1),IF(ROUND(100/B7*C7-100,1)&gt;999,999,-999)))</f>
        <v>3.4</v>
      </c>
      <c r="E7" s="232">
        <f>'Danica Pensjonsforsikring'!F7+'DNB Livsforsikring'!F7+'Eika Forsikring AS'!F7+'Frende Livsforsikring'!F7+'Frende Skadeforsikring'!F7+'Gjensidige Forsikring'!F7+'Gjensidige Pensjon'!F7+'Handelsbanken Liv'!F7+'If Skadeforsikring NUF'!F7+KLP!F7+'KLP Bedriftspensjon AS'!F7+'KLP Skadeforsikring AS'!F7+'Landkreditt Forsikring'!F7+'NEMI Forsikring'!F7+'Nordea Liv '!F7+'Oslo Pensjonsforsikring'!F7+'Protector Forsikring'!F7+'SHB Liv'!F7+'Sparebank 1'!F7+'Storebrand Livsforsikring'!F7+'Telenor Forsikring'!F7+'Tryg Forsikring'!F7</f>
        <v>2036900.6120499999</v>
      </c>
      <c r="F7" s="232">
        <f>'Danica Pensjonsforsikring'!G7+'DNB Livsforsikring'!G7+'Eika Forsikring AS'!G7+'Frende Livsforsikring'!G7+'Frende Skadeforsikring'!G7+'Gjensidige Forsikring'!G7+'Gjensidige Pensjon'!G7+'Handelsbanken Liv'!G7+'If Skadeforsikring NUF'!G7+KLP!G7+'KLP Bedriftspensjon AS'!G7+'KLP Skadeforsikring AS'!G7+'Landkreditt Forsikring'!G7+'NEMI Forsikring'!G7+'Nordea Liv '!G7+'Oslo Pensjonsforsikring'!G7+'Protector Forsikring'!G7+'SHB Liv'!G7+'Sparebank 1'!G7+'Storebrand Livsforsikring'!G7+'Telenor Forsikring'!G7+'Tryg Forsikring'!G7</f>
        <v>2690409.6018500002</v>
      </c>
      <c r="G7" s="160">
        <f t="shared" ref="G7:G12" si="1">IF(E7=0, "    ---- ", IF(ABS(ROUND(100/E7*F7-100,1))&lt;999,ROUND(100/E7*F7-100,1),IF(ROUND(100/E7*F7-100,1)&gt;999,999,-999)))</f>
        <v>32.1</v>
      </c>
      <c r="H7" s="273">
        <f t="shared" ref="H7:H12" si="2">B7+E7</f>
        <v>3582165.3335563219</v>
      </c>
      <c r="I7" s="274">
        <f t="shared" ref="I7:I12" si="3">C7+F7</f>
        <v>4288182.4437894672</v>
      </c>
      <c r="J7" s="171">
        <f t="shared" ref="J7:J12" si="4">IF(H7=0, "    ---- ", IF(ABS(ROUND(100/H7*I7-100,1))&lt;999,ROUND(100/H7*I7-100,1),IF(ROUND(100/H7*I7-100,1)&gt;999,999,-999)))</f>
        <v>19.7</v>
      </c>
    </row>
    <row r="8" spans="1:10" ht="15.75" customHeight="1" x14ac:dyDescent="0.2">
      <c r="A8" s="21" t="s">
        <v>25</v>
      </c>
      <c r="B8" s="44">
        <f>'Danica Pensjonsforsikring'!B8+'DNB Livsforsikring'!B8+'Eika Forsikring AS'!B8+'Frende Livsforsikring'!B8+'Frende Skadeforsikring'!B8+'Gjensidige Forsikring'!B8+'Gjensidige Pensjon'!B8+'Handelsbanken Liv'!B8+'If Skadeforsikring NUF'!B8+KLP!B8+'KLP Bedriftspensjon AS'!B8+'KLP Skadeforsikring AS'!B8+'Landkreditt Forsikring'!B8+'NEMI Forsikring'!B8+'Nordea Liv '!B8+'Oslo Pensjonsforsikring'!B8+'Protector Forsikring'!B8+'SHB Liv'!B8+'Sparebank 1'!B8+'Storebrand Livsforsikring'!B8+'Telenor Forsikring'!B8+'Tryg Forsikring'!B8</f>
        <v>1024696.2129570295</v>
      </c>
      <c r="C8" s="44">
        <f>'Danica Pensjonsforsikring'!C8+'DNB Livsforsikring'!C8+'Eika Forsikring AS'!C8+'Frende Livsforsikring'!C8+'Frende Skadeforsikring'!C8+'Gjensidige Forsikring'!C8+'Gjensidige Pensjon'!C8+'Handelsbanken Liv'!C8+'If Skadeforsikring NUF'!C8+KLP!C8+'KLP Bedriftspensjon AS'!C8+'KLP Skadeforsikring AS'!C8+'Landkreditt Forsikring'!C8+'NEMI Forsikring'!C8+'Nordea Liv '!C8+'Oslo Pensjonsforsikring'!C8+'Protector Forsikring'!C8+'SHB Liv'!C8+'Sparebank 1'!C8+'Storebrand Livsforsikring'!C8+'Telenor Forsikring'!C8+'Tryg Forsikring'!C8</f>
        <v>983805.20152011036</v>
      </c>
      <c r="D8" s="166">
        <f t="shared" si="0"/>
        <v>-4</v>
      </c>
      <c r="E8" s="184">
        <f>'Danica Pensjonsforsikring'!F8+'DNB Livsforsikring'!F8+'Eika Forsikring AS'!F8+'Frende Livsforsikring'!F8+'Frende Skadeforsikring'!F8+'Gjensidige Forsikring'!F8+'Gjensidige Pensjon'!F8+'Handelsbanken Liv'!F8+'If Skadeforsikring NUF'!F8+KLP!F8+'KLP Bedriftspensjon AS'!F8+'KLP Skadeforsikring AS'!F8+'Landkreditt Forsikring'!F8+'NEMI Forsikring'!F8+'Nordea Liv '!F8+'Oslo Pensjonsforsikring'!F8+'Protector Forsikring'!F8+'SHB Liv'!F8+'Sparebank 1'!F8+'Storebrand Livsforsikring'!F8+'Telenor Forsikring'!F8+'Tryg Forsikring'!F8</f>
        <v>0</v>
      </c>
      <c r="F8" s="184">
        <f>'Danica Pensjonsforsikring'!G8+'DNB Livsforsikring'!G8+'Eika Forsikring AS'!G8+'Frende Livsforsikring'!G8+'Frende Skadeforsikring'!G8+'Gjensidige Forsikring'!G8+'Gjensidige Pensjon'!G8+'Handelsbanken Liv'!G8+'If Skadeforsikring NUF'!G8+KLP!G8+'KLP Bedriftspensjon AS'!G8+'KLP Skadeforsikring AS'!G8+'Landkreditt Forsikring'!G8+'NEMI Forsikring'!G8+'Nordea Liv '!G8+'Oslo Pensjonsforsikring'!G8+'Protector Forsikring'!G8+'SHB Liv'!G8+'Sparebank 1'!G8+'Storebrand Livsforsikring'!G8+'Telenor Forsikring'!G8+'Tryg Forsikring'!G8</f>
        <v>0</v>
      </c>
      <c r="G8" s="175"/>
      <c r="H8" s="186">
        <f t="shared" si="2"/>
        <v>1024696.2129570295</v>
      </c>
      <c r="I8" s="187">
        <f t="shared" si="3"/>
        <v>983805.20152011036</v>
      </c>
      <c r="J8" s="171">
        <f t="shared" si="4"/>
        <v>-4</v>
      </c>
    </row>
    <row r="9" spans="1:10" ht="15.75" customHeight="1" x14ac:dyDescent="0.2">
      <c r="A9" s="21" t="s">
        <v>24</v>
      </c>
      <c r="B9" s="44">
        <f>'Danica Pensjonsforsikring'!B9+'DNB Livsforsikring'!B9+'Eika Forsikring AS'!B9+'Frende Livsforsikring'!B9+'Frende Skadeforsikring'!B9+'Gjensidige Forsikring'!B9+'Gjensidige Pensjon'!B9+'Handelsbanken Liv'!B9+'If Skadeforsikring NUF'!B9+KLP!B9+'KLP Bedriftspensjon AS'!B9+'KLP Skadeforsikring AS'!B9+'Landkreditt Forsikring'!B9+'NEMI Forsikring'!B9+'Nordea Liv '!B9+'Oslo Pensjonsforsikring'!B9+'Protector Forsikring'!B9+'SHB Liv'!B9+'Sparebank 1'!B9+'Storebrand Livsforsikring'!B9+'Telenor Forsikring'!B9+'Tryg Forsikring'!B9</f>
        <v>412551.86148271273</v>
      </c>
      <c r="C9" s="44">
        <f>'Danica Pensjonsforsikring'!C9+'DNB Livsforsikring'!C9+'Eika Forsikring AS'!C9+'Frende Livsforsikring'!C9+'Frende Skadeforsikring'!C9+'Gjensidige Forsikring'!C9+'Gjensidige Pensjon'!C9+'Handelsbanken Liv'!C9+'If Skadeforsikring NUF'!C9+KLP!C9+'KLP Bedriftspensjon AS'!C9+'KLP Skadeforsikring AS'!C9+'Landkreditt Forsikring'!C9+'NEMI Forsikring'!C9+'Nordea Liv '!C9+'Oslo Pensjonsforsikring'!C9+'Protector Forsikring'!C9+'SHB Liv'!C9+'Sparebank 1'!C9+'Storebrand Livsforsikring'!C9+'Telenor Forsikring'!C9+'Tryg Forsikring'!C9</f>
        <v>368152.23084575322</v>
      </c>
      <c r="D9" s="175">
        <f t="shared" si="0"/>
        <v>-10.8</v>
      </c>
      <c r="E9" s="184">
        <f>'Danica Pensjonsforsikring'!F9+'DNB Livsforsikring'!F9+'Eika Forsikring AS'!F9+'Frende Livsforsikring'!F9+'Frende Skadeforsikring'!F9+'Gjensidige Forsikring'!F9+'Gjensidige Pensjon'!F9+'Handelsbanken Liv'!F9+'If Skadeforsikring NUF'!F9+KLP!F9+'KLP Bedriftspensjon AS'!F9+'KLP Skadeforsikring AS'!F9+'Landkreditt Forsikring'!F9+'NEMI Forsikring'!F9+'Nordea Liv '!F9+'Oslo Pensjonsforsikring'!F9+'Protector Forsikring'!F9+'SHB Liv'!F9+'Sparebank 1'!F9+'Storebrand Livsforsikring'!F9+'Telenor Forsikring'!F9+'Tryg Forsikring'!F9</f>
        <v>0</v>
      </c>
      <c r="F9" s="184">
        <f>'Danica Pensjonsforsikring'!G9+'DNB Livsforsikring'!G9+'Eika Forsikring AS'!G9+'Frende Livsforsikring'!G9+'Frende Skadeforsikring'!G9+'Gjensidige Forsikring'!G9+'Gjensidige Pensjon'!G9+'Handelsbanken Liv'!G9+'If Skadeforsikring NUF'!G9+KLP!G9+'KLP Bedriftspensjon AS'!G9+'KLP Skadeforsikring AS'!G9+'Landkreditt Forsikring'!G9+'NEMI Forsikring'!G9+'Nordea Liv '!G9+'Oslo Pensjonsforsikring'!G9+'Protector Forsikring'!G9+'SHB Liv'!G9+'Sparebank 1'!G9+'Storebrand Livsforsikring'!G9+'Telenor Forsikring'!G9+'Tryg Forsikring'!G9</f>
        <v>0</v>
      </c>
      <c r="G9" s="175"/>
      <c r="H9" s="186">
        <f t="shared" si="2"/>
        <v>412551.86148271273</v>
      </c>
      <c r="I9" s="187">
        <f t="shared" si="3"/>
        <v>368152.23084575322</v>
      </c>
      <c r="J9" s="171">
        <f t="shared" si="4"/>
        <v>-10.8</v>
      </c>
    </row>
    <row r="10" spans="1:10" s="43" customFormat="1" ht="15.75" customHeight="1" x14ac:dyDescent="0.2">
      <c r="A10" s="39" t="s">
        <v>371</v>
      </c>
      <c r="B10" s="232">
        <f>'Danica Pensjonsforsikring'!B10+'DNB Livsforsikring'!B10+'Eika Forsikring AS'!B10+'Frende Livsforsikring'!B10+'Frende Skadeforsikring'!B10+'Gjensidige Forsikring'!B10+'Gjensidige Pensjon'!B10+'Handelsbanken Liv'!B10+'If Skadeforsikring NUF'!B10+KLP!B10+'KLP Bedriftspensjon AS'!B10+'KLP Skadeforsikring AS'!B10+'Landkreditt Forsikring'!B10+'NEMI Forsikring'!B10+'Nordea Liv '!B10+'Oslo Pensjonsforsikring'!B10+'Protector Forsikring'!B10+'SHB Liv'!B10+'Sparebank 1'!B10+'Storebrand Livsforsikring'!B10+'Telenor Forsikring'!B10+'Tryg Forsikring'!B10</f>
        <v>21661481.751078147</v>
      </c>
      <c r="C10" s="232">
        <f>'Danica Pensjonsforsikring'!C10+'DNB Livsforsikring'!C10+'Eika Forsikring AS'!C10+'Frende Livsforsikring'!C10+'Frende Skadeforsikring'!C10+'Gjensidige Forsikring'!C10+'Gjensidige Pensjon'!C10+'Handelsbanken Liv'!C10+'If Skadeforsikring NUF'!C10+KLP!C10+'KLP Bedriftspensjon AS'!C10+'KLP Skadeforsikring AS'!C10+'Landkreditt Forsikring'!C10+'NEMI Forsikring'!C10+'Nordea Liv '!C10+'Oslo Pensjonsforsikring'!C10+'Protector Forsikring'!C10+'SHB Liv'!C10+'Sparebank 1'!C10+'Storebrand Livsforsikring'!C10+'Telenor Forsikring'!C10+'Tryg Forsikring'!C10</f>
        <v>20244209.887745671</v>
      </c>
      <c r="D10" s="160">
        <f t="shared" si="0"/>
        <v>-6.5</v>
      </c>
      <c r="E10" s="232">
        <f>'Danica Pensjonsforsikring'!F10+'DNB Livsforsikring'!F10+'Eika Forsikring AS'!F10+'Frende Livsforsikring'!F10+'Frende Skadeforsikring'!F10+'Gjensidige Forsikring'!F10+'Gjensidige Pensjon'!F10+'Handelsbanken Liv'!F10+'If Skadeforsikring NUF'!F10+KLP!F10+'KLP Bedriftspensjon AS'!F10+'KLP Skadeforsikring AS'!F10+'Landkreditt Forsikring'!F10+'NEMI Forsikring'!F10+'Nordea Liv '!F10+'Oslo Pensjonsforsikring'!F10+'Protector Forsikring'!F10+'SHB Liv'!F10+'Sparebank 1'!F10+'Storebrand Livsforsikring'!F10+'Telenor Forsikring'!F10+'Tryg Forsikring'!F10</f>
        <v>41674442.834689103</v>
      </c>
      <c r="F10" s="232">
        <f>'Danica Pensjonsforsikring'!G10+'DNB Livsforsikring'!G10+'Eika Forsikring AS'!G10+'Frende Livsforsikring'!G10+'Frende Skadeforsikring'!G10+'Gjensidige Forsikring'!G10+'Gjensidige Pensjon'!G10+'Handelsbanken Liv'!G10+'If Skadeforsikring NUF'!G10+KLP!G10+'KLP Bedriftspensjon AS'!G10+'KLP Skadeforsikring AS'!G10+'Landkreditt Forsikring'!G10+'NEMI Forsikring'!G10+'Nordea Liv '!G10+'Oslo Pensjonsforsikring'!G10+'Protector Forsikring'!G10+'SHB Liv'!G10+'Sparebank 1'!G10+'Storebrand Livsforsikring'!G10+'Telenor Forsikring'!G10+'Tryg Forsikring'!G10</f>
        <v>44815409.115429401</v>
      </c>
      <c r="G10" s="160">
        <f t="shared" si="1"/>
        <v>7.5</v>
      </c>
      <c r="H10" s="273">
        <f t="shared" si="2"/>
        <v>63335924.585767254</v>
      </c>
      <c r="I10" s="274">
        <f t="shared" si="3"/>
        <v>65059619.003175072</v>
      </c>
      <c r="J10" s="171">
        <f t="shared" si="4"/>
        <v>2.7</v>
      </c>
    </row>
    <row r="11" spans="1:10" s="43" customFormat="1" ht="15.75" customHeight="1" x14ac:dyDescent="0.2">
      <c r="A11" s="39" t="s">
        <v>372</v>
      </c>
      <c r="B11" s="232">
        <f>'Danica Pensjonsforsikring'!B11+'DNB Livsforsikring'!B11+'Eika Forsikring AS'!B11+'Frende Livsforsikring'!B11+'Frende Skadeforsikring'!B11+'Gjensidige Forsikring'!B11+'Gjensidige Pensjon'!B11+'Handelsbanken Liv'!B11+'If Skadeforsikring NUF'!B11+KLP!B11+'KLP Bedriftspensjon AS'!B11+'KLP Skadeforsikring AS'!B11+'Landkreditt Forsikring'!B11+'NEMI Forsikring'!B11+'Nordea Liv '!B11+'Oslo Pensjonsforsikring'!B11+'Protector Forsikring'!B11+'SHB Liv'!B11+'Sparebank 1'!B11+'Storebrand Livsforsikring'!B11+'Telenor Forsikring'!B11+'Tryg Forsikring'!B11</f>
        <v>2968</v>
      </c>
      <c r="C11" s="232">
        <f>'Danica Pensjonsforsikring'!C11+'DNB Livsforsikring'!C11+'Eika Forsikring AS'!C11+'Frende Livsforsikring'!C11+'Frende Skadeforsikring'!C11+'Gjensidige Forsikring'!C11+'Gjensidige Pensjon'!C11+'Handelsbanken Liv'!C11+'If Skadeforsikring NUF'!C11+KLP!C11+'KLP Bedriftspensjon AS'!C11+'KLP Skadeforsikring AS'!C11+'Landkreditt Forsikring'!C11+'NEMI Forsikring'!C11+'Nordea Liv '!C11+'Oslo Pensjonsforsikring'!C11+'Protector Forsikring'!C11+'SHB Liv'!C11+'Sparebank 1'!C11+'Storebrand Livsforsikring'!C11+'Telenor Forsikring'!C11+'Tryg Forsikring'!C11</f>
        <v>5332</v>
      </c>
      <c r="D11" s="171">
        <f t="shared" si="0"/>
        <v>79.599999999999994</v>
      </c>
      <c r="E11" s="232">
        <f>'Danica Pensjonsforsikring'!F11+'DNB Livsforsikring'!F11+'Eika Forsikring AS'!F11+'Frende Livsforsikring'!F11+'Frende Skadeforsikring'!F11+'Gjensidige Forsikring'!F11+'Gjensidige Pensjon'!F11+'Handelsbanken Liv'!F11+'If Skadeforsikring NUF'!F11+KLP!F11+'KLP Bedriftspensjon AS'!F11+'KLP Skadeforsikring AS'!F11+'Landkreditt Forsikring'!F11+'NEMI Forsikring'!F11+'Nordea Liv '!F11+'Oslo Pensjonsforsikring'!F11+'Protector Forsikring'!F11+'SHB Liv'!F11+'Sparebank 1'!F11+'Storebrand Livsforsikring'!F11+'Telenor Forsikring'!F11+'Tryg Forsikring'!F11</f>
        <v>52468.167150000001</v>
      </c>
      <c r="F11" s="232">
        <f>'Danica Pensjonsforsikring'!G11+'DNB Livsforsikring'!G11+'Eika Forsikring AS'!G11+'Frende Livsforsikring'!G11+'Frende Skadeforsikring'!G11+'Gjensidige Forsikring'!G11+'Gjensidige Pensjon'!G11+'Handelsbanken Liv'!G11+'If Skadeforsikring NUF'!G11+KLP!G11+'KLP Bedriftspensjon AS'!G11+'KLP Skadeforsikring AS'!G11+'Landkreditt Forsikring'!G11+'NEMI Forsikring'!G11+'Nordea Liv '!G11+'Oslo Pensjonsforsikring'!G11+'Protector Forsikring'!G11+'SHB Liv'!G11+'Sparebank 1'!G11+'Storebrand Livsforsikring'!G11+'Telenor Forsikring'!G11+'Tryg Forsikring'!G11</f>
        <v>92838.963300000003</v>
      </c>
      <c r="G11" s="171">
        <f t="shared" si="1"/>
        <v>76.900000000000006</v>
      </c>
      <c r="H11" s="273">
        <f t="shared" si="2"/>
        <v>55436.167150000001</v>
      </c>
      <c r="I11" s="274">
        <f t="shared" si="3"/>
        <v>98170.963300000003</v>
      </c>
      <c r="J11" s="171">
        <f t="shared" si="4"/>
        <v>77.099999999999994</v>
      </c>
    </row>
    <row r="12" spans="1:10" s="43" customFormat="1" ht="15.75" customHeight="1" x14ac:dyDescent="0.2">
      <c r="A12" s="547" t="s">
        <v>373</v>
      </c>
      <c r="B12" s="272">
        <f>'Danica Pensjonsforsikring'!B12+'DNB Livsforsikring'!B12+'Eika Forsikring AS'!B12+'Frende Livsforsikring'!B12+'Frende Skadeforsikring'!B12+'Gjensidige Forsikring'!B12+'Gjensidige Pensjon'!B12+'Handelsbanken Liv'!B12+'If Skadeforsikring NUF'!B12+KLP!B12+'KLP Bedriftspensjon AS'!B12+'KLP Skadeforsikring AS'!B12+'Landkreditt Forsikring'!B12+'NEMI Forsikring'!B12+'Nordea Liv '!B12+'Oslo Pensjonsforsikring'!B12+'Protector Forsikring'!B12+'SHB Liv'!B12+'Sparebank 1'!B12+'Storebrand Livsforsikring'!B12+'Telenor Forsikring'!B12+'Tryg Forsikring'!B12</f>
        <v>-21</v>
      </c>
      <c r="C12" s="272">
        <f>'Danica Pensjonsforsikring'!C12+'DNB Livsforsikring'!C12+'Eika Forsikring AS'!C12+'Frende Livsforsikring'!C12+'Frende Skadeforsikring'!C12+'Gjensidige Forsikring'!C12+'Gjensidige Pensjon'!C12+'Handelsbanken Liv'!C12+'If Skadeforsikring NUF'!C12+KLP!C12+'KLP Bedriftspensjon AS'!C12+'KLP Skadeforsikring AS'!C12+'Landkreditt Forsikring'!C12+'NEMI Forsikring'!C12+'Nordea Liv '!C12+'Oslo Pensjonsforsikring'!C12+'Protector Forsikring'!C12+'SHB Liv'!C12+'Sparebank 1'!C12+'Storebrand Livsforsikring'!C12+'Telenor Forsikring'!C12+'Tryg Forsikring'!C12</f>
        <v>2053</v>
      </c>
      <c r="D12" s="170">
        <f t="shared" si="0"/>
        <v>-999</v>
      </c>
      <c r="E12" s="272">
        <f>'Danica Pensjonsforsikring'!F12+'DNB Livsforsikring'!F12+'Eika Forsikring AS'!F12+'Frende Livsforsikring'!F12+'Frende Skadeforsikring'!F12+'Gjensidige Forsikring'!F12+'Gjensidige Pensjon'!F12+'Handelsbanken Liv'!F12+'If Skadeforsikring NUF'!F12+KLP!F12+'KLP Bedriftspensjon AS'!F12+'KLP Skadeforsikring AS'!F12+'Landkreditt Forsikring'!F12+'NEMI Forsikring'!F12+'Nordea Liv '!F12+'Oslo Pensjonsforsikring'!F12+'Protector Forsikring'!F12+'SHB Liv'!F12+'Sparebank 1'!F12+'Storebrand Livsforsikring'!F12+'Telenor Forsikring'!F12+'Tryg Forsikring'!F12</f>
        <v>61220.261790000004</v>
      </c>
      <c r="F12" s="272">
        <f>'Danica Pensjonsforsikring'!G12+'DNB Livsforsikring'!G12+'Eika Forsikring AS'!G12+'Frende Livsforsikring'!G12+'Frende Skadeforsikring'!G12+'Gjensidige Forsikring'!G12+'Gjensidige Pensjon'!G12+'Handelsbanken Liv'!G12+'If Skadeforsikring NUF'!G12+KLP!G12+'KLP Bedriftspensjon AS'!G12+'KLP Skadeforsikring AS'!G12+'Landkreditt Forsikring'!G12+'NEMI Forsikring'!G12+'Nordea Liv '!G12+'Oslo Pensjonsforsikring'!G12+'Protector Forsikring'!G12+'SHB Liv'!G12+'Sparebank 1'!G12+'Storebrand Livsforsikring'!G12+'Telenor Forsikring'!G12+'Tryg Forsikring'!G12</f>
        <v>41806.845820000002</v>
      </c>
      <c r="G12" s="169">
        <f t="shared" si="1"/>
        <v>-31.7</v>
      </c>
      <c r="H12" s="275">
        <f t="shared" si="2"/>
        <v>61199.261790000004</v>
      </c>
      <c r="I12" s="276">
        <f t="shared" si="3"/>
        <v>43859.845820000002</v>
      </c>
      <c r="J12" s="169">
        <f t="shared" si="4"/>
        <v>-28.3</v>
      </c>
    </row>
    <row r="13" spans="1:10" s="43" customFormat="1" ht="15.75" customHeight="1" x14ac:dyDescent="0.2">
      <c r="A13" s="168"/>
      <c r="B13" s="35"/>
      <c r="C13" s="5"/>
      <c r="D13" s="32"/>
      <c r="E13" s="35"/>
      <c r="F13" s="5"/>
      <c r="G13" s="32"/>
      <c r="H13" s="48"/>
      <c r="I13" s="48"/>
      <c r="J13" s="32"/>
    </row>
    <row r="14" spans="1:10" ht="15.75" customHeight="1" x14ac:dyDescent="0.2">
      <c r="A14" s="153" t="s">
        <v>281</v>
      </c>
    </row>
    <row r="15" spans="1:10" ht="15.75" customHeight="1" x14ac:dyDescent="0.2">
      <c r="A15" s="149"/>
      <c r="E15" s="7"/>
      <c r="F15" s="7"/>
      <c r="G15" s="7"/>
      <c r="H15" s="7"/>
      <c r="I15" s="7"/>
      <c r="J15" s="7"/>
    </row>
    <row r="16" spans="1:10" s="3" customFormat="1" ht="15.75" customHeight="1" x14ac:dyDescent="0.25">
      <c r="A16" s="164"/>
      <c r="C16" s="30"/>
      <c r="D16" s="30"/>
      <c r="E16" s="30"/>
      <c r="F16" s="30"/>
      <c r="G16" s="30"/>
      <c r="H16" s="30"/>
      <c r="I16" s="30"/>
      <c r="J16" s="30"/>
    </row>
    <row r="17" spans="1:11" ht="15.75" customHeight="1" x14ac:dyDescent="0.25">
      <c r="A17" s="147" t="s">
        <v>278</v>
      </c>
      <c r="B17" s="28"/>
      <c r="C17" s="28"/>
      <c r="D17" s="29"/>
      <c r="E17" s="28"/>
      <c r="F17" s="28"/>
      <c r="G17" s="28"/>
      <c r="H17" s="28"/>
      <c r="I17" s="28"/>
      <c r="J17" s="28"/>
    </row>
    <row r="18" spans="1:11" ht="15.75" customHeight="1" x14ac:dyDescent="0.25">
      <c r="A18" s="149"/>
      <c r="B18" s="677"/>
      <c r="C18" s="677"/>
      <c r="D18" s="677"/>
      <c r="E18" s="677"/>
      <c r="F18" s="677"/>
      <c r="G18" s="677"/>
      <c r="H18" s="677"/>
      <c r="I18" s="677"/>
      <c r="J18" s="677"/>
    </row>
    <row r="19" spans="1:11" ht="15.75" customHeight="1" x14ac:dyDescent="0.2">
      <c r="A19" s="144"/>
      <c r="B19" s="678" t="s">
        <v>0</v>
      </c>
      <c r="C19" s="679"/>
      <c r="D19" s="679"/>
      <c r="E19" s="678" t="s">
        <v>1</v>
      </c>
      <c r="F19" s="679"/>
      <c r="G19" s="680"/>
      <c r="H19" s="679" t="s">
        <v>2</v>
      </c>
      <c r="I19" s="679"/>
      <c r="J19" s="680"/>
    </row>
    <row r="20" spans="1:11" ht="15.75" customHeight="1" x14ac:dyDescent="0.2">
      <c r="A20" s="140" t="s">
        <v>5</v>
      </c>
      <c r="B20" s="20" t="s">
        <v>416</v>
      </c>
      <c r="C20" s="20" t="s">
        <v>417</v>
      </c>
      <c r="D20" s="245" t="s">
        <v>3</v>
      </c>
      <c r="E20" s="20" t="s">
        <v>416</v>
      </c>
      <c r="F20" s="20" t="s">
        <v>417</v>
      </c>
      <c r="G20" s="245" t="s">
        <v>3</v>
      </c>
      <c r="H20" s="20" t="s">
        <v>416</v>
      </c>
      <c r="I20" s="20" t="s">
        <v>417</v>
      </c>
      <c r="J20" s="245" t="s">
        <v>3</v>
      </c>
    </row>
    <row r="21" spans="1:11" ht="15.75" customHeight="1" x14ac:dyDescent="0.2">
      <c r="A21" s="650"/>
      <c r="B21" s="15"/>
      <c r="C21" s="15"/>
      <c r="D21" s="17" t="s">
        <v>4</v>
      </c>
      <c r="E21" s="16"/>
      <c r="F21" s="16"/>
      <c r="G21" s="15" t="s">
        <v>4</v>
      </c>
      <c r="H21" s="16"/>
      <c r="I21" s="16"/>
      <c r="J21" s="15" t="s">
        <v>4</v>
      </c>
    </row>
    <row r="22" spans="1:11" s="43" customFormat="1" ht="15.75" customHeight="1" x14ac:dyDescent="0.2">
      <c r="A22" s="14" t="s">
        <v>23</v>
      </c>
      <c r="B22" s="232">
        <f>'Danica Pensjonsforsikring'!B22+'DNB Livsforsikring'!B22+'Eika Forsikring AS'!B22+'Frende Livsforsikring'!B22+'Frende Skadeforsikring'!B22+'Gjensidige Forsikring'!B22+'Gjensidige Pensjon'!B22+'Handelsbanken Liv'!B22+'If Skadeforsikring NUF'!B22+KLP!B22+'KLP Bedriftspensjon AS'!B22+'KLP Skadeforsikring AS'!B22+'Landkreditt Forsikring'!B22+'NEMI Forsikring'!B22+'Nordea Liv '!B22+'Oslo Pensjonsforsikring'!B22+'Protector Forsikring'!B22+'SHB Liv'!B22+'Sparebank 1'!B22+'Storebrand Livsforsikring'!B22+'Telenor Forsikring'!B22+'Tryg Forsikring'!B22</f>
        <v>551078.99162307382</v>
      </c>
      <c r="C22" s="232">
        <f>'Danica Pensjonsforsikring'!C22+'DNB Livsforsikring'!C22+'Eika Forsikring AS'!C22+'Frende Livsforsikring'!C22+'Frende Skadeforsikring'!C22+'Gjensidige Forsikring'!C22+'Gjensidige Pensjon'!C22+'Handelsbanken Liv'!C22+'If Skadeforsikring NUF'!C22+KLP!C22+'KLP Bedriftspensjon AS'!C22+'KLP Skadeforsikring AS'!C22+'Landkreditt Forsikring'!C22+'NEMI Forsikring'!C22+'Nordea Liv '!C22+'Oslo Pensjonsforsikring'!C22+'Protector Forsikring'!C22+'SHB Liv'!C22+'Sparebank 1'!C22+'Storebrand Livsforsikring'!C22+'Telenor Forsikring'!C22+'Tryg Forsikring'!C22</f>
        <v>689346.93827549648</v>
      </c>
      <c r="D22" s="11">
        <f t="shared" ref="D22:D38" si="5">IF(B22=0, "    ---- ", IF(ABS(ROUND(100/B22*C22-100,1))&lt;999,ROUND(100/B22*C22-100,1),IF(ROUND(100/B22*C22-100,1)&gt;999,999,-999)))</f>
        <v>25.1</v>
      </c>
      <c r="E22" s="232">
        <f>'Danica Pensjonsforsikring'!F22+'DNB Livsforsikring'!F22+'Eika Forsikring AS'!F22+'Frende Livsforsikring'!F22+'Frende Skadeforsikring'!F22+'Gjensidige Forsikring'!F22+'Gjensidige Pensjon'!F22+'Handelsbanken Liv'!F22+'If Skadeforsikring NUF'!F22+KLP!F22+'KLP Bedriftspensjon AS'!F22+'KLP Skadeforsikring AS'!F22+'Landkreditt Forsikring'!F22+'NEMI Forsikring'!F22+'Nordea Liv '!F22+'Oslo Pensjonsforsikring'!F22+'Protector Forsikring'!F22+'SHB Liv'!F22+'Sparebank 1'!F22+'Storebrand Livsforsikring'!F22+'Telenor Forsikring'!F22+'Tryg Forsikring'!F22</f>
        <v>294957.45139</v>
      </c>
      <c r="F22" s="232">
        <f>'Danica Pensjonsforsikring'!G22+'DNB Livsforsikring'!G22+'Eika Forsikring AS'!G22+'Frende Livsforsikring'!G22+'Frende Skadeforsikring'!G22+'Gjensidige Forsikring'!G22+'Gjensidige Pensjon'!G22+'Handelsbanken Liv'!G22+'If Skadeforsikring NUF'!G22+KLP!G22+'KLP Bedriftspensjon AS'!G22+'KLP Skadeforsikring AS'!G22+'Landkreditt Forsikring'!G22+'NEMI Forsikring'!G22+'Nordea Liv '!G22+'Oslo Pensjonsforsikring'!G22+'Protector Forsikring'!G22+'SHB Liv'!G22+'Sparebank 1'!G22+'Storebrand Livsforsikring'!G22+'Telenor Forsikring'!G22+'Tryg Forsikring'!G22</f>
        <v>309187.42986999999</v>
      </c>
      <c r="G22" s="342">
        <f t="shared" ref="G22:G35" si="6">IF(E22=0, "    ---- ", IF(ABS(ROUND(100/E22*F22-100,1))&lt;999,ROUND(100/E22*F22-100,1),IF(ROUND(100/E22*F22-100,1)&gt;999,999,-999)))</f>
        <v>4.8</v>
      </c>
      <c r="H22" s="300">
        <f>SUM(B22,E22)</f>
        <v>846036.44301307388</v>
      </c>
      <c r="I22" s="232">
        <f t="shared" ref="I22:I39" si="7">SUM(C22,F22)</f>
        <v>998534.36814549647</v>
      </c>
      <c r="J22" s="24">
        <f t="shared" ref="J22:J38" si="8">IF(H22=0, "    ---- ", IF(ABS(ROUND(100/H22*I22-100,1))&lt;999,ROUND(100/H22*I22-100,1),IF(ROUND(100/H22*I22-100,1)&gt;999,999,-999)))</f>
        <v>18</v>
      </c>
    </row>
    <row r="23" spans="1:11" ht="15.75" customHeight="1" x14ac:dyDescent="0.2">
      <c r="A23" s="548" t="s">
        <v>374</v>
      </c>
      <c r="B23" s="44">
        <f>'Danica Pensjonsforsikring'!B23+'DNB Livsforsikring'!B23+'Eika Forsikring AS'!B23+'Frende Livsforsikring'!B23+'Frende Skadeforsikring'!B23+'Gjensidige Forsikring'!B23+'Gjensidige Pensjon'!B23+'Handelsbanken Liv'!B23+'If Skadeforsikring NUF'!B23+KLP!B23+'KLP Bedriftspensjon AS'!B23+'KLP Skadeforsikring AS'!B23+'Landkreditt Forsikring'!B23+'NEMI Forsikring'!B23+'Nordea Liv '!B23+'Oslo Pensjonsforsikring'!B23+'Protector Forsikring'!B23+'SHB Liv'!B23+'Sparebank 1'!B23+'Storebrand Livsforsikring'!B23+'Telenor Forsikring'!B23+'Tryg Forsikring'!B23</f>
        <v>284072.33856307401</v>
      </c>
      <c r="C23" s="44">
        <f>'Danica Pensjonsforsikring'!C23+'DNB Livsforsikring'!C23+'Eika Forsikring AS'!C23+'Frende Livsforsikring'!C23+'Frende Skadeforsikring'!C23+'Gjensidige Forsikring'!C23+'Gjensidige Pensjon'!C23+'Handelsbanken Liv'!C23+'If Skadeforsikring NUF'!C23+KLP!C23+'KLP Bedriftspensjon AS'!C23+'KLP Skadeforsikring AS'!C23+'Landkreditt Forsikring'!C23+'NEMI Forsikring'!C23+'Nordea Liv '!C23+'Oslo Pensjonsforsikring'!C23+'Protector Forsikring'!C23+'SHB Liv'!C23+'Sparebank 1'!C23+'Storebrand Livsforsikring'!C23+'Telenor Forsikring'!C23+'Tryg Forsikring'!C23</f>
        <v>525829.49111944146</v>
      </c>
      <c r="D23" s="27">
        <f>IF($A$1=4,IF(B23=0, "    ---- ", IF(ABS(ROUND(100/B23*C23-100,1))&lt;999,ROUND(100/B23*C23-100,1),IF(ROUND(100/B23*C23-100,1)&gt;999,999,-999))),"")</f>
        <v>85.1</v>
      </c>
      <c r="E23" s="44">
        <f>'Danica Pensjonsforsikring'!F23+'DNB Livsforsikring'!F23+'Eika Forsikring AS'!F23+'Frende Livsforsikring'!F23+'Frende Skadeforsikring'!F23+'Gjensidige Forsikring'!F23+'Gjensidige Pensjon'!F23+'Handelsbanken Liv'!F23+'If Skadeforsikring NUF'!F23+KLP!F23+'KLP Bedriftspensjon AS'!F23+'KLP Skadeforsikring AS'!F23+'Landkreditt Forsikring'!F23+'NEMI Forsikring'!F23+'Nordea Liv '!F23+'Oslo Pensjonsforsikring'!F23+'Protector Forsikring'!F23+'SHB Liv'!F23+'Sparebank 1'!F23+'Storebrand Livsforsikring'!F23+'Telenor Forsikring'!F23+'Tryg Forsikring'!F23</f>
        <v>51428.82299330541</v>
      </c>
      <c r="F23" s="44">
        <f>'Danica Pensjonsforsikring'!G23+'DNB Livsforsikring'!G23+'Eika Forsikring AS'!G23+'Frende Livsforsikring'!G23+'Frende Skadeforsikring'!G23+'Gjensidige Forsikring'!G23+'Gjensidige Pensjon'!G23+'Handelsbanken Liv'!G23+'If Skadeforsikring NUF'!G23+KLP!G23+'KLP Bedriftspensjon AS'!G23+'KLP Skadeforsikring AS'!G23+'Landkreditt Forsikring'!G23+'NEMI Forsikring'!G23+'Nordea Liv '!G23+'Oslo Pensjonsforsikring'!G23+'Protector Forsikring'!G23+'SHB Liv'!G23+'Sparebank 1'!G23+'Storebrand Livsforsikring'!G23+'Telenor Forsikring'!G23+'Tryg Forsikring'!G23</f>
        <v>30458.922050000001</v>
      </c>
      <c r="G23" s="166">
        <f>IF($A$1=4,IF(E23=0, "    ---- ", IF(ABS(ROUND(100/E23*F23-100,1))&lt;999,ROUND(100/E23*F23-100,1),IF(ROUND(100/E23*F23-100,1)&gt;999,999,-999))),"")</f>
        <v>-40.799999999999997</v>
      </c>
      <c r="H23" s="230">
        <f t="shared" ref="H23:H39" si="9">SUM(B23,E23)</f>
        <v>335501.1615563794</v>
      </c>
      <c r="I23" s="44">
        <f t="shared" si="7"/>
        <v>556288.41316944151</v>
      </c>
      <c r="J23" s="23">
        <f t="shared" si="8"/>
        <v>65.8</v>
      </c>
    </row>
    <row r="24" spans="1:11" ht="15.75" customHeight="1" x14ac:dyDescent="0.2">
      <c r="A24" s="548" t="s">
        <v>375</v>
      </c>
      <c r="B24" s="44">
        <f>'Danica Pensjonsforsikring'!B24+'DNB Livsforsikring'!B24+'Eika Forsikring AS'!B24+'Frende Livsforsikring'!B24+'Frende Skadeforsikring'!B24+'Gjensidige Forsikring'!B24+'Gjensidige Pensjon'!B24+'Handelsbanken Liv'!B24+'If Skadeforsikring NUF'!B24+KLP!B24+'KLP Bedriftspensjon AS'!B24+'KLP Skadeforsikring AS'!B24+'Landkreditt Forsikring'!B24+'NEMI Forsikring'!B24+'Nordea Liv '!B24+'Oslo Pensjonsforsikring'!B24+'Protector Forsikring'!B24+'SHB Liv'!B24+'Sparebank 1'!B24+'Storebrand Livsforsikring'!B24+'Telenor Forsikring'!B24+'Tryg Forsikring'!B24</f>
        <v>2778.4179999999997</v>
      </c>
      <c r="C24" s="44">
        <f>'Danica Pensjonsforsikring'!C24+'DNB Livsforsikring'!C24+'Eika Forsikring AS'!C24+'Frende Livsforsikring'!C24+'Frende Skadeforsikring'!C24+'Gjensidige Forsikring'!C24+'Gjensidige Pensjon'!C24+'Handelsbanken Liv'!C24+'If Skadeforsikring NUF'!C24+KLP!C24+'KLP Bedriftspensjon AS'!C24+'KLP Skadeforsikring AS'!C24+'Landkreditt Forsikring'!C24+'NEMI Forsikring'!C24+'Nordea Liv '!C24+'Oslo Pensjonsforsikring'!C24+'Protector Forsikring'!C24+'SHB Liv'!C24+'Sparebank 1'!C24+'Storebrand Livsforsikring'!C24+'Telenor Forsikring'!C24+'Tryg Forsikring'!C24</f>
        <v>9949.0881560547696</v>
      </c>
      <c r="D24" s="27">
        <f t="shared" ref="D24:D25" si="10">IF($A$1=4,IF(B24=0, "    ---- ", IF(ABS(ROUND(100/B24*C24-100,1))&lt;999,ROUND(100/B24*C24-100,1),IF(ROUND(100/B24*C24-100,1)&gt;999,999,-999))),"")</f>
        <v>258.10000000000002</v>
      </c>
      <c r="E24" s="44">
        <f>'Danica Pensjonsforsikring'!F24+'DNB Livsforsikring'!F24+'Eika Forsikring AS'!F24+'Frende Livsforsikring'!F24+'Frende Skadeforsikring'!F24+'Gjensidige Forsikring'!F24+'Gjensidige Pensjon'!F24+'Handelsbanken Liv'!F24+'If Skadeforsikring NUF'!F24+KLP!F24+'KLP Bedriftspensjon AS'!F24+'KLP Skadeforsikring AS'!F24+'Landkreditt Forsikring'!F24+'NEMI Forsikring'!F24+'Nordea Liv '!F24+'Oslo Pensjonsforsikring'!F24+'Protector Forsikring'!F24+'SHB Liv'!F24+'Sparebank 1'!F24+'Storebrand Livsforsikring'!F24+'Telenor Forsikring'!F24+'Tryg Forsikring'!F24</f>
        <v>10203.538634155319</v>
      </c>
      <c r="F24" s="44">
        <f>'Danica Pensjonsforsikring'!G24+'DNB Livsforsikring'!G24+'Eika Forsikring AS'!G24+'Frende Livsforsikring'!G24+'Frende Skadeforsikring'!G24+'Gjensidige Forsikring'!G24+'Gjensidige Pensjon'!G24+'Handelsbanken Liv'!G24+'If Skadeforsikring NUF'!G24+KLP!G24+'KLP Bedriftspensjon AS'!G24+'KLP Skadeforsikring AS'!G24+'Landkreditt Forsikring'!G24+'NEMI Forsikring'!G24+'Nordea Liv '!G24+'Oslo Pensjonsforsikring'!G24+'Protector Forsikring'!G24+'SHB Liv'!G24+'Sparebank 1'!G24+'Storebrand Livsforsikring'!G24+'Telenor Forsikring'!G24+'Tryg Forsikring'!G24</f>
        <v>34.999999999999986</v>
      </c>
      <c r="G24" s="166">
        <f t="shared" ref="G24:G25" si="11">IF($A$1=4,IF(E24=0, "    ---- ", IF(ABS(ROUND(100/E24*F24-100,1))&lt;999,ROUND(100/E24*F24-100,1),IF(ROUND(100/E24*F24-100,1)&gt;999,999,-999))),"")</f>
        <v>-99.7</v>
      </c>
      <c r="H24" s="230">
        <f t="shared" si="9"/>
        <v>12981.956634155318</v>
      </c>
      <c r="I24" s="44">
        <f t="shared" si="7"/>
        <v>9984.0881560547696</v>
      </c>
      <c r="J24" s="11">
        <f t="shared" si="8"/>
        <v>-23.1</v>
      </c>
    </row>
    <row r="25" spans="1:11" ht="15.75" customHeight="1" x14ac:dyDescent="0.2">
      <c r="A25" s="548" t="s">
        <v>376</v>
      </c>
      <c r="B25" s="44">
        <f>'Danica Pensjonsforsikring'!B25+'DNB Livsforsikring'!B25+'Eika Forsikring AS'!B25+'Frende Livsforsikring'!B25+'Frende Skadeforsikring'!B25+'Gjensidige Forsikring'!B25+'Gjensidige Pensjon'!B25+'Handelsbanken Liv'!B25+'If Skadeforsikring NUF'!B25+KLP!B25+'KLP Bedriftspensjon AS'!B25+'KLP Skadeforsikring AS'!B25+'Landkreditt Forsikring'!B25+'NEMI Forsikring'!B25+'Nordea Liv '!B25+'Oslo Pensjonsforsikring'!B25+'Protector Forsikring'!B25+'SHB Liv'!B25+'Sparebank 1'!B25+'Storebrand Livsforsikring'!B25+'Telenor Forsikring'!B25+'Tryg Forsikring'!B25</f>
        <v>5143.25</v>
      </c>
      <c r="C25" s="44">
        <f>'Danica Pensjonsforsikring'!C25+'DNB Livsforsikring'!C25+'Eika Forsikring AS'!C25+'Frende Livsforsikring'!C25+'Frende Skadeforsikring'!C25+'Gjensidige Forsikring'!C25+'Gjensidige Pensjon'!C25+'Handelsbanken Liv'!C25+'If Skadeforsikring NUF'!C25+KLP!C25+'KLP Bedriftspensjon AS'!C25+'KLP Skadeforsikring AS'!C25+'Landkreditt Forsikring'!C25+'NEMI Forsikring'!C25+'Nordea Liv '!C25+'Oslo Pensjonsforsikring'!C25+'Protector Forsikring'!C25+'SHB Liv'!C25+'Sparebank 1'!C25+'Storebrand Livsforsikring'!C25+'Telenor Forsikring'!C25+'Tryg Forsikring'!C25</f>
        <v>11515</v>
      </c>
      <c r="D25" s="27">
        <f t="shared" si="10"/>
        <v>123.9</v>
      </c>
      <c r="E25" s="44">
        <f>'Danica Pensjonsforsikring'!F25+'DNB Livsforsikring'!F25+'Eika Forsikring AS'!F25+'Frende Livsforsikring'!F25+'Frende Skadeforsikring'!F25+'Gjensidige Forsikring'!F25+'Gjensidige Pensjon'!F25+'Handelsbanken Liv'!F25+'If Skadeforsikring NUF'!F25+KLP!F25+'KLP Bedriftspensjon AS'!F25+'KLP Skadeforsikring AS'!F25+'Landkreditt Forsikring'!F25+'NEMI Forsikring'!F25+'Nordea Liv '!F25+'Oslo Pensjonsforsikring'!F25+'Protector Forsikring'!F25+'SHB Liv'!F25+'Sparebank 1'!F25+'Storebrand Livsforsikring'!F25+'Telenor Forsikring'!F25+'Tryg Forsikring'!F25</f>
        <v>28235.83150253928</v>
      </c>
      <c r="F25" s="44">
        <f>'Danica Pensjonsforsikring'!G25+'DNB Livsforsikring'!G25+'Eika Forsikring AS'!G25+'Frende Livsforsikring'!G25+'Frende Skadeforsikring'!G25+'Gjensidige Forsikring'!G25+'Gjensidige Pensjon'!G25+'Handelsbanken Liv'!G25+'If Skadeforsikring NUF'!G25+KLP!G25+'KLP Bedriftspensjon AS'!G25+'KLP Skadeforsikring AS'!G25+'Landkreditt Forsikring'!G25+'NEMI Forsikring'!G25+'Nordea Liv '!G25+'Oslo Pensjonsforsikring'!G25+'Protector Forsikring'!G25+'SHB Liv'!G25+'Sparebank 1'!G25+'Storebrand Livsforsikring'!G25+'Telenor Forsikring'!G25+'Tryg Forsikring'!G25</f>
        <v>6529.3964299999998</v>
      </c>
      <c r="G25" s="166">
        <f t="shared" si="11"/>
        <v>-76.900000000000006</v>
      </c>
      <c r="H25" s="230">
        <f t="shared" si="9"/>
        <v>33379.08150253928</v>
      </c>
      <c r="I25" s="44">
        <f t="shared" si="7"/>
        <v>18044.396430000001</v>
      </c>
      <c r="J25" s="27">
        <f t="shared" si="8"/>
        <v>-45.9</v>
      </c>
    </row>
    <row r="26" spans="1:11" ht="15.75" customHeight="1" x14ac:dyDescent="0.2">
      <c r="A26" s="548" t="s">
        <v>377</v>
      </c>
      <c r="B26" s="44">
        <f>'Danica Pensjonsforsikring'!B26+'DNB Livsforsikring'!B26+'Eika Forsikring AS'!B26+'Frende Livsforsikring'!B26+'Frende Skadeforsikring'!B26+'Gjensidige Forsikring'!B26+'Gjensidige Pensjon'!B26+'Handelsbanken Liv'!B26+'If Skadeforsikring NUF'!B26+KLP!B26+'KLP Bedriftspensjon AS'!B26+'KLP Skadeforsikring AS'!B26+'Landkreditt Forsikring'!B26+'NEMI Forsikring'!B26+'Nordea Liv '!B26+'Oslo Pensjonsforsikring'!B26+'Protector Forsikring'!B26+'SHB Liv'!B26+'Sparebank 1'!B26+'Storebrand Livsforsikring'!B26+'Telenor Forsikring'!B26+'Tryg Forsikring'!B26</f>
        <v>0</v>
      </c>
      <c r="C26" s="44">
        <f>'Danica Pensjonsforsikring'!C26+'DNB Livsforsikring'!C26+'Eika Forsikring AS'!C26+'Frende Livsforsikring'!C26+'Frende Skadeforsikring'!C26+'Gjensidige Forsikring'!C26+'Gjensidige Pensjon'!C26+'Handelsbanken Liv'!C26+'If Skadeforsikring NUF'!C26+KLP!C26+'KLP Bedriftspensjon AS'!C26+'KLP Skadeforsikring AS'!C26+'Landkreditt Forsikring'!C26+'NEMI Forsikring'!C26+'Nordea Liv '!C26+'Oslo Pensjonsforsikring'!C26+'Protector Forsikring'!C26+'SHB Liv'!C26+'Sparebank 1'!C26+'Storebrand Livsforsikring'!C26+'Telenor Forsikring'!C26+'Tryg Forsikring'!C26</f>
        <v>0</v>
      </c>
      <c r="D26" s="27"/>
      <c r="E26" s="44">
        <f>'Danica Pensjonsforsikring'!F26+'DNB Livsforsikring'!F26+'Eika Forsikring AS'!F26+'Frende Livsforsikring'!F26+'Frende Skadeforsikring'!F26+'Gjensidige Forsikring'!F26+'Gjensidige Pensjon'!F26+'Handelsbanken Liv'!F26+'If Skadeforsikring NUF'!F26+KLP!F26+'KLP Bedriftspensjon AS'!F26+'KLP Skadeforsikring AS'!F26+'Landkreditt Forsikring'!F26+'NEMI Forsikring'!F26+'Nordea Liv '!F26+'Oslo Pensjonsforsikring'!F26+'Protector Forsikring'!F26+'SHB Liv'!F26+'Sparebank 1'!F26+'Storebrand Livsforsikring'!F26+'Telenor Forsikring'!F26+'Tryg Forsikring'!F26</f>
        <v>205089.25825999997</v>
      </c>
      <c r="F26" s="44">
        <f>'Danica Pensjonsforsikring'!G26+'DNB Livsforsikring'!G26+'Eika Forsikring AS'!G26+'Frende Livsforsikring'!G26+'Frende Skadeforsikring'!G26+'Gjensidige Forsikring'!G26+'Gjensidige Pensjon'!G26+'Handelsbanken Liv'!G26+'If Skadeforsikring NUF'!G26+KLP!G26+'KLP Bedriftspensjon AS'!G26+'KLP Skadeforsikring AS'!G26+'Landkreditt Forsikring'!G26+'NEMI Forsikring'!G26+'Nordea Liv '!G26+'Oslo Pensjonsforsikring'!G26+'Protector Forsikring'!G26+'SHB Liv'!G26+'Sparebank 1'!G26+'Storebrand Livsforsikring'!G26+'Telenor Forsikring'!G26+'Tryg Forsikring'!G26</f>
        <v>272164.87738999998</v>
      </c>
      <c r="G26" s="166">
        <f t="shared" ref="G26" si="12">IF($A$1=4,IF(E26=0, "    ---- ", IF(ABS(ROUND(100/E26*F26-100,1))&lt;999,ROUND(100/E26*F26-100,1),IF(ROUND(100/E26*F26-100,1)&gt;999,999,-999))),"")</f>
        <v>32.700000000000003</v>
      </c>
      <c r="H26" s="230">
        <f t="shared" ref="H26" si="13">SUM(B26,E26)</f>
        <v>205089.25825999997</v>
      </c>
      <c r="I26" s="44">
        <f t="shared" ref="I26" si="14">SUM(C26,F26)</f>
        <v>272164.87738999998</v>
      </c>
      <c r="J26" s="27">
        <f t="shared" ref="J26" si="15">IF(H26=0, "    ---- ", IF(ABS(ROUND(100/H26*I26-100,1))&lt;999,ROUND(100/H26*I26-100,1),IF(ROUND(100/H26*I26-100,1)&gt;999,999,-999)))</f>
        <v>32.700000000000003</v>
      </c>
    </row>
    <row r="27" spans="1:11" ht="15.75" customHeight="1" x14ac:dyDescent="0.2">
      <c r="A27" s="546" t="s">
        <v>11</v>
      </c>
      <c r="B27" s="44">
        <f>'Danica Pensjonsforsikring'!B27+'DNB Livsforsikring'!B27+'Eika Forsikring AS'!B27+'Frende Livsforsikring'!B27+'Frende Skadeforsikring'!B27+'Gjensidige Forsikring'!B27+'Gjensidige Pensjon'!B27+'Handelsbanken Liv'!B27+'If Skadeforsikring NUF'!B27+KLP!B27+'KLP Bedriftspensjon AS'!B27+'KLP Skadeforsikring AS'!B27+'Landkreditt Forsikring'!B27+'NEMI Forsikring'!B27+'Nordea Liv '!B27+'Oslo Pensjonsforsikring'!B27+'Protector Forsikring'!B27+'SHB Liv'!B27+'Sparebank 1'!B27+'Storebrand Livsforsikring'!B27+'Telenor Forsikring'!B27+'Tryg Forsikring'!B27</f>
        <v>0</v>
      </c>
      <c r="C27" s="44">
        <f>'Danica Pensjonsforsikring'!C27+'DNB Livsforsikring'!C27+'Eika Forsikring AS'!C27+'Frende Livsforsikring'!C27+'Frende Skadeforsikring'!C27+'Gjensidige Forsikring'!C27+'Gjensidige Pensjon'!C27+'Handelsbanken Liv'!C27+'If Skadeforsikring NUF'!C27+KLP!C27+'KLP Bedriftspensjon AS'!C27+'KLP Skadeforsikring AS'!C27+'Landkreditt Forsikring'!C27+'NEMI Forsikring'!C27+'Nordea Liv '!C27+'Oslo Pensjonsforsikring'!C27+'Protector Forsikring'!C27+'SHB Liv'!C27+'Sparebank 1'!C27+'Storebrand Livsforsikring'!C27+'Telenor Forsikring'!C27+'Tryg Forsikring'!C27</f>
        <v>0</v>
      </c>
      <c r="D27" s="27"/>
      <c r="E27" s="44">
        <f>'Danica Pensjonsforsikring'!F27+'DNB Livsforsikring'!F27+'Eika Forsikring AS'!F27+'Frende Livsforsikring'!F27+'Frende Skadeforsikring'!F27+'Gjensidige Forsikring'!F27+'Gjensidige Pensjon'!F27+'Handelsbanken Liv'!F27+'If Skadeforsikring NUF'!F27+KLP!F27+'KLP Bedriftspensjon AS'!F27+'KLP Skadeforsikring AS'!F27+'Landkreditt Forsikring'!F27+'NEMI Forsikring'!F27+'Nordea Liv '!F27+'Oslo Pensjonsforsikring'!F27+'Protector Forsikring'!F27+'SHB Liv'!F27+'Sparebank 1'!F27+'Storebrand Livsforsikring'!F27+'Telenor Forsikring'!F27+'Tryg Forsikring'!F27</f>
        <v>0</v>
      </c>
      <c r="F27" s="44">
        <f>'Danica Pensjonsforsikring'!G27+'DNB Livsforsikring'!G27+'Eika Forsikring AS'!G27+'Frende Livsforsikring'!G27+'Frende Skadeforsikring'!G27+'Gjensidige Forsikring'!G27+'Gjensidige Pensjon'!G27+'Handelsbanken Liv'!G27+'If Skadeforsikring NUF'!G27+KLP!G27+'KLP Bedriftspensjon AS'!G27+'KLP Skadeforsikring AS'!G27+'Landkreditt Forsikring'!G27+'NEMI Forsikring'!G27+'Nordea Liv '!G27+'Oslo Pensjonsforsikring'!G27+'Protector Forsikring'!G27+'SHB Liv'!G27+'Sparebank 1'!G27+'Storebrand Livsforsikring'!G27+'Telenor Forsikring'!G27+'Tryg Forsikring'!G27</f>
        <v>0</v>
      </c>
      <c r="G27" s="166"/>
      <c r="H27" s="230">
        <f t="shared" si="9"/>
        <v>0</v>
      </c>
      <c r="I27" s="44">
        <f t="shared" si="7"/>
        <v>0</v>
      </c>
      <c r="J27" s="27"/>
    </row>
    <row r="28" spans="1:11" ht="15.75" customHeight="1" x14ac:dyDescent="0.2">
      <c r="A28" s="49" t="s">
        <v>282</v>
      </c>
      <c r="B28" s="44">
        <f>'Danica Pensjonsforsikring'!B28+'DNB Livsforsikring'!B28+'Eika Forsikring AS'!B28+'Frende Livsforsikring'!B28+'Frende Skadeforsikring'!B28+'Gjensidige Forsikring'!B28+'Gjensidige Pensjon'!B28+'Handelsbanken Liv'!B28+'If Skadeforsikring NUF'!B28+KLP!B28+'KLP Bedriftspensjon AS'!B28+'KLP Skadeforsikring AS'!B28+'Landkreditt Forsikring'!B28+'NEMI Forsikring'!B28+'Nordea Liv '!B28+'Oslo Pensjonsforsikring'!B28+'Protector Forsikring'!B28+'SHB Liv'!B28+'Sparebank 1'!B28+'Storebrand Livsforsikring'!B28+'Telenor Forsikring'!B28+'Tryg Forsikring'!B28</f>
        <v>753755.1158766991</v>
      </c>
      <c r="C28" s="44">
        <f>'Danica Pensjonsforsikring'!C28+'DNB Livsforsikring'!C28+'Eika Forsikring AS'!C28+'Frende Livsforsikring'!C28+'Frende Skadeforsikring'!C28+'Gjensidige Forsikring'!C28+'Gjensidige Pensjon'!C28+'Handelsbanken Liv'!C28+'If Skadeforsikring NUF'!C28+KLP!C28+'KLP Bedriftspensjon AS'!C28+'KLP Skadeforsikring AS'!C28+'Landkreditt Forsikring'!C28+'NEMI Forsikring'!C28+'Nordea Liv '!C28+'Oslo Pensjonsforsikring'!C28+'Protector Forsikring'!C28+'SHB Liv'!C28+'Sparebank 1'!C28+'Storebrand Livsforsikring'!C28+'Telenor Forsikring'!C28+'Tryg Forsikring'!C28</f>
        <v>645198.67032838089</v>
      </c>
      <c r="D28" s="23">
        <f t="shared" si="5"/>
        <v>-14.4</v>
      </c>
      <c r="E28" s="184">
        <f>'Danica Pensjonsforsikring'!F28+'DNB Livsforsikring'!F28+'Eika Forsikring AS'!F28+'Frende Livsforsikring'!F28+'Frende Skadeforsikring'!F28+'Gjensidige Forsikring'!F28+'Gjensidige Pensjon'!F28+'Handelsbanken Liv'!F28+'If Skadeforsikring NUF'!F28+KLP!F28+'KLP Bedriftspensjon AS'!F28+'KLP Skadeforsikring AS'!F28+'Landkreditt Forsikring'!F28+'NEMI Forsikring'!F28+'Nordea Liv '!F28+'Oslo Pensjonsforsikring'!F28+'Protector Forsikring'!F28+'SHB Liv'!F28+'Sparebank 1'!F28+'Storebrand Livsforsikring'!F28+'Telenor Forsikring'!F28+'Tryg Forsikring'!F28</f>
        <v>0</v>
      </c>
      <c r="F28" s="184">
        <f>'Danica Pensjonsforsikring'!G28+'DNB Livsforsikring'!G28+'Eika Forsikring AS'!G28+'Frende Livsforsikring'!G28+'Frende Skadeforsikring'!G28+'Gjensidige Forsikring'!G28+'Gjensidige Pensjon'!G28+'Handelsbanken Liv'!G28+'If Skadeforsikring NUF'!G28+KLP!G28+'KLP Bedriftspensjon AS'!G28+'KLP Skadeforsikring AS'!G28+'Landkreditt Forsikring'!G28+'NEMI Forsikring'!G28+'Nordea Liv '!G28+'Oslo Pensjonsforsikring'!G28+'Protector Forsikring'!G28+'SHB Liv'!G28+'Sparebank 1'!G28+'Storebrand Livsforsikring'!G28+'Telenor Forsikring'!G28+'Tryg Forsikring'!G28</f>
        <v>0</v>
      </c>
      <c r="G28" s="166"/>
      <c r="H28" s="230">
        <f t="shared" si="9"/>
        <v>753755.1158766991</v>
      </c>
      <c r="I28" s="44">
        <f t="shared" si="7"/>
        <v>645198.67032838089</v>
      </c>
      <c r="J28" s="23">
        <f t="shared" si="8"/>
        <v>-14.4</v>
      </c>
      <c r="K28" s="3"/>
    </row>
    <row r="29" spans="1:11" s="361" customFormat="1" ht="15.75" customHeight="1" x14ac:dyDescent="0.2">
      <c r="A29" s="39" t="s">
        <v>378</v>
      </c>
      <c r="B29" s="232">
        <f>'Danica Pensjonsforsikring'!B29+'DNB Livsforsikring'!B29+'Eika Forsikring AS'!B29+'Frende Livsforsikring'!B29+'Frende Skadeforsikring'!B29+'Gjensidige Forsikring'!B29+'Gjensidige Pensjon'!B29+'Handelsbanken Liv'!B29+'If Skadeforsikring NUF'!B29+KLP!B29+'KLP Bedriftspensjon AS'!B29+'KLP Skadeforsikring AS'!B29+'Landkreditt Forsikring'!B29+'NEMI Forsikring'!B29+'Nordea Liv '!B29+'Oslo Pensjonsforsikring'!B29+'Protector Forsikring'!B29+'SHB Liv'!B29+'Sparebank 1'!B29+'Storebrand Livsforsikring'!B29+'Telenor Forsikring'!B29+'Tryg Forsikring'!B29</f>
        <v>49582856.630989999</v>
      </c>
      <c r="C29" s="232">
        <f>'Danica Pensjonsforsikring'!C29+'DNB Livsforsikring'!C29+'Eika Forsikring AS'!C29+'Frende Livsforsikring'!C29+'Frende Skadeforsikring'!C29+'Gjensidige Forsikring'!C29+'Gjensidige Pensjon'!C29+'Handelsbanken Liv'!C29+'If Skadeforsikring NUF'!C29+KLP!C29+'KLP Bedriftspensjon AS'!C29+'KLP Skadeforsikring AS'!C29+'Landkreditt Forsikring'!C29+'NEMI Forsikring'!C29+'Nordea Liv '!C29+'Oslo Pensjonsforsikring'!C29+'Protector Forsikring'!C29+'SHB Liv'!C29+'Sparebank 1'!C29+'Storebrand Livsforsikring'!C29+'Telenor Forsikring'!C29+'Tryg Forsikring'!C29</f>
        <v>47925076.957120001</v>
      </c>
      <c r="D29" s="24">
        <f t="shared" si="5"/>
        <v>-3.3</v>
      </c>
      <c r="E29" s="300">
        <f>'Danica Pensjonsforsikring'!F29+'DNB Livsforsikring'!F29+'Eika Forsikring AS'!F29+'Frende Livsforsikring'!F29+'Frende Skadeforsikring'!F29+'Gjensidige Forsikring'!F29+'Gjensidige Pensjon'!F29+'Handelsbanken Liv'!F29+'If Skadeforsikring NUF'!F29+KLP!F29+'KLP Bedriftspensjon AS'!F29+'KLP Skadeforsikring AS'!F29+'Landkreditt Forsikring'!F29+'NEMI Forsikring'!F29+'Nordea Liv '!F29+'Oslo Pensjonsforsikring'!F29+'Protector Forsikring'!F29+'SHB Liv'!F29+'Sparebank 1'!F29+'Storebrand Livsforsikring'!F29+'Telenor Forsikring'!F29+'Tryg Forsikring'!F29</f>
        <v>19998255.59527</v>
      </c>
      <c r="F29" s="300">
        <f>'Danica Pensjonsforsikring'!G29+'DNB Livsforsikring'!G29+'Eika Forsikring AS'!G29+'Frende Livsforsikring'!G29+'Frende Skadeforsikring'!G29+'Gjensidige Forsikring'!G29+'Gjensidige Pensjon'!G29+'Handelsbanken Liv'!G29+'If Skadeforsikring NUF'!G29+KLP!G29+'KLP Bedriftspensjon AS'!G29+'KLP Skadeforsikring AS'!G29+'Landkreditt Forsikring'!G29+'NEMI Forsikring'!G29+'Nordea Liv '!G29+'Oslo Pensjonsforsikring'!G29+'Protector Forsikring'!G29+'SHB Liv'!G29+'Sparebank 1'!G29+'Storebrand Livsforsikring'!G29+'Telenor Forsikring'!G29+'Tryg Forsikring'!G29</f>
        <v>20307031.191550002</v>
      </c>
      <c r="G29" s="171">
        <f t="shared" si="6"/>
        <v>1.5</v>
      </c>
      <c r="H29" s="300">
        <f t="shared" si="9"/>
        <v>69581112.226260006</v>
      </c>
      <c r="I29" s="232">
        <f t="shared" si="7"/>
        <v>68232108.148670003</v>
      </c>
      <c r="J29" s="24">
        <f t="shared" si="8"/>
        <v>-1.9</v>
      </c>
    </row>
    <row r="30" spans="1:11" s="3" customFormat="1" ht="15.75" customHeight="1" x14ac:dyDescent="0.2">
      <c r="A30" s="548" t="s">
        <v>374</v>
      </c>
      <c r="B30" s="44">
        <f>'Danica Pensjonsforsikring'!B30+'DNB Livsforsikring'!B30+'Eika Forsikring AS'!B30+'Frende Livsforsikring'!B30+'Frende Skadeforsikring'!B30+'Gjensidige Forsikring'!B30+'Gjensidige Pensjon'!B30+'Handelsbanken Liv'!B30+'If Skadeforsikring NUF'!B30+KLP!B30+'KLP Bedriftspensjon AS'!B30+'KLP Skadeforsikring AS'!B30+'Landkreditt Forsikring'!B30+'NEMI Forsikring'!B30+'Nordea Liv '!B30+'Oslo Pensjonsforsikring'!B30+'Protector Forsikring'!B30+'SHB Liv'!B30+'Sparebank 1'!B30+'Storebrand Livsforsikring'!B30+'Telenor Forsikring'!B30+'Tryg Forsikring'!B30</f>
        <v>11279943.470621586</v>
      </c>
      <c r="C30" s="44">
        <f>'Danica Pensjonsforsikring'!C30+'DNB Livsforsikring'!C30+'Eika Forsikring AS'!C30+'Frende Livsforsikring'!C30+'Frende Skadeforsikring'!C30+'Gjensidige Forsikring'!C30+'Gjensidige Pensjon'!C30+'Handelsbanken Liv'!C30+'If Skadeforsikring NUF'!C30+KLP!C30+'KLP Bedriftspensjon AS'!C30+'KLP Skadeforsikring AS'!C30+'Landkreditt Forsikring'!C30+'NEMI Forsikring'!C30+'Nordea Liv '!C30+'Oslo Pensjonsforsikring'!C30+'Protector Forsikring'!C30+'SHB Liv'!C30+'Sparebank 1'!C30+'Storebrand Livsforsikring'!C30+'Telenor Forsikring'!C30+'Tryg Forsikring'!C30</f>
        <v>11515035.530062269</v>
      </c>
      <c r="D30" s="27">
        <f t="shared" ref="D30:D32" si="16">IF($A$1=4,IF(B30=0, "    ---- ", IF(ABS(ROUND(100/B30*C30-100,1))&lt;999,ROUND(100/B30*C30-100,1),IF(ROUND(100/B30*C30-100,1)&gt;999,999,-999))),"")</f>
        <v>2.1</v>
      </c>
      <c r="E30" s="44">
        <f>'Danica Pensjonsforsikring'!F30+'DNB Livsforsikring'!F30+'Eika Forsikring AS'!F30+'Frende Livsforsikring'!F30+'Frende Skadeforsikring'!F30+'Gjensidige Forsikring'!F30+'Gjensidige Pensjon'!F30+'Handelsbanken Liv'!F30+'If Skadeforsikring NUF'!F30+KLP!F30+'KLP Bedriftspensjon AS'!F30+'KLP Skadeforsikring AS'!F30+'Landkreditt Forsikring'!F30+'NEMI Forsikring'!F30+'Nordea Liv '!F30+'Oslo Pensjonsforsikring'!F30+'Protector Forsikring'!F30+'SHB Liv'!F30+'Sparebank 1'!F30+'Storebrand Livsforsikring'!F30+'Telenor Forsikring'!F30+'Tryg Forsikring'!F30</f>
        <v>4287356.2402860997</v>
      </c>
      <c r="F30" s="44">
        <f>'Danica Pensjonsforsikring'!G30+'DNB Livsforsikring'!G30+'Eika Forsikring AS'!G30+'Frende Livsforsikring'!G30+'Frende Skadeforsikring'!G30+'Gjensidige Forsikring'!G30+'Gjensidige Pensjon'!G30+'Handelsbanken Liv'!G30+'If Skadeforsikring NUF'!G30+KLP!G30+'KLP Bedriftspensjon AS'!G30+'KLP Skadeforsikring AS'!G30+'Landkreditt Forsikring'!G30+'NEMI Forsikring'!G30+'Nordea Liv '!G30+'Oslo Pensjonsforsikring'!G30+'Protector Forsikring'!G30+'SHB Liv'!G30+'Sparebank 1'!G30+'Storebrand Livsforsikring'!G30+'Telenor Forsikring'!G30+'Tryg Forsikring'!G30</f>
        <v>4203550.63748</v>
      </c>
      <c r="G30" s="166">
        <f t="shared" ref="G30:G32" si="17">IF($A$1=4,IF(E30=0, "    ---- ", IF(ABS(ROUND(100/E30*F30-100,1))&lt;999,ROUND(100/E30*F30-100,1),IF(ROUND(100/E30*F30-100,1)&gt;999,999,-999))),"")</f>
        <v>-2</v>
      </c>
      <c r="H30" s="230">
        <f t="shared" si="9"/>
        <v>15567299.710907687</v>
      </c>
      <c r="I30" s="44">
        <f t="shared" si="7"/>
        <v>15718586.167542269</v>
      </c>
      <c r="J30" s="23">
        <f t="shared" si="8"/>
        <v>1</v>
      </c>
    </row>
    <row r="31" spans="1:11" s="3" customFormat="1" ht="15.75" customHeight="1" x14ac:dyDescent="0.2">
      <c r="A31" s="548" t="s">
        <v>375</v>
      </c>
      <c r="B31" s="44">
        <f>'Danica Pensjonsforsikring'!B31+'DNB Livsforsikring'!B31+'Eika Forsikring AS'!B31+'Frende Livsforsikring'!B31+'Frende Skadeforsikring'!B31+'Gjensidige Forsikring'!B31+'Gjensidige Pensjon'!B31+'Handelsbanken Liv'!B31+'If Skadeforsikring NUF'!B31+KLP!B31+'KLP Bedriftspensjon AS'!B31+'KLP Skadeforsikring AS'!B31+'Landkreditt Forsikring'!B31+'NEMI Forsikring'!B31+'Nordea Liv '!B31+'Oslo Pensjonsforsikring'!B31+'Protector Forsikring'!B31+'SHB Liv'!B31+'Sparebank 1'!B31+'Storebrand Livsforsikring'!B31+'Telenor Forsikring'!B31+'Tryg Forsikring'!B31</f>
        <v>34888098.303518489</v>
      </c>
      <c r="C31" s="44">
        <f>'Danica Pensjonsforsikring'!C31+'DNB Livsforsikring'!C31+'Eika Forsikring AS'!C31+'Frende Livsforsikring'!C31+'Frende Skadeforsikring'!C31+'Gjensidige Forsikring'!C31+'Gjensidige Pensjon'!C31+'Handelsbanken Liv'!C31+'If Skadeforsikring NUF'!C31+KLP!C31+'KLP Bedriftspensjon AS'!C31+'KLP Skadeforsikring AS'!C31+'Landkreditt Forsikring'!C31+'NEMI Forsikring'!C31+'Nordea Liv '!C31+'Oslo Pensjonsforsikring'!C31+'Protector Forsikring'!C31+'SHB Liv'!C31+'Sparebank 1'!C31+'Storebrand Livsforsikring'!C31+'Telenor Forsikring'!C31+'Tryg Forsikring'!C31</f>
        <v>33271029.771057729</v>
      </c>
      <c r="D31" s="27">
        <f t="shared" si="16"/>
        <v>-4.5999999999999996</v>
      </c>
      <c r="E31" s="44">
        <f>'Danica Pensjonsforsikring'!F31+'DNB Livsforsikring'!F31+'Eika Forsikring AS'!F31+'Frende Livsforsikring'!F31+'Frende Skadeforsikring'!F31+'Gjensidige Forsikring'!F31+'Gjensidige Pensjon'!F31+'Handelsbanken Liv'!F31+'If Skadeforsikring NUF'!F31+KLP!F31+'KLP Bedriftspensjon AS'!F31+'KLP Skadeforsikring AS'!F31+'Landkreditt Forsikring'!F31+'NEMI Forsikring'!F31+'Nordea Liv '!F31+'Oslo Pensjonsforsikring'!F31+'Protector Forsikring'!F31+'SHB Liv'!F31+'Sparebank 1'!F31+'Storebrand Livsforsikring'!F31+'Telenor Forsikring'!F31+'Tryg Forsikring'!F31</f>
        <v>9320130.7634204198</v>
      </c>
      <c r="F31" s="44">
        <f>'Danica Pensjonsforsikring'!G31+'DNB Livsforsikring'!G31+'Eika Forsikring AS'!G31+'Frende Livsforsikring'!G31+'Frende Skadeforsikring'!G31+'Gjensidige Forsikring'!G31+'Gjensidige Pensjon'!G31+'Handelsbanken Liv'!G31+'If Skadeforsikring NUF'!G31+KLP!G31+'KLP Bedriftspensjon AS'!G31+'KLP Skadeforsikring AS'!G31+'Landkreditt Forsikring'!G31+'NEMI Forsikring'!G31+'Nordea Liv '!G31+'Oslo Pensjonsforsikring'!G31+'Protector Forsikring'!G31+'SHB Liv'!G31+'Sparebank 1'!G31+'Storebrand Livsforsikring'!G31+'Telenor Forsikring'!G31+'Tryg Forsikring'!G31</f>
        <v>8350490.7504600007</v>
      </c>
      <c r="G31" s="166">
        <f t="shared" si="17"/>
        <v>-10.4</v>
      </c>
      <c r="H31" s="230">
        <f t="shared" si="9"/>
        <v>44208229.066938907</v>
      </c>
      <c r="I31" s="44">
        <f t="shared" si="7"/>
        <v>41621520.521517731</v>
      </c>
      <c r="J31" s="23">
        <f t="shared" si="8"/>
        <v>-5.9</v>
      </c>
    </row>
    <row r="32" spans="1:11" ht="15.75" customHeight="1" x14ac:dyDescent="0.2">
      <c r="A32" s="548" t="s">
        <v>376</v>
      </c>
      <c r="B32" s="44">
        <f>'Danica Pensjonsforsikring'!B32+'DNB Livsforsikring'!B32+'Eika Forsikring AS'!B32+'Frende Livsforsikring'!B32+'Frende Skadeforsikring'!B32+'Gjensidige Forsikring'!B32+'Gjensidige Pensjon'!B32+'Handelsbanken Liv'!B32+'If Skadeforsikring NUF'!B32+KLP!B32+'KLP Bedriftspensjon AS'!B32+'KLP Skadeforsikring AS'!B32+'Landkreditt Forsikring'!B32+'NEMI Forsikring'!B32+'Nordea Liv '!B32+'Oslo Pensjonsforsikring'!B32+'Protector Forsikring'!B32+'SHB Liv'!B32+'Sparebank 1'!B32+'Storebrand Livsforsikring'!B32+'Telenor Forsikring'!B32+'Tryg Forsikring'!B32</f>
        <v>1313910.7948499098</v>
      </c>
      <c r="C32" s="44">
        <f>'Danica Pensjonsforsikring'!C32+'DNB Livsforsikring'!C32+'Eika Forsikring AS'!C32+'Frende Livsforsikring'!C32+'Frende Skadeforsikring'!C32+'Gjensidige Forsikring'!C32+'Gjensidige Pensjon'!C32+'Handelsbanken Liv'!C32+'If Skadeforsikring NUF'!C32+KLP!C32+'KLP Bedriftspensjon AS'!C32+'KLP Skadeforsikring AS'!C32+'Landkreditt Forsikring'!C32+'NEMI Forsikring'!C32+'Nordea Liv '!C32+'Oslo Pensjonsforsikring'!C32+'Protector Forsikring'!C32+'SHB Liv'!C32+'Sparebank 1'!C32+'Storebrand Livsforsikring'!C32+'Telenor Forsikring'!C32+'Tryg Forsikring'!C32</f>
        <v>1286853.5</v>
      </c>
      <c r="D32" s="27">
        <f t="shared" si="16"/>
        <v>-2.1</v>
      </c>
      <c r="E32" s="44">
        <f>'Danica Pensjonsforsikring'!F32+'DNB Livsforsikring'!F32+'Eika Forsikring AS'!F32+'Frende Livsforsikring'!F32+'Frende Skadeforsikring'!F32+'Gjensidige Forsikring'!F32+'Gjensidige Pensjon'!F32+'Handelsbanken Liv'!F32+'If Skadeforsikring NUF'!F32+KLP!F32+'KLP Bedriftspensjon AS'!F32+'KLP Skadeforsikring AS'!F32+'Landkreditt Forsikring'!F32+'NEMI Forsikring'!F32+'Nordea Liv '!F32+'Oslo Pensjonsforsikring'!F32+'Protector Forsikring'!F32+'SHB Liv'!F32+'Sparebank 1'!F32+'Storebrand Livsforsikring'!F32+'Telenor Forsikring'!F32+'Tryg Forsikring'!F32</f>
        <v>3884102.1246834816</v>
      </c>
      <c r="F32" s="44">
        <f>'Danica Pensjonsforsikring'!G32+'DNB Livsforsikring'!G32+'Eika Forsikring AS'!G32+'Frende Livsforsikring'!G32+'Frende Skadeforsikring'!G32+'Gjensidige Forsikring'!G32+'Gjensidige Pensjon'!G32+'Handelsbanken Liv'!G32+'If Skadeforsikring NUF'!G32+KLP!G32+'KLP Bedriftspensjon AS'!G32+'KLP Skadeforsikring AS'!G32+'Landkreditt Forsikring'!G32+'NEMI Forsikring'!G32+'Nordea Liv '!G32+'Oslo Pensjonsforsikring'!G32+'Protector Forsikring'!G32+'SHB Liv'!G32+'Sparebank 1'!G32+'Storebrand Livsforsikring'!G32+'Telenor Forsikring'!G32+'Tryg Forsikring'!G32</f>
        <v>4142948.30485</v>
      </c>
      <c r="G32" s="166">
        <f t="shared" si="17"/>
        <v>6.7</v>
      </c>
      <c r="H32" s="230">
        <f t="shared" si="9"/>
        <v>5198012.9195333915</v>
      </c>
      <c r="I32" s="44">
        <f t="shared" si="7"/>
        <v>5429801.80485</v>
      </c>
      <c r="J32" s="24">
        <f t="shared" si="8"/>
        <v>4.5</v>
      </c>
    </row>
    <row r="33" spans="1:10" ht="15.75" customHeight="1" x14ac:dyDescent="0.2">
      <c r="A33" s="548" t="s">
        <v>377</v>
      </c>
      <c r="B33" s="44">
        <f>'Danica Pensjonsforsikring'!B33+'DNB Livsforsikring'!B33+'Eika Forsikring AS'!B33+'Frende Livsforsikring'!B33+'Frende Skadeforsikring'!B33+'Gjensidige Forsikring'!B33+'Gjensidige Pensjon'!B33+'Handelsbanken Liv'!B33+'If Skadeforsikring NUF'!B33+KLP!B33+'KLP Bedriftspensjon AS'!B33+'KLP Skadeforsikring AS'!B33+'Landkreditt Forsikring'!B33+'NEMI Forsikring'!B33+'Nordea Liv '!B33+'Oslo Pensjonsforsikring'!B33+'Protector Forsikring'!B33+'SHB Liv'!B33+'Sparebank 1'!B33+'Storebrand Livsforsikring'!B33+'Telenor Forsikring'!B33+'Tryg Forsikring'!B33</f>
        <v>0</v>
      </c>
      <c r="C33" s="44">
        <f>'Danica Pensjonsforsikring'!C33+'DNB Livsforsikring'!C33+'Eika Forsikring AS'!C33+'Frende Livsforsikring'!C33+'Frende Skadeforsikring'!C33+'Gjensidige Forsikring'!C33+'Gjensidige Pensjon'!C33+'Handelsbanken Liv'!C33+'If Skadeforsikring NUF'!C33+KLP!C33+'KLP Bedriftspensjon AS'!C33+'KLP Skadeforsikring AS'!C33+'Landkreditt Forsikring'!C33+'NEMI Forsikring'!C33+'Nordea Liv '!C33+'Oslo Pensjonsforsikring'!C33+'Protector Forsikring'!C33+'SHB Liv'!C33+'Sparebank 1'!C33+'Storebrand Livsforsikring'!C33+'Telenor Forsikring'!C33+'Tryg Forsikring'!C33</f>
        <v>0</v>
      </c>
      <c r="D33" s="27"/>
      <c r="E33" s="44">
        <f>'Danica Pensjonsforsikring'!F33+'DNB Livsforsikring'!F33+'Eika Forsikring AS'!F33+'Frende Livsforsikring'!F33+'Frende Skadeforsikring'!F33+'Gjensidige Forsikring'!F33+'Gjensidige Pensjon'!F33+'Handelsbanken Liv'!F33+'If Skadeforsikring NUF'!F33+KLP!F33+'KLP Bedriftspensjon AS'!F33+'KLP Skadeforsikring AS'!F33+'Landkreditt Forsikring'!F33+'NEMI Forsikring'!F33+'Nordea Liv '!F33+'Oslo Pensjonsforsikring'!F33+'Protector Forsikring'!F33+'SHB Liv'!F33+'Sparebank 1'!F33+'Storebrand Livsforsikring'!F33+'Telenor Forsikring'!F33+'Tryg Forsikring'!F33</f>
        <v>932465.46687999996</v>
      </c>
      <c r="F33" s="44">
        <f>'Danica Pensjonsforsikring'!G33+'DNB Livsforsikring'!G33+'Eika Forsikring AS'!G33+'Frende Livsforsikring'!G33+'Frende Skadeforsikring'!G33+'Gjensidige Forsikring'!G33+'Gjensidige Pensjon'!G33+'Handelsbanken Liv'!G33+'If Skadeforsikring NUF'!G33+KLP!G33+'KLP Bedriftspensjon AS'!G33+'KLP Skadeforsikring AS'!G33+'Landkreditt Forsikring'!G33+'NEMI Forsikring'!G33+'Nordea Liv '!G33+'Oslo Pensjonsforsikring'!G33+'Protector Forsikring'!G33+'SHB Liv'!G33+'Sparebank 1'!G33+'Storebrand Livsforsikring'!G33+'Telenor Forsikring'!G33+'Tryg Forsikring'!G33</f>
        <v>2052457.4987599999</v>
      </c>
      <c r="G33" s="166">
        <f t="shared" ref="G33" si="18">IF($A$1=4,IF(E33=0, "    ---- ", IF(ABS(ROUND(100/E33*F33-100,1))&lt;999,ROUND(100/E33*F33-100,1),IF(ROUND(100/E33*F33-100,1)&gt;999,999,-999))),"")</f>
        <v>120.1</v>
      </c>
      <c r="H33" s="230">
        <f t="shared" ref="H33" si="19">SUM(B33,E33)</f>
        <v>932465.46687999996</v>
      </c>
      <c r="I33" s="44">
        <f t="shared" ref="I33" si="20">SUM(C33,F33)</f>
        <v>2052457.4987599999</v>
      </c>
      <c r="J33" s="24">
        <f t="shared" ref="J33" si="21">IF(H33=0, "    ---- ", IF(ABS(ROUND(100/H33*I33-100,1))&lt;999,ROUND(100/H33*I33-100,1),IF(ROUND(100/H33*I33-100,1)&gt;999,999,-999)))</f>
        <v>120.1</v>
      </c>
    </row>
    <row r="34" spans="1:10" s="43" customFormat="1" ht="15.75" customHeight="1" x14ac:dyDescent="0.2">
      <c r="A34" s="39" t="s">
        <v>372</v>
      </c>
      <c r="B34" s="232">
        <f>'Danica Pensjonsforsikring'!B34+'DNB Livsforsikring'!B34+'Eika Forsikring AS'!B34+'Frende Livsforsikring'!B34+'Frende Skadeforsikring'!B34+'Gjensidige Forsikring'!B34+'Gjensidige Pensjon'!B34+'Handelsbanken Liv'!B34+'If Skadeforsikring NUF'!B34+KLP!B34+'KLP Bedriftspensjon AS'!B34+'KLP Skadeforsikring AS'!B34+'Landkreditt Forsikring'!B34+'NEMI Forsikring'!B34+'Nordea Liv '!B34+'Oslo Pensjonsforsikring'!B34+'Protector Forsikring'!B34+'SHB Liv'!B34+'Sparebank 1'!B34+'Storebrand Livsforsikring'!B34+'Telenor Forsikring'!B34+'Tryg Forsikring'!B34</f>
        <v>7602.5492800000002</v>
      </c>
      <c r="C34" s="232">
        <f>'Danica Pensjonsforsikring'!C34+'DNB Livsforsikring'!C34+'Eika Forsikring AS'!C34+'Frende Livsforsikring'!C34+'Frende Skadeforsikring'!C34+'Gjensidige Forsikring'!C34+'Gjensidige Pensjon'!C34+'Handelsbanken Liv'!C34+'If Skadeforsikring NUF'!C34+KLP!C34+'KLP Bedriftspensjon AS'!C34+'KLP Skadeforsikring AS'!C34+'Landkreditt Forsikring'!C34+'NEMI Forsikring'!C34+'Nordea Liv '!C34+'Oslo Pensjonsforsikring'!C34+'Protector Forsikring'!C34+'SHB Liv'!C34+'Sparebank 1'!C34+'Storebrand Livsforsikring'!C34+'Telenor Forsikring'!C34+'Tryg Forsikring'!C34</f>
        <v>5990.25</v>
      </c>
      <c r="D34" s="24">
        <f t="shared" si="5"/>
        <v>-21.2</v>
      </c>
      <c r="E34" s="300">
        <f>'Danica Pensjonsforsikring'!F34+'DNB Livsforsikring'!F34+'Eika Forsikring AS'!F34+'Frende Livsforsikring'!F34+'Frende Skadeforsikring'!F34+'Gjensidige Forsikring'!F34+'Gjensidige Pensjon'!F34+'Handelsbanken Liv'!F34+'If Skadeforsikring NUF'!F34+KLP!F34+'KLP Bedriftspensjon AS'!F34+'KLP Skadeforsikring AS'!F34+'Landkreditt Forsikring'!F34+'NEMI Forsikring'!F34+'Nordea Liv '!F34+'Oslo Pensjonsforsikring'!F34+'Protector Forsikring'!F34+'SHB Liv'!F34+'Sparebank 1'!F34+'Storebrand Livsforsikring'!F34+'Telenor Forsikring'!F34+'Tryg Forsikring'!F34</f>
        <v>5579.303100000001</v>
      </c>
      <c r="F34" s="300">
        <f>'Danica Pensjonsforsikring'!G34+'DNB Livsforsikring'!G34+'Eika Forsikring AS'!G34+'Frende Livsforsikring'!G34+'Frende Skadeforsikring'!G34+'Gjensidige Forsikring'!G34+'Gjensidige Pensjon'!G34+'Handelsbanken Liv'!G34+'If Skadeforsikring NUF'!G34+KLP!G34+'KLP Bedriftspensjon AS'!G34+'KLP Skadeforsikring AS'!G34+'Landkreditt Forsikring'!G34+'NEMI Forsikring'!G34+'Nordea Liv '!G34+'Oslo Pensjonsforsikring'!G34+'Protector Forsikring'!G34+'SHB Liv'!G34+'Sparebank 1'!G34+'Storebrand Livsforsikring'!G34+'Telenor Forsikring'!G34+'Tryg Forsikring'!G34</f>
        <v>13409.651279999998</v>
      </c>
      <c r="G34" s="171">
        <f t="shared" si="6"/>
        <v>140.30000000000001</v>
      </c>
      <c r="H34" s="300">
        <f t="shared" si="9"/>
        <v>13181.85238</v>
      </c>
      <c r="I34" s="232">
        <f t="shared" si="7"/>
        <v>19399.901279999998</v>
      </c>
      <c r="J34" s="24">
        <f t="shared" si="8"/>
        <v>47.2</v>
      </c>
    </row>
    <row r="35" spans="1:10" s="43" customFormat="1" ht="15.75" customHeight="1" x14ac:dyDescent="0.2">
      <c r="A35" s="39" t="s">
        <v>373</v>
      </c>
      <c r="B35" s="232">
        <f>'Danica Pensjonsforsikring'!B35+'DNB Livsforsikring'!B35+'Eika Forsikring AS'!B35+'Frende Livsforsikring'!B35+'Frende Skadeforsikring'!B35+'Gjensidige Forsikring'!B35+'Gjensidige Pensjon'!B35+'Handelsbanken Liv'!B35+'If Skadeforsikring NUF'!B35+KLP!B35+'KLP Bedriftspensjon AS'!B35+'KLP Skadeforsikring AS'!B35+'Landkreditt Forsikring'!B35+'NEMI Forsikring'!B35+'Nordea Liv '!B35+'Oslo Pensjonsforsikring'!B35+'Protector Forsikring'!B35+'SHB Liv'!B35+'Sparebank 1'!B35+'Storebrand Livsforsikring'!B35+'Telenor Forsikring'!B35+'Tryg Forsikring'!B35</f>
        <v>-9944.9119100000007</v>
      </c>
      <c r="C35" s="232">
        <f>'Danica Pensjonsforsikring'!C35+'DNB Livsforsikring'!C35+'Eika Forsikring AS'!C35+'Frende Livsforsikring'!C35+'Frende Skadeforsikring'!C35+'Gjensidige Forsikring'!C35+'Gjensidige Pensjon'!C35+'Handelsbanken Liv'!C35+'If Skadeforsikring NUF'!C35+KLP!C35+'KLP Bedriftspensjon AS'!C35+'KLP Skadeforsikring AS'!C35+'Landkreditt Forsikring'!C35+'NEMI Forsikring'!C35+'Nordea Liv '!C35+'Oslo Pensjonsforsikring'!C35+'Protector Forsikring'!C35+'SHB Liv'!C35+'Sparebank 1'!C35+'Storebrand Livsforsikring'!C35+'Telenor Forsikring'!C35+'Tryg Forsikring'!C35</f>
        <v>-7524.6640200000002</v>
      </c>
      <c r="D35" s="24">
        <f t="shared" si="5"/>
        <v>-24.3</v>
      </c>
      <c r="E35" s="300">
        <f>'Danica Pensjonsforsikring'!F35+'DNB Livsforsikring'!F35+'Eika Forsikring AS'!F35+'Frende Livsforsikring'!F35+'Frende Skadeforsikring'!F35+'Gjensidige Forsikring'!F35+'Gjensidige Pensjon'!F35+'Handelsbanken Liv'!F35+'If Skadeforsikring NUF'!F35+KLP!F35+'KLP Bedriftspensjon AS'!F35+'KLP Skadeforsikring AS'!F35+'Landkreditt Forsikring'!F35+'NEMI Forsikring'!F35+'Nordea Liv '!F35+'Oslo Pensjonsforsikring'!F35+'Protector Forsikring'!F35+'SHB Liv'!F35+'Sparebank 1'!F35+'Storebrand Livsforsikring'!F35+'Telenor Forsikring'!F35+'Tryg Forsikring'!F35</f>
        <v>27172.133980000002</v>
      </c>
      <c r="F35" s="300">
        <f>'Danica Pensjonsforsikring'!G35+'DNB Livsforsikring'!G35+'Eika Forsikring AS'!G35+'Frende Livsforsikring'!G35+'Frende Skadeforsikring'!G35+'Gjensidige Forsikring'!G35+'Gjensidige Pensjon'!G35+'Handelsbanken Liv'!G35+'If Skadeforsikring NUF'!G35+KLP!G35+'KLP Bedriftspensjon AS'!G35+'KLP Skadeforsikring AS'!G35+'Landkreditt Forsikring'!G35+'NEMI Forsikring'!G35+'Nordea Liv '!G35+'Oslo Pensjonsforsikring'!G35+'Protector Forsikring'!G35+'SHB Liv'!G35+'Sparebank 1'!G35+'Storebrand Livsforsikring'!G35+'Telenor Forsikring'!G35+'Tryg Forsikring'!G35</f>
        <v>22528.448659999998</v>
      </c>
      <c r="G35" s="171">
        <f t="shared" si="6"/>
        <v>-17.100000000000001</v>
      </c>
      <c r="H35" s="300">
        <f t="shared" si="9"/>
        <v>17227.222070000003</v>
      </c>
      <c r="I35" s="232">
        <f t="shared" si="7"/>
        <v>15003.784639999998</v>
      </c>
      <c r="J35" s="24">
        <f t="shared" si="8"/>
        <v>-12.9</v>
      </c>
    </row>
    <row r="36" spans="1:10" s="43" customFormat="1" ht="15.75" customHeight="1" x14ac:dyDescent="0.2">
      <c r="A36" s="12" t="s">
        <v>290</v>
      </c>
      <c r="B36" s="232">
        <f>'Danica Pensjonsforsikring'!B36+'DNB Livsforsikring'!B36+'Eika Forsikring AS'!B36+'Frende Livsforsikring'!B36+'Frende Skadeforsikring'!B36+'Gjensidige Forsikring'!B36+'Gjensidige Pensjon'!B36+'Handelsbanken Liv'!B36+'If Skadeforsikring NUF'!B36+KLP!B36+'KLP Bedriftspensjon AS'!B36+'KLP Skadeforsikring AS'!B36+'Landkreditt Forsikring'!B36+'NEMI Forsikring'!B36+'Nordea Liv '!B36+'Oslo Pensjonsforsikring'!B36+'Protector Forsikring'!B36+'SHB Liv'!B36+'Sparebank 1'!B36+'Storebrand Livsforsikring'!B36+'Telenor Forsikring'!B36+'Tryg Forsikring'!B36</f>
        <v>804.96299999999997</v>
      </c>
      <c r="C36" s="232">
        <f>'Danica Pensjonsforsikring'!C36+'DNB Livsforsikring'!C36+'Eika Forsikring AS'!C36+'Frende Livsforsikring'!C36+'Frende Skadeforsikring'!C36+'Gjensidige Forsikring'!C36+'Gjensidige Pensjon'!C36+'Handelsbanken Liv'!C36+'If Skadeforsikring NUF'!C36+KLP!C36+'KLP Bedriftspensjon AS'!C36+'KLP Skadeforsikring AS'!C36+'Landkreditt Forsikring'!C36+'NEMI Forsikring'!C36+'Nordea Liv '!C36+'Oslo Pensjonsforsikring'!C36+'Protector Forsikring'!C36+'SHB Liv'!C36+'Sparebank 1'!C36+'Storebrand Livsforsikring'!C36+'Telenor Forsikring'!C36+'Tryg Forsikring'!C36</f>
        <v>1025.748</v>
      </c>
      <c r="D36" s="11">
        <f t="shared" si="5"/>
        <v>27.4</v>
      </c>
      <c r="E36" s="311">
        <f>'Danica Pensjonsforsikring'!F36+'DNB Livsforsikring'!F36+'Eika Forsikring AS'!F36+'Frende Livsforsikring'!F36+'Frende Skadeforsikring'!F36+'Gjensidige Forsikring'!F36+'Gjensidige Pensjon'!F36+'Handelsbanken Liv'!F36+'If Skadeforsikring NUF'!F36+KLP!F36+'KLP Bedriftspensjon AS'!F36+'KLP Skadeforsikring AS'!F36+'Landkreditt Forsikring'!F36+'NEMI Forsikring'!F36+'Nordea Liv '!F36+'Oslo Pensjonsforsikring'!F36+'Protector Forsikring'!F36+'SHB Liv'!F36+'Sparebank 1'!F36+'Storebrand Livsforsikring'!F36+'Telenor Forsikring'!F36+'Tryg Forsikring'!F36</f>
        <v>0</v>
      </c>
      <c r="F36" s="311">
        <f>'Danica Pensjonsforsikring'!G36+'DNB Livsforsikring'!G36+'Eika Forsikring AS'!G36+'Frende Livsforsikring'!G36+'Frende Skadeforsikring'!G36+'Gjensidige Forsikring'!G36+'Gjensidige Pensjon'!G36+'Handelsbanken Liv'!G36+'If Skadeforsikring NUF'!G36+KLP!G36+'KLP Bedriftspensjon AS'!G36+'KLP Skadeforsikring AS'!G36+'Landkreditt Forsikring'!G36+'NEMI Forsikring'!G36+'Nordea Liv '!G36+'Oslo Pensjonsforsikring'!G36+'Protector Forsikring'!G36+'SHB Liv'!G36+'Sparebank 1'!G36+'Storebrand Livsforsikring'!G36+'Telenor Forsikring'!G36+'Tryg Forsikring'!G36</f>
        <v>0</v>
      </c>
      <c r="G36" s="171"/>
      <c r="H36" s="300">
        <f t="shared" si="9"/>
        <v>804.96299999999997</v>
      </c>
      <c r="I36" s="232">
        <f t="shared" si="7"/>
        <v>1025.748</v>
      </c>
      <c r="J36" s="11">
        <f t="shared" si="8"/>
        <v>27.4</v>
      </c>
    </row>
    <row r="37" spans="1:10" s="43" customFormat="1" ht="15.75" customHeight="1" x14ac:dyDescent="0.2">
      <c r="A37" s="549" t="s">
        <v>379</v>
      </c>
      <c r="B37" s="232">
        <f>'Danica Pensjonsforsikring'!B37+'DNB Livsforsikring'!B37+'Eika Forsikring AS'!B37+'Frende Livsforsikring'!B37+'Frende Skadeforsikring'!B37+'Gjensidige Forsikring'!B37+'Gjensidige Pensjon'!B37+'Handelsbanken Liv'!B37+'If Skadeforsikring NUF'!B37+KLP!B37+'KLP Bedriftspensjon AS'!B37+'KLP Skadeforsikring AS'!B37+'Landkreditt Forsikring'!B37+'NEMI Forsikring'!B37+'Nordea Liv '!B37+'Oslo Pensjonsforsikring'!B37+'Protector Forsikring'!B37+'SHB Liv'!B37+'Sparebank 1'!B37+'Storebrand Livsforsikring'!B37+'Telenor Forsikring'!B37+'Tryg Forsikring'!B37</f>
        <v>3928290.9470000002</v>
      </c>
      <c r="C37" s="232">
        <f>'Danica Pensjonsforsikring'!C37+'DNB Livsforsikring'!C37+'Eika Forsikring AS'!C37+'Frende Livsforsikring'!C37+'Frende Skadeforsikring'!C37+'Gjensidige Forsikring'!C37+'Gjensidige Pensjon'!C37+'Handelsbanken Liv'!C37+'If Skadeforsikring NUF'!C37+KLP!C37+'KLP Bedriftspensjon AS'!C37+'KLP Skadeforsikring AS'!C37+'Landkreditt Forsikring'!C37+'NEMI Forsikring'!C37+'Nordea Liv '!C37+'Oslo Pensjonsforsikring'!C37+'Protector Forsikring'!C37+'SHB Liv'!C37+'Sparebank 1'!C37+'Storebrand Livsforsikring'!C37+'Telenor Forsikring'!C37+'Tryg Forsikring'!C37</f>
        <v>3750213.89</v>
      </c>
      <c r="D37" s="24">
        <f t="shared" si="5"/>
        <v>-4.5</v>
      </c>
      <c r="E37" s="316">
        <f>'Danica Pensjonsforsikring'!F37+'DNB Livsforsikring'!F37+'Eika Forsikring AS'!F37+'Frende Livsforsikring'!F37+'Frende Skadeforsikring'!F37+'Gjensidige Forsikring'!F37+'Gjensidige Pensjon'!F37+'Handelsbanken Liv'!F37+'If Skadeforsikring NUF'!F37+KLP!F37+'KLP Bedriftspensjon AS'!F37+'KLP Skadeforsikring AS'!F37+'Landkreditt Forsikring'!F37+'NEMI Forsikring'!F37+'Nordea Liv '!F37+'Oslo Pensjonsforsikring'!F37+'Protector Forsikring'!F37+'SHB Liv'!F37+'Sparebank 1'!F37+'Storebrand Livsforsikring'!F37+'Telenor Forsikring'!F37+'Tryg Forsikring'!F37</f>
        <v>0</v>
      </c>
      <c r="F37" s="316">
        <f>'Danica Pensjonsforsikring'!G37+'DNB Livsforsikring'!G37+'Eika Forsikring AS'!G37+'Frende Livsforsikring'!G37+'Frende Skadeforsikring'!G37+'Gjensidige Forsikring'!G37+'Gjensidige Pensjon'!G37+'Handelsbanken Liv'!G37+'If Skadeforsikring NUF'!G37+KLP!G37+'KLP Bedriftspensjon AS'!G37+'KLP Skadeforsikring AS'!G37+'Landkreditt Forsikring'!G37+'NEMI Forsikring'!G37+'Nordea Liv '!G37+'Oslo Pensjonsforsikring'!G37+'Protector Forsikring'!G37+'SHB Liv'!G37+'Sparebank 1'!G37+'Storebrand Livsforsikring'!G37+'Telenor Forsikring'!G37+'Tryg Forsikring'!G37</f>
        <v>0</v>
      </c>
      <c r="G37" s="171"/>
      <c r="H37" s="300">
        <f t="shared" si="9"/>
        <v>3928290.9470000002</v>
      </c>
      <c r="I37" s="232">
        <f t="shared" si="7"/>
        <v>3750213.89</v>
      </c>
      <c r="J37" s="24">
        <f t="shared" si="8"/>
        <v>-4.5</v>
      </c>
    </row>
    <row r="38" spans="1:10" s="43" customFormat="1" ht="15.75" customHeight="1" x14ac:dyDescent="0.2">
      <c r="A38" s="549" t="s">
        <v>380</v>
      </c>
      <c r="B38" s="232">
        <f>'Danica Pensjonsforsikring'!B38+'DNB Livsforsikring'!B38+'Eika Forsikring AS'!B38+'Frende Livsforsikring'!B38+'Frende Skadeforsikring'!B38+'Gjensidige Forsikring'!B38+'Gjensidige Pensjon'!B38+'Handelsbanken Liv'!B38+'If Skadeforsikring NUF'!B38+KLP!B38+'KLP Bedriftspensjon AS'!B38+'KLP Skadeforsikring AS'!B38+'Landkreditt Forsikring'!B38+'NEMI Forsikring'!B38+'Nordea Liv '!B38+'Oslo Pensjonsforsikring'!B38+'Protector Forsikring'!B38+'SHB Liv'!B38+'Sparebank 1'!B38+'Storebrand Livsforsikring'!B38+'Telenor Forsikring'!B38+'Tryg Forsikring'!B38</f>
        <v>611</v>
      </c>
      <c r="C38" s="232">
        <f>'Danica Pensjonsforsikring'!C38+'DNB Livsforsikring'!C38+'Eika Forsikring AS'!C38+'Frende Livsforsikring'!C38+'Frende Skadeforsikring'!C38+'Gjensidige Forsikring'!C38+'Gjensidige Pensjon'!C38+'Handelsbanken Liv'!C38+'If Skadeforsikring NUF'!C38+KLP!C38+'KLP Bedriftspensjon AS'!C38+'KLP Skadeforsikring AS'!C38+'Landkreditt Forsikring'!C38+'NEMI Forsikring'!C38+'Nordea Liv '!C38+'Oslo Pensjonsforsikring'!C38+'Protector Forsikring'!C38+'SHB Liv'!C38+'Sparebank 1'!C38+'Storebrand Livsforsikring'!C38+'Telenor Forsikring'!C38+'Tryg Forsikring'!C38</f>
        <v>0</v>
      </c>
      <c r="D38" s="24">
        <f t="shared" si="5"/>
        <v>-100</v>
      </c>
      <c r="E38" s="317">
        <f>'Danica Pensjonsforsikring'!F38+'DNB Livsforsikring'!F38+'Eika Forsikring AS'!F38+'Frende Livsforsikring'!F38+'Frende Skadeforsikring'!F38+'Gjensidige Forsikring'!F38+'Gjensidige Pensjon'!F38+'Handelsbanken Liv'!F38+'If Skadeforsikring NUF'!F38+KLP!F38+'KLP Bedriftspensjon AS'!F38+'KLP Skadeforsikring AS'!F38+'Landkreditt Forsikring'!F38+'NEMI Forsikring'!F38+'Nordea Liv '!F38+'Oslo Pensjonsforsikring'!F38+'Protector Forsikring'!F38+'SHB Liv'!F38+'Sparebank 1'!F38+'Storebrand Livsforsikring'!F38+'Telenor Forsikring'!F38+'Tryg Forsikring'!F38</f>
        <v>0</v>
      </c>
      <c r="F38" s="317">
        <f>'Danica Pensjonsforsikring'!G38+'DNB Livsforsikring'!G38+'Eika Forsikring AS'!G38+'Frende Livsforsikring'!G38+'Frende Skadeforsikring'!G38+'Gjensidige Forsikring'!G38+'Gjensidige Pensjon'!G38+'Handelsbanken Liv'!G38+'If Skadeforsikring NUF'!G38+KLP!G38+'KLP Bedriftspensjon AS'!G38+'KLP Skadeforsikring AS'!G38+'Landkreditt Forsikring'!G38+'NEMI Forsikring'!G38+'Nordea Liv '!G38+'Oslo Pensjonsforsikring'!G38+'Protector Forsikring'!G38+'SHB Liv'!G38+'Sparebank 1'!G38+'Storebrand Livsforsikring'!G38+'Telenor Forsikring'!G38+'Tryg Forsikring'!G38</f>
        <v>0</v>
      </c>
      <c r="G38" s="171"/>
      <c r="H38" s="300">
        <f t="shared" si="9"/>
        <v>611</v>
      </c>
      <c r="I38" s="232">
        <f t="shared" si="7"/>
        <v>0</v>
      </c>
      <c r="J38" s="24">
        <f t="shared" si="8"/>
        <v>-100</v>
      </c>
    </row>
    <row r="39" spans="1:10" s="43" customFormat="1" ht="15.75" customHeight="1" x14ac:dyDescent="0.2">
      <c r="A39" s="550" t="s">
        <v>381</v>
      </c>
      <c r="B39" s="272">
        <f>'Danica Pensjonsforsikring'!B39+'DNB Livsforsikring'!B39+'Eika Forsikring AS'!B39+'Frende Livsforsikring'!B39+'Frende Skadeforsikring'!B39+'Gjensidige Forsikring'!B39+'Gjensidige Pensjon'!B39+'Handelsbanken Liv'!B39+'If Skadeforsikring NUF'!B39+KLP!B39+'KLP Bedriftspensjon AS'!B39+'KLP Skadeforsikring AS'!B39+'Landkreditt Forsikring'!B39+'NEMI Forsikring'!B39+'Nordea Liv '!B39+'Oslo Pensjonsforsikring'!B39+'Protector Forsikring'!B39+'SHB Liv'!B39+'Sparebank 1'!B39+'Storebrand Livsforsikring'!B39+'Telenor Forsikring'!B39+'Tryg Forsikring'!B39</f>
        <v>0</v>
      </c>
      <c r="C39" s="272">
        <f>'Danica Pensjonsforsikring'!C39+'DNB Livsforsikring'!C39+'Eika Forsikring AS'!C39+'Frende Livsforsikring'!C39+'Frende Skadeforsikring'!C39+'Gjensidige Forsikring'!C39+'Gjensidige Pensjon'!C39+'Handelsbanken Liv'!C39+'If Skadeforsikring NUF'!C39+KLP!C39+'KLP Bedriftspensjon AS'!C39+'KLP Skadeforsikring AS'!C39+'Landkreditt Forsikring'!C39+'NEMI Forsikring'!C39+'Nordea Liv '!C39+'Oslo Pensjonsforsikring'!C39+'Protector Forsikring'!C39+'SHB Liv'!C39+'Sparebank 1'!C39+'Storebrand Livsforsikring'!C39+'Telenor Forsikring'!C39+'Tryg Forsikring'!C39</f>
        <v>0</v>
      </c>
      <c r="D39" s="36"/>
      <c r="E39" s="318">
        <f>'Danica Pensjonsforsikring'!F39+'DNB Livsforsikring'!F39+'Eika Forsikring AS'!F39+'Frende Livsforsikring'!F39+'Frende Skadeforsikring'!F39+'Gjensidige Forsikring'!F39+'Gjensidige Pensjon'!F39+'Handelsbanken Liv'!F39+'If Skadeforsikring NUF'!F39+KLP!F39+'KLP Bedriftspensjon AS'!F39+'KLP Skadeforsikring AS'!F39+'Landkreditt Forsikring'!F39+'NEMI Forsikring'!F39+'Nordea Liv '!F39+'Oslo Pensjonsforsikring'!F39+'Protector Forsikring'!F39+'SHB Liv'!F39+'Sparebank 1'!F39+'Storebrand Livsforsikring'!F39+'Telenor Forsikring'!F39+'Tryg Forsikring'!F39</f>
        <v>0</v>
      </c>
      <c r="F39" s="318">
        <f>'Danica Pensjonsforsikring'!G39+'DNB Livsforsikring'!G39+'Eika Forsikring AS'!G39+'Frende Livsforsikring'!G39+'Frende Skadeforsikring'!G39+'Gjensidige Forsikring'!G39+'Gjensidige Pensjon'!G39+'Handelsbanken Liv'!G39+'If Skadeforsikring NUF'!G39+KLP!G39+'KLP Bedriftspensjon AS'!G39+'KLP Skadeforsikring AS'!G39+'Landkreditt Forsikring'!G39+'NEMI Forsikring'!G39+'Nordea Liv '!G39+'Oslo Pensjonsforsikring'!G39+'Protector Forsikring'!G39+'SHB Liv'!G39+'Sparebank 1'!G39+'Storebrand Livsforsikring'!G39+'Telenor Forsikring'!G39+'Tryg Forsikring'!G39</f>
        <v>0</v>
      </c>
      <c r="G39" s="169"/>
      <c r="H39" s="306">
        <f t="shared" si="9"/>
        <v>0</v>
      </c>
      <c r="I39" s="272">
        <f t="shared" si="7"/>
        <v>0</v>
      </c>
      <c r="J39" s="36"/>
    </row>
    <row r="40" spans="1:10" ht="15.75" customHeight="1" x14ac:dyDescent="0.2">
      <c r="A40" s="47"/>
    </row>
    <row r="41" spans="1:10" ht="15.75" customHeight="1" x14ac:dyDescent="0.2">
      <c r="A41" s="155"/>
    </row>
    <row r="42" spans="1:10" ht="15.75" customHeight="1" x14ac:dyDescent="0.25">
      <c r="A42" s="147" t="s">
        <v>279</v>
      </c>
      <c r="B42" s="677"/>
      <c r="C42" s="677"/>
      <c r="D42" s="677"/>
      <c r="E42" s="681"/>
      <c r="F42" s="681"/>
      <c r="G42" s="681"/>
      <c r="H42" s="681"/>
      <c r="I42" s="681"/>
      <c r="J42" s="681"/>
    </row>
    <row r="43" spans="1:10" ht="15.75" customHeight="1" x14ac:dyDescent="0.25">
      <c r="A43" s="163"/>
      <c r="B43" s="373"/>
      <c r="C43" s="373"/>
      <c r="D43" s="373"/>
      <c r="E43" s="290"/>
      <c r="F43" s="290"/>
      <c r="G43" s="290"/>
      <c r="H43" s="290"/>
      <c r="I43" s="290"/>
      <c r="J43" s="290"/>
    </row>
    <row r="44" spans="1:10" s="3" customFormat="1" ht="15.75" customHeight="1" x14ac:dyDescent="0.25">
      <c r="A44" s="243"/>
      <c r="B44" s="319" t="s">
        <v>0</v>
      </c>
      <c r="C44" s="320"/>
      <c r="D44" s="248"/>
      <c r="E44" s="42"/>
      <c r="F44" s="42"/>
      <c r="G44" s="40"/>
      <c r="H44" s="42"/>
      <c r="I44" s="42"/>
      <c r="J44" s="40"/>
    </row>
    <row r="45" spans="1:10" s="3" customFormat="1" ht="15.75" customHeight="1" x14ac:dyDescent="0.2">
      <c r="A45" s="140"/>
      <c r="B45" s="20" t="s">
        <v>416</v>
      </c>
      <c r="C45" s="20" t="s">
        <v>417</v>
      </c>
      <c r="D45" s="246" t="s">
        <v>3</v>
      </c>
      <c r="E45" s="42"/>
      <c r="F45" s="42"/>
      <c r="G45" s="40"/>
      <c r="H45" s="42"/>
      <c r="I45" s="42"/>
      <c r="J45" s="40"/>
    </row>
    <row r="46" spans="1:10" s="3" customFormat="1" ht="15.75" customHeight="1" x14ac:dyDescent="0.2">
      <c r="A46" s="650"/>
      <c r="B46" s="46"/>
      <c r="C46" s="247"/>
      <c r="D46" s="17" t="s">
        <v>4</v>
      </c>
      <c r="E46" s="40"/>
      <c r="F46" s="40"/>
      <c r="G46" s="40"/>
      <c r="H46" s="40"/>
      <c r="I46" s="40"/>
      <c r="J46" s="40"/>
    </row>
    <row r="47" spans="1:10" s="361" customFormat="1" ht="15.75" customHeight="1" x14ac:dyDescent="0.2">
      <c r="A47" s="14" t="s">
        <v>23</v>
      </c>
      <c r="B47" s="232">
        <f>'Danica Pensjonsforsikring'!B47+'DNB Livsforsikring'!B47+'Eika Forsikring AS'!B47+'Frende Livsforsikring'!B47+'Frende Skadeforsikring'!B47+'Gjensidige Forsikring'!B47+'Gjensidige Pensjon'!B47+'Handelsbanken Liv'!B47+'If Skadeforsikring NUF'!B47+KLP!B47+'KLP Bedriftspensjon AS'!B47+'KLP Skadeforsikring AS'!B47+'Landkreditt Forsikring'!B47+'NEMI Forsikring'!B47+'Nordea Liv '!B47+'Oslo Pensjonsforsikring'!B47+'Protector Forsikring'!B47+'SHB Liv'!B47+'Sparebank 1'!B47+'Storebrand Livsforsikring'!B47+'Telenor Forsikring'!B47+'Tryg Forsikring'!B47</f>
        <v>2242938.9719999996</v>
      </c>
      <c r="C47" s="232">
        <f>'Danica Pensjonsforsikring'!C47+'DNB Livsforsikring'!C47+'Eika Forsikring AS'!C47+'Frende Livsforsikring'!C47+'Frende Skadeforsikring'!C47+'Gjensidige Forsikring'!C47+'Gjensidige Pensjon'!C47+'Handelsbanken Liv'!C47+'If Skadeforsikring NUF'!C47+KLP!C47+'KLP Bedriftspensjon AS'!C47+'KLP Skadeforsikring AS'!C47+'Landkreditt Forsikring'!C47+'NEMI Forsikring'!C47+'Nordea Liv '!C47+'Oslo Pensjonsforsikring'!C47+'Protector Forsikring'!C47+'SHB Liv'!C47+'Sparebank 1'!C47+'Storebrand Livsforsikring'!C47+'Telenor Forsikring'!C47+'Tryg Forsikring'!C47</f>
        <v>2502402.8992893849</v>
      </c>
      <c r="D47" s="24">
        <f t="shared" ref="D47:D58" si="22">IF(B47=0, "    ---- ", IF(ABS(ROUND(100/B47*C47-100,1))&lt;999,ROUND(100/B47*C47-100,1),IF(ROUND(100/B47*C47-100,1)&gt;999,999,-999)))</f>
        <v>11.6</v>
      </c>
      <c r="E47" s="362"/>
      <c r="F47" s="363"/>
      <c r="G47" s="32"/>
      <c r="H47" s="364"/>
      <c r="I47" s="364"/>
      <c r="J47" s="32"/>
    </row>
    <row r="48" spans="1:10" s="3" customFormat="1" ht="15.75" customHeight="1" x14ac:dyDescent="0.2">
      <c r="A48" s="38" t="s">
        <v>382</v>
      </c>
      <c r="B48" s="44">
        <f>'Danica Pensjonsforsikring'!B48+'DNB Livsforsikring'!B48+'Eika Forsikring AS'!B48+'Frende Livsforsikring'!B48+'Frende Skadeforsikring'!B48+'Gjensidige Forsikring'!B48+'Gjensidige Pensjon'!B48+'Handelsbanken Liv'!B48+'If Skadeforsikring NUF'!B48+KLP!B48+'KLP Bedriftspensjon AS'!B48+'KLP Skadeforsikring AS'!B48+'Landkreditt Forsikring'!B48+'NEMI Forsikring'!B48+'Nordea Liv '!B48+'Oslo Pensjonsforsikring'!B48+'Protector Forsikring'!B48+'SHB Liv'!B48+'Sparebank 1'!B48+'Storebrand Livsforsikring'!B48+'Telenor Forsikring'!B48+'Tryg Forsikring'!B48</f>
        <v>1113029.2670100001</v>
      </c>
      <c r="C48" s="44">
        <f>'Danica Pensjonsforsikring'!C48+'DNB Livsforsikring'!C48+'Eika Forsikring AS'!C48+'Frende Livsforsikring'!C48+'Frende Skadeforsikring'!C48+'Gjensidige Forsikring'!C48+'Gjensidige Pensjon'!C48+'Handelsbanken Liv'!C48+'If Skadeforsikring NUF'!C48+KLP!C48+'KLP Bedriftspensjon AS'!C48+'KLP Skadeforsikring AS'!C48+'Landkreditt Forsikring'!C48+'NEMI Forsikring'!C48+'Nordea Liv '!C48+'Oslo Pensjonsforsikring'!C48+'Protector Forsikring'!C48+'SHB Liv'!C48+'Sparebank 1'!C48+'Storebrand Livsforsikring'!C48+'Telenor Forsikring'!C48+'Tryg Forsikring'!C48</f>
        <v>1338522.478519385</v>
      </c>
      <c r="D48" s="24">
        <f t="shared" si="22"/>
        <v>20.3</v>
      </c>
      <c r="E48" s="35"/>
      <c r="F48" s="5"/>
      <c r="G48" s="34"/>
      <c r="H48" s="33"/>
      <c r="I48" s="33"/>
      <c r="J48" s="32"/>
    </row>
    <row r="49" spans="1:10" s="3" customFormat="1" ht="15.75" customHeight="1" x14ac:dyDescent="0.2">
      <c r="A49" s="38" t="s">
        <v>383</v>
      </c>
      <c r="B49" s="188">
        <f>'Danica Pensjonsforsikring'!B49+'DNB Livsforsikring'!B49+'Eika Forsikring AS'!B49+'Frende Livsforsikring'!B49+'Frende Skadeforsikring'!B49+'Gjensidige Forsikring'!B49+'Gjensidige Pensjon'!B49+'Handelsbanken Liv'!B49+'If Skadeforsikring NUF'!B49+KLP!B49+'KLP Bedriftspensjon AS'!B49+'KLP Skadeforsikring AS'!B49+'Landkreditt Forsikring'!B49+'NEMI Forsikring'!B49+'Nordea Liv '!B49+'Oslo Pensjonsforsikring'!B49+'Protector Forsikring'!B49+'SHB Liv'!B49+'Sparebank 1'!B49+'Storebrand Livsforsikring'!B49+'Telenor Forsikring'!B49+'Tryg Forsikring'!B49</f>
        <v>1129909.70499</v>
      </c>
      <c r="C49" s="188">
        <f>'Danica Pensjonsforsikring'!C49+'DNB Livsforsikring'!C49+'Eika Forsikring AS'!C49+'Frende Livsforsikring'!C49+'Frende Skadeforsikring'!C49+'Gjensidige Forsikring'!C49+'Gjensidige Pensjon'!C49+'Handelsbanken Liv'!C49+'If Skadeforsikring NUF'!C49+KLP!C49+'KLP Bedriftspensjon AS'!C49+'KLP Skadeforsikring AS'!C49+'Landkreditt Forsikring'!C49+'NEMI Forsikring'!C49+'Nordea Liv '!C49+'Oslo Pensjonsforsikring'!C49+'Protector Forsikring'!C49+'SHB Liv'!C49+'Sparebank 1'!C49+'Storebrand Livsforsikring'!C49+'Telenor Forsikring'!C49+'Tryg Forsikring'!C49</f>
        <v>1163880.42077</v>
      </c>
      <c r="D49" s="24">
        <f t="shared" si="22"/>
        <v>3</v>
      </c>
      <c r="E49" s="35"/>
      <c r="F49" s="5"/>
      <c r="G49" s="34"/>
      <c r="H49" s="37"/>
      <c r="I49" s="37"/>
      <c r="J49" s="32"/>
    </row>
    <row r="50" spans="1:10" s="3" customFormat="1" ht="15.75" customHeight="1" x14ac:dyDescent="0.2">
      <c r="A50" s="288" t="s">
        <v>6</v>
      </c>
      <c r="B50" s="316"/>
      <c r="C50" s="316"/>
      <c r="D50" s="27"/>
      <c r="E50" s="35"/>
      <c r="F50" s="5"/>
      <c r="G50" s="34"/>
      <c r="H50" s="33"/>
      <c r="I50" s="33"/>
      <c r="J50" s="32"/>
    </row>
    <row r="51" spans="1:10" s="3" customFormat="1" ht="15.75" customHeight="1" x14ac:dyDescent="0.2">
      <c r="A51" s="288" t="s">
        <v>7</v>
      </c>
      <c r="B51" s="316"/>
      <c r="C51" s="316"/>
      <c r="D51" s="27"/>
      <c r="E51" s="35"/>
      <c r="F51" s="5"/>
      <c r="G51" s="34"/>
      <c r="H51" s="33"/>
      <c r="I51" s="33"/>
      <c r="J51" s="32"/>
    </row>
    <row r="52" spans="1:10" s="3" customFormat="1" ht="15.75" customHeight="1" x14ac:dyDescent="0.2">
      <c r="A52" s="288" t="s">
        <v>8</v>
      </c>
      <c r="B52" s="316"/>
      <c r="C52" s="316"/>
      <c r="D52" s="27"/>
      <c r="E52" s="35"/>
      <c r="F52" s="5"/>
      <c r="G52" s="34"/>
      <c r="H52" s="33"/>
      <c r="I52" s="33"/>
      <c r="J52" s="32"/>
    </row>
    <row r="53" spans="1:10" s="361" customFormat="1" ht="15.75" customHeight="1" x14ac:dyDescent="0.2">
      <c r="A53" s="39" t="s">
        <v>384</v>
      </c>
      <c r="B53" s="232">
        <f>'Danica Pensjonsforsikring'!B53+'DNB Livsforsikring'!B53+'Eika Forsikring AS'!B53+'Frende Livsforsikring'!B53+'Frende Skadeforsikring'!B53+'Gjensidige Forsikring'!B53+'Gjensidige Pensjon'!B53+'Handelsbanken Liv'!B53+'If Skadeforsikring NUF'!B53+KLP!B53+'KLP Bedriftspensjon AS'!B53+'KLP Skadeforsikring AS'!B53+'Landkreditt Forsikring'!B53+'NEMI Forsikring'!B53+'Nordea Liv '!B53+'Oslo Pensjonsforsikring'!B53+'Protector Forsikring'!B53+'SHB Liv'!B53+'Sparebank 1'!B53+'Storebrand Livsforsikring'!B53+'Telenor Forsikring'!B53+'Tryg Forsikring'!B53</f>
        <v>45529.34199999999</v>
      </c>
      <c r="C53" s="232">
        <f>'Danica Pensjonsforsikring'!C53+'DNB Livsforsikring'!C53+'Eika Forsikring AS'!C53+'Frende Livsforsikring'!C53+'Frende Skadeforsikring'!C53+'Gjensidige Forsikring'!C53+'Gjensidige Pensjon'!C53+'Handelsbanken Liv'!C53+'If Skadeforsikring NUF'!C53+KLP!C53+'KLP Bedriftspensjon AS'!C53+'KLP Skadeforsikring AS'!C53+'Landkreditt Forsikring'!C53+'NEMI Forsikring'!C53+'Nordea Liv '!C53+'Oslo Pensjonsforsikring'!C53+'Protector Forsikring'!C53+'SHB Liv'!C53+'Sparebank 1'!C53+'Storebrand Livsforsikring'!C53+'Telenor Forsikring'!C53+'Tryg Forsikring'!C53</f>
        <v>149001.03700000001</v>
      </c>
      <c r="D53" s="24">
        <f t="shared" si="22"/>
        <v>227.3</v>
      </c>
      <c r="E53" s="362"/>
      <c r="F53" s="363"/>
      <c r="G53" s="32"/>
      <c r="H53" s="173"/>
      <c r="I53" s="173"/>
      <c r="J53" s="32"/>
    </row>
    <row r="54" spans="1:10" s="3" customFormat="1" ht="15.75" customHeight="1" x14ac:dyDescent="0.2">
      <c r="A54" s="38" t="s">
        <v>382</v>
      </c>
      <c r="B54" s="44">
        <f>'Danica Pensjonsforsikring'!B54+'DNB Livsforsikring'!B54+'Eika Forsikring AS'!B54+'Frende Livsforsikring'!B54+'Frende Skadeforsikring'!B54+'Gjensidige Forsikring'!B54+'Gjensidige Pensjon'!B54+'Handelsbanken Liv'!B54+'If Skadeforsikring NUF'!B54+KLP!B54+'KLP Bedriftspensjon AS'!B54+'KLP Skadeforsikring AS'!B54+'Landkreditt Forsikring'!B54+'NEMI Forsikring'!B54+'Nordea Liv '!B54+'Oslo Pensjonsforsikring'!B54+'Protector Forsikring'!B54+'SHB Liv'!B54+'Sparebank 1'!B54+'Storebrand Livsforsikring'!B54+'Telenor Forsikring'!B54+'Tryg Forsikring'!B54</f>
        <v>45529.34199999999</v>
      </c>
      <c r="C54" s="44">
        <f>'Danica Pensjonsforsikring'!C54+'DNB Livsforsikring'!C54+'Eika Forsikring AS'!C54+'Frende Livsforsikring'!C54+'Frende Skadeforsikring'!C54+'Gjensidige Forsikring'!C54+'Gjensidige Pensjon'!C54+'Handelsbanken Liv'!C54+'If Skadeforsikring NUF'!C54+KLP!C54+'KLP Bedriftspensjon AS'!C54+'KLP Skadeforsikring AS'!C54+'Landkreditt Forsikring'!C54+'NEMI Forsikring'!C54+'Nordea Liv '!C54+'Oslo Pensjonsforsikring'!C54+'Protector Forsikring'!C54+'SHB Liv'!C54+'Sparebank 1'!C54+'Storebrand Livsforsikring'!C54+'Telenor Forsikring'!C54+'Tryg Forsikring'!C54</f>
        <v>63232.53</v>
      </c>
      <c r="D54" s="24">
        <f t="shared" si="22"/>
        <v>38.9</v>
      </c>
      <c r="E54" s="35"/>
      <c r="F54" s="5"/>
      <c r="G54" s="34"/>
      <c r="H54" s="33"/>
      <c r="I54" s="33"/>
      <c r="J54" s="32"/>
    </row>
    <row r="55" spans="1:10" s="3" customFormat="1" ht="15.75" customHeight="1" x14ac:dyDescent="0.2">
      <c r="A55" s="38" t="s">
        <v>383</v>
      </c>
      <c r="B55" s="44">
        <f>'Danica Pensjonsforsikring'!B55+'DNB Livsforsikring'!B55+'Eika Forsikring AS'!B55+'Frende Livsforsikring'!B55+'Frende Skadeforsikring'!B55+'Gjensidige Forsikring'!B55+'Gjensidige Pensjon'!B55+'Handelsbanken Liv'!B55+'If Skadeforsikring NUF'!B55+KLP!B55+'KLP Bedriftspensjon AS'!B55+'KLP Skadeforsikring AS'!B55+'Landkreditt Forsikring'!B55+'NEMI Forsikring'!B55+'Nordea Liv '!B55+'Oslo Pensjonsforsikring'!B55+'Protector Forsikring'!B55+'SHB Liv'!B55+'Sparebank 1'!B55+'Storebrand Livsforsikring'!B55+'Telenor Forsikring'!B55+'Tryg Forsikring'!B55</f>
        <v>0</v>
      </c>
      <c r="C55" s="44">
        <f>'Danica Pensjonsforsikring'!C55+'DNB Livsforsikring'!C55+'Eika Forsikring AS'!C55+'Frende Livsforsikring'!C55+'Frende Skadeforsikring'!C55+'Gjensidige Forsikring'!C55+'Gjensidige Pensjon'!C55+'Handelsbanken Liv'!C55+'If Skadeforsikring NUF'!C55+KLP!C55+'KLP Bedriftspensjon AS'!C55+'KLP Skadeforsikring AS'!C55+'Landkreditt Forsikring'!C55+'NEMI Forsikring'!C55+'Nordea Liv '!C55+'Oslo Pensjonsforsikring'!C55+'Protector Forsikring'!C55+'SHB Liv'!C55+'Sparebank 1'!C55+'Storebrand Livsforsikring'!C55+'Telenor Forsikring'!C55+'Tryg Forsikring'!C55</f>
        <v>85768.506999999998</v>
      </c>
      <c r="D55" s="24" t="str">
        <f t="shared" si="22"/>
        <v xml:space="preserve">    ---- </v>
      </c>
      <c r="E55" s="35"/>
      <c r="F55" s="5"/>
      <c r="G55" s="34"/>
      <c r="H55" s="33"/>
      <c r="I55" s="33"/>
      <c r="J55" s="32"/>
    </row>
    <row r="56" spans="1:10" s="361" customFormat="1" ht="15.75" customHeight="1" x14ac:dyDescent="0.2">
      <c r="A56" s="39" t="s">
        <v>385</v>
      </c>
      <c r="B56" s="232">
        <f>'Danica Pensjonsforsikring'!B56+'DNB Livsforsikring'!B56+'Eika Forsikring AS'!B56+'Frende Livsforsikring'!B56+'Frende Skadeforsikring'!B56+'Gjensidige Forsikring'!B56+'Gjensidige Pensjon'!B56+'Handelsbanken Liv'!B56+'If Skadeforsikring NUF'!B56+KLP!B56+'KLP Bedriftspensjon AS'!B56+'KLP Skadeforsikring AS'!B56+'Landkreditt Forsikring'!B56+'NEMI Forsikring'!B56+'Nordea Liv '!B56+'Oslo Pensjonsforsikring'!B56+'Protector Forsikring'!B56+'SHB Liv'!B56+'Sparebank 1'!B56+'Storebrand Livsforsikring'!B56+'Telenor Forsikring'!B56+'Tryg Forsikring'!B56</f>
        <v>42022.144</v>
      </c>
      <c r="C56" s="232">
        <f>'Danica Pensjonsforsikring'!C56+'DNB Livsforsikring'!C56+'Eika Forsikring AS'!C56+'Frende Livsforsikring'!C56+'Frende Skadeforsikring'!C56+'Gjensidige Forsikring'!C56+'Gjensidige Pensjon'!C56+'Handelsbanken Liv'!C56+'If Skadeforsikring NUF'!C56+KLP!C56+'KLP Bedriftspensjon AS'!C56+'KLP Skadeforsikring AS'!C56+'Landkreditt Forsikring'!C56+'NEMI Forsikring'!C56+'Nordea Liv '!C56+'Oslo Pensjonsforsikring'!C56+'Protector Forsikring'!C56+'SHB Liv'!C56+'Sparebank 1'!C56+'Storebrand Livsforsikring'!C56+'Telenor Forsikring'!C56+'Tryg Forsikring'!C56</f>
        <v>121084.31299999999</v>
      </c>
      <c r="D56" s="24">
        <f t="shared" si="22"/>
        <v>188.1</v>
      </c>
      <c r="E56" s="362"/>
      <c r="F56" s="363"/>
      <c r="G56" s="32"/>
      <c r="H56" s="173"/>
      <c r="I56" s="173"/>
      <c r="J56" s="32"/>
    </row>
    <row r="57" spans="1:10" s="3" customFormat="1" ht="15.75" customHeight="1" x14ac:dyDescent="0.2">
      <c r="A57" s="38" t="s">
        <v>382</v>
      </c>
      <c r="B57" s="44">
        <f>'Danica Pensjonsforsikring'!B57+'DNB Livsforsikring'!B57+'Eika Forsikring AS'!B57+'Frende Livsforsikring'!B57+'Frende Skadeforsikring'!B57+'Gjensidige Forsikring'!B57+'Gjensidige Pensjon'!B57+'Handelsbanken Liv'!B57+'If Skadeforsikring NUF'!B57+KLP!B57+'KLP Bedriftspensjon AS'!B57+'KLP Skadeforsikring AS'!B57+'Landkreditt Forsikring'!B57+'NEMI Forsikring'!B57+'Nordea Liv '!B57+'Oslo Pensjonsforsikring'!B57+'Protector Forsikring'!B57+'SHB Liv'!B57+'Sparebank 1'!B57+'Storebrand Livsforsikring'!B57+'Telenor Forsikring'!B57+'Tryg Forsikring'!B57</f>
        <v>42022.144</v>
      </c>
      <c r="C57" s="44">
        <f>'Danica Pensjonsforsikring'!C57+'DNB Livsforsikring'!C57+'Eika Forsikring AS'!C57+'Frende Livsforsikring'!C57+'Frende Skadeforsikring'!C57+'Gjensidige Forsikring'!C57+'Gjensidige Pensjon'!C57+'Handelsbanken Liv'!C57+'If Skadeforsikring NUF'!C57+KLP!C57+'KLP Bedriftspensjon AS'!C57+'KLP Skadeforsikring AS'!C57+'Landkreditt Forsikring'!C57+'NEMI Forsikring'!C57+'Nordea Liv '!C57+'Oslo Pensjonsforsikring'!C57+'Protector Forsikring'!C57+'SHB Liv'!C57+'Sparebank 1'!C57+'Storebrand Livsforsikring'!C57+'Telenor Forsikring'!C57+'Tryg Forsikring'!C57</f>
        <v>54498.399999999994</v>
      </c>
      <c r="D57" s="24">
        <f t="shared" si="22"/>
        <v>29.7</v>
      </c>
      <c r="E57" s="35"/>
      <c r="F57" s="5"/>
      <c r="G57" s="34"/>
      <c r="H57" s="33"/>
      <c r="I57" s="33"/>
      <c r="J57" s="32"/>
    </row>
    <row r="58" spans="1:10" s="3" customFormat="1" ht="15.75" customHeight="1" x14ac:dyDescent="0.2">
      <c r="A58" s="38" t="s">
        <v>383</v>
      </c>
      <c r="B58" s="45">
        <f>'Danica Pensjonsforsikring'!B58+'DNB Livsforsikring'!B58+'Eika Forsikring AS'!B58+'Frende Livsforsikring'!B58+'Frende Skadeforsikring'!B58+'Gjensidige Forsikring'!B58+'Gjensidige Pensjon'!B58+'Handelsbanken Liv'!B58+'If Skadeforsikring NUF'!B58+KLP!B58+'KLP Bedriftspensjon AS'!B58+'KLP Skadeforsikring AS'!B58+'Landkreditt Forsikring'!B58+'NEMI Forsikring'!B58+'Nordea Liv '!B58+'Oslo Pensjonsforsikring'!B58+'Protector Forsikring'!B58+'SHB Liv'!B58+'Sparebank 1'!B58+'Storebrand Livsforsikring'!B58+'Telenor Forsikring'!B58+'Tryg Forsikring'!B58</f>
        <v>0</v>
      </c>
      <c r="C58" s="45">
        <f>'Danica Pensjonsforsikring'!C58+'DNB Livsforsikring'!C58+'Eika Forsikring AS'!C58+'Frende Livsforsikring'!C58+'Frende Skadeforsikring'!C58+'Gjensidige Forsikring'!C58+'Gjensidige Pensjon'!C58+'Handelsbanken Liv'!C58+'If Skadeforsikring NUF'!C58+KLP!C58+'KLP Bedriftspensjon AS'!C58+'KLP Skadeforsikring AS'!C58+'Landkreditt Forsikring'!C58+'NEMI Forsikring'!C58+'Nordea Liv '!C58+'Oslo Pensjonsforsikring'!C58+'Protector Forsikring'!C58+'SHB Liv'!C58+'Sparebank 1'!C58+'Storebrand Livsforsikring'!C58+'Telenor Forsikring'!C58+'Tryg Forsikring'!C58</f>
        <v>66585.913</v>
      </c>
      <c r="D58" s="36" t="str">
        <f t="shared" si="22"/>
        <v xml:space="preserve">    ---- </v>
      </c>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280</v>
      </c>
      <c r="C61" s="26"/>
      <c r="D61" s="25"/>
      <c r="E61" s="26"/>
      <c r="F61" s="26"/>
      <c r="G61" s="25"/>
      <c r="H61" s="26"/>
      <c r="I61" s="26"/>
      <c r="J61" s="25"/>
    </row>
    <row r="62" spans="1:10" ht="20.100000000000001" customHeight="1" x14ac:dyDescent="0.25">
      <c r="A62" s="149"/>
      <c r="B62" s="677"/>
      <c r="C62" s="677"/>
      <c r="D62" s="677"/>
      <c r="E62" s="677"/>
      <c r="F62" s="677"/>
      <c r="G62" s="677"/>
      <c r="H62" s="677"/>
      <c r="I62" s="677"/>
      <c r="J62" s="677"/>
    </row>
    <row r="63" spans="1:10" ht="15.75" customHeight="1" x14ac:dyDescent="0.2">
      <c r="A63" s="144"/>
      <c r="B63" s="678" t="s">
        <v>0</v>
      </c>
      <c r="C63" s="679"/>
      <c r="D63" s="679"/>
      <c r="E63" s="678" t="s">
        <v>1</v>
      </c>
      <c r="F63" s="679"/>
      <c r="G63" s="680"/>
      <c r="H63" s="679" t="s">
        <v>2</v>
      </c>
      <c r="I63" s="679"/>
      <c r="J63" s="680"/>
    </row>
    <row r="64" spans="1:10" ht="15.75" customHeight="1" x14ac:dyDescent="0.2">
      <c r="A64" s="140"/>
      <c r="B64" s="20" t="s">
        <v>416</v>
      </c>
      <c r="C64" s="20" t="s">
        <v>417</v>
      </c>
      <c r="D64" s="19" t="s">
        <v>3</v>
      </c>
      <c r="E64" s="20" t="s">
        <v>416</v>
      </c>
      <c r="F64" s="20" t="s">
        <v>417</v>
      </c>
      <c r="G64" s="19" t="s">
        <v>3</v>
      </c>
      <c r="H64" s="20" t="s">
        <v>416</v>
      </c>
      <c r="I64" s="20" t="s">
        <v>417</v>
      </c>
      <c r="J64" s="19" t="s">
        <v>3</v>
      </c>
    </row>
    <row r="65" spans="1:10" ht="15.75" customHeight="1" x14ac:dyDescent="0.2">
      <c r="A65" s="650"/>
      <c r="B65" s="15"/>
      <c r="C65" s="15"/>
      <c r="D65" s="17" t="s">
        <v>4</v>
      </c>
      <c r="E65" s="16"/>
      <c r="F65" s="16"/>
      <c r="G65" s="15" t="s">
        <v>4</v>
      </c>
      <c r="H65" s="16"/>
      <c r="I65" s="16"/>
      <c r="J65" s="15" t="s">
        <v>4</v>
      </c>
    </row>
    <row r="66" spans="1:10" s="43" customFormat="1" ht="15.75" customHeight="1" x14ac:dyDescent="0.2">
      <c r="A66" s="14" t="s">
        <v>23</v>
      </c>
      <c r="B66" s="321">
        <f>'Danica Pensjonsforsikring'!B66+'DNB Livsforsikring'!B66+'Eika Forsikring AS'!B66+'Frende Livsforsikring'!B66+'Frende Skadeforsikring'!B66+'Gjensidige Forsikring'!B66+'Gjensidige Pensjon'!B66+'Handelsbanken Liv'!B66+'If Skadeforsikring NUF'!B66+KLP!B66+'KLP Bedriftspensjon AS'!B66+'KLP Skadeforsikring AS'!B66+'Landkreditt Forsikring'!B66+'NEMI Forsikring'!B66+'Nordea Liv '!B66+'Oslo Pensjonsforsikring'!B66+'Protector Forsikring'!B66+'SHB Liv'!B66+'Sparebank 1'!B66+'Storebrand Livsforsikring'!B66+'Telenor Forsikring'!B66+'Tryg Forsikring'!B66</f>
        <v>3759362.3480099998</v>
      </c>
      <c r="C66" s="321">
        <f>'Danica Pensjonsforsikring'!C66+'DNB Livsforsikring'!C66+'Eika Forsikring AS'!C66+'Frende Livsforsikring'!C66+'Frende Skadeforsikring'!C66+'Gjensidige Forsikring'!C66+'Gjensidige Pensjon'!C66+'Handelsbanken Liv'!C66+'If Skadeforsikring NUF'!C66+KLP!C66+'KLP Bedriftspensjon AS'!C66+'KLP Skadeforsikring AS'!C66+'Landkreditt Forsikring'!C66+'NEMI Forsikring'!C66+'Nordea Liv '!C66+'Oslo Pensjonsforsikring'!C66+'Protector Forsikring'!C66+'SHB Liv'!C66+'Sparebank 1'!C66+'Storebrand Livsforsikring'!C66+'Telenor Forsikring'!C66+'Tryg Forsikring'!C66</f>
        <v>3513095.71282</v>
      </c>
      <c r="D66" s="24">
        <f t="shared" ref="D66:D111" si="23">IF(B66=0, "    ---- ", IF(ABS(ROUND(100/B66*C66-100,1))&lt;999,ROUND(100/B66*C66-100,1),IF(ROUND(100/B66*C66-100,1)&gt;999,999,-999)))</f>
        <v>-6.6</v>
      </c>
      <c r="E66" s="232">
        <f>'Danica Pensjonsforsikring'!F66+'DNB Livsforsikring'!F66+'Eika Forsikring AS'!F66+'Frende Livsforsikring'!F66+'Frende Skadeforsikring'!F66+'Gjensidige Forsikring'!F66+'Gjensidige Pensjon'!F66+'Handelsbanken Liv'!F66+'If Skadeforsikring NUF'!F66+KLP!F66+'KLP Bedriftspensjon AS'!F66+'KLP Skadeforsikring AS'!F66+'Landkreditt Forsikring'!F66+'NEMI Forsikring'!F66+'Nordea Liv '!F66+'Oslo Pensjonsforsikring'!F66+'Protector Forsikring'!F66+'SHB Liv'!F66+'Sparebank 1'!F66+'Storebrand Livsforsikring'!F66+'Telenor Forsikring'!F66+'Tryg Forsikring'!F66</f>
        <v>6910767.8474599998</v>
      </c>
      <c r="F66" s="232">
        <f>'Danica Pensjonsforsikring'!G66+'DNB Livsforsikring'!G66+'Eika Forsikring AS'!G66+'Frende Livsforsikring'!G66+'Frende Skadeforsikring'!G66+'Gjensidige Forsikring'!G66+'Gjensidige Pensjon'!G66+'Handelsbanken Liv'!G66+'If Skadeforsikring NUF'!G66+KLP!G66+'KLP Bedriftspensjon AS'!G66+'KLP Skadeforsikring AS'!G66+'Landkreditt Forsikring'!G66+'NEMI Forsikring'!G66+'Nordea Liv '!G66+'Oslo Pensjonsforsikring'!G66+'Protector Forsikring'!G66+'SHB Liv'!G66+'Sparebank 1'!G66+'Storebrand Livsforsikring'!G66+'Telenor Forsikring'!G66+'Tryg Forsikring'!G66</f>
        <v>7886810.06164</v>
      </c>
      <c r="G66" s="171">
        <f t="shared" ref="G66:G125" si="24">IF(E66=0, "    ---- ", IF(ABS(ROUND(100/E66*F66-100,1))&lt;999,ROUND(100/E66*F66-100,1),IF(ROUND(100/E66*F66-100,1)&gt;999,999,-999)))</f>
        <v>14.1</v>
      </c>
      <c r="H66" s="321">
        <f t="shared" ref="H66:H86" si="25">SUM(B66,E66)</f>
        <v>10670130.19547</v>
      </c>
      <c r="I66" s="321">
        <f t="shared" ref="I66:I86" si="26">SUM(C66,F66)</f>
        <v>11399905.774459999</v>
      </c>
      <c r="J66" s="24">
        <f t="shared" ref="J66:J111" si="27">IF(H66=0, "    ---- ", IF(ABS(ROUND(100/H66*I66-100,1))&lt;999,ROUND(100/H66*I66-100,1),IF(ROUND(100/H66*I66-100,1)&gt;999,999,-999)))</f>
        <v>6.8</v>
      </c>
    </row>
    <row r="67" spans="1:10" ht="15.75" customHeight="1" x14ac:dyDescent="0.25">
      <c r="A67" s="21" t="s">
        <v>9</v>
      </c>
      <c r="B67" s="230">
        <f>'Danica Pensjonsforsikring'!B67+'DNB Livsforsikring'!B67+'Eika Forsikring AS'!B67+'Frende Livsforsikring'!B67+'Frende Skadeforsikring'!B67+'Gjensidige Forsikring'!B67+'Gjensidige Pensjon'!B67+'Handelsbanken Liv'!B67+'If Skadeforsikring NUF'!B67+KLP!B67+'KLP Bedriftspensjon AS'!B67+'KLP Skadeforsikring AS'!B67+'Landkreditt Forsikring'!B67+'NEMI Forsikring'!B67+'Nordea Liv '!B67+'Oslo Pensjonsforsikring'!B67+'Protector Forsikring'!B67+'SHB Liv'!B67+'Sparebank 1'!B67+'Storebrand Livsforsikring'!B67+'Telenor Forsikring'!B67+'Tryg Forsikring'!B67</f>
        <v>3163686.3964599995</v>
      </c>
      <c r="C67" s="230">
        <f>'Danica Pensjonsforsikring'!C67+'DNB Livsforsikring'!C67+'Eika Forsikring AS'!C67+'Frende Livsforsikring'!C67+'Frende Skadeforsikring'!C67+'Gjensidige Forsikring'!C67+'Gjensidige Pensjon'!C67+'Handelsbanken Liv'!C67+'If Skadeforsikring NUF'!C67+KLP!C67+'KLP Bedriftspensjon AS'!C67+'KLP Skadeforsikring AS'!C67+'Landkreditt Forsikring'!C67+'NEMI Forsikring'!C67+'Nordea Liv '!C67+'Oslo Pensjonsforsikring'!C67+'Protector Forsikring'!C67+'SHB Liv'!C67+'Sparebank 1'!C67+'Storebrand Livsforsikring'!C67+'Telenor Forsikring'!C67+'Tryg Forsikring'!C67</f>
        <v>2827902.7933400003</v>
      </c>
      <c r="D67" s="237">
        <f t="shared" si="23"/>
        <v>-10.6</v>
      </c>
      <c r="E67" s="44">
        <f>'Danica Pensjonsforsikring'!F67+'DNB Livsforsikring'!F67+'Eika Forsikring AS'!F67+'Frende Livsforsikring'!F67+'Frende Skadeforsikring'!F67+'Gjensidige Forsikring'!F67+'Gjensidige Pensjon'!F67+'Handelsbanken Liv'!F67+'If Skadeforsikring NUF'!F67+KLP!F67+'KLP Bedriftspensjon AS'!F67+'KLP Skadeforsikring AS'!F67+'Landkreditt Forsikring'!F67+'NEMI Forsikring'!F67+'Nordea Liv '!F67+'Oslo Pensjonsforsikring'!F67+'Protector Forsikring'!F67+'SHB Liv'!F67+'Sparebank 1'!F67+'Storebrand Livsforsikring'!F67+'Telenor Forsikring'!F67+'Tryg Forsikring'!F67</f>
        <v>0</v>
      </c>
      <c r="F67" s="44">
        <f>'Danica Pensjonsforsikring'!G67+'DNB Livsforsikring'!G67+'Eika Forsikring AS'!G67+'Frende Livsforsikring'!G67+'Frende Skadeforsikring'!G67+'Gjensidige Forsikring'!G67+'Gjensidige Pensjon'!G67+'Handelsbanken Liv'!G67+'If Skadeforsikring NUF'!G67+KLP!G67+'KLP Bedriftspensjon AS'!G67+'KLP Skadeforsikring AS'!G67+'Landkreditt Forsikring'!G67+'NEMI Forsikring'!G67+'Nordea Liv '!G67+'Oslo Pensjonsforsikring'!G67+'Protector Forsikring'!G67+'SHB Liv'!G67+'Sparebank 1'!G67+'Storebrand Livsforsikring'!G67+'Telenor Forsikring'!G67+'Tryg Forsikring'!G67</f>
        <v>0</v>
      </c>
      <c r="G67" s="166"/>
      <c r="H67" s="233">
        <f t="shared" si="25"/>
        <v>3163686.3964599995</v>
      </c>
      <c r="I67" s="233">
        <f t="shared" si="26"/>
        <v>2827902.7933400003</v>
      </c>
      <c r="J67" s="23">
        <f t="shared" si="27"/>
        <v>-10.6</v>
      </c>
    </row>
    <row r="68" spans="1:10" ht="15.75" customHeight="1" x14ac:dyDescent="0.25">
      <c r="A68" s="21" t="s">
        <v>10</v>
      </c>
      <c r="B68" s="230">
        <f>'Danica Pensjonsforsikring'!B68+'DNB Livsforsikring'!B68+'Eika Forsikring AS'!B68+'Frende Livsforsikring'!B68+'Frende Skadeforsikring'!B68+'Gjensidige Forsikring'!B68+'Gjensidige Pensjon'!B68+'Handelsbanken Liv'!B68+'If Skadeforsikring NUF'!B68+KLP!B68+'KLP Bedriftspensjon AS'!B68+'KLP Skadeforsikring AS'!B68+'Landkreditt Forsikring'!B68+'NEMI Forsikring'!B68+'Nordea Liv '!B68+'Oslo Pensjonsforsikring'!B68+'Protector Forsikring'!B68+'SHB Liv'!B68+'Sparebank 1'!B68+'Storebrand Livsforsikring'!B68+'Telenor Forsikring'!B68+'Tryg Forsikring'!B68</f>
        <v>93203.550610000006</v>
      </c>
      <c r="C68" s="230">
        <f>'Danica Pensjonsforsikring'!C68+'DNB Livsforsikring'!C68+'Eika Forsikring AS'!C68+'Frende Livsforsikring'!C68+'Frende Skadeforsikring'!C68+'Gjensidige Forsikring'!C68+'Gjensidige Pensjon'!C68+'Handelsbanken Liv'!C68+'If Skadeforsikring NUF'!C68+KLP!C68+'KLP Bedriftspensjon AS'!C68+'KLP Skadeforsikring AS'!C68+'Landkreditt Forsikring'!C68+'NEMI Forsikring'!C68+'Nordea Liv '!C68+'Oslo Pensjonsforsikring'!C68+'Protector Forsikring'!C68+'SHB Liv'!C68+'Sparebank 1'!C68+'Storebrand Livsforsikring'!C68+'Telenor Forsikring'!C68+'Tryg Forsikring'!C68</f>
        <v>97026.137539999996</v>
      </c>
      <c r="D68" s="237">
        <f t="shared" si="23"/>
        <v>4.0999999999999996</v>
      </c>
      <c r="E68" s="44">
        <f>'Danica Pensjonsforsikring'!F68+'DNB Livsforsikring'!F68+'Eika Forsikring AS'!F68+'Frende Livsforsikring'!F68+'Frende Skadeforsikring'!F68+'Gjensidige Forsikring'!F68+'Gjensidige Pensjon'!F68+'Handelsbanken Liv'!F68+'If Skadeforsikring NUF'!F68+KLP!F68+'KLP Bedriftspensjon AS'!F68+'KLP Skadeforsikring AS'!F68+'Landkreditt Forsikring'!F68+'NEMI Forsikring'!F68+'Nordea Liv '!F68+'Oslo Pensjonsforsikring'!F68+'Protector Forsikring'!F68+'SHB Liv'!F68+'Sparebank 1'!F68+'Storebrand Livsforsikring'!F68+'Telenor Forsikring'!F68+'Tryg Forsikring'!F68</f>
        <v>6810945.3706999999</v>
      </c>
      <c r="F68" s="44">
        <f>'Danica Pensjonsforsikring'!G68+'DNB Livsforsikring'!G68+'Eika Forsikring AS'!G68+'Frende Livsforsikring'!G68+'Frende Skadeforsikring'!G68+'Gjensidige Forsikring'!G68+'Gjensidige Pensjon'!G68+'Handelsbanken Liv'!G68+'If Skadeforsikring NUF'!G68+KLP!G68+'KLP Bedriftspensjon AS'!G68+'KLP Skadeforsikring AS'!G68+'Landkreditt Forsikring'!G68+'NEMI Forsikring'!G68+'Nordea Liv '!G68+'Oslo Pensjonsforsikring'!G68+'Protector Forsikring'!G68+'SHB Liv'!G68+'Sparebank 1'!G68+'Storebrand Livsforsikring'!G68+'Telenor Forsikring'!G68+'Tryg Forsikring'!G68</f>
        <v>7783934.2037599999</v>
      </c>
      <c r="G68" s="166">
        <f t="shared" si="24"/>
        <v>14.3</v>
      </c>
      <c r="H68" s="233">
        <f t="shared" si="25"/>
        <v>6904148.9213100001</v>
      </c>
      <c r="I68" s="233">
        <f t="shared" si="26"/>
        <v>7880960.3412999995</v>
      </c>
      <c r="J68" s="23">
        <f t="shared" si="27"/>
        <v>14.1</v>
      </c>
    </row>
    <row r="69" spans="1:10" ht="15.75" customHeight="1" x14ac:dyDescent="0.2">
      <c r="A69" s="288" t="s">
        <v>386</v>
      </c>
      <c r="B69" s="231"/>
      <c r="C69" s="231"/>
      <c r="D69" s="27"/>
      <c r="E69" s="231"/>
      <c r="F69" s="231"/>
      <c r="G69" s="166"/>
      <c r="H69" s="231"/>
      <c r="I69" s="231"/>
      <c r="J69" s="23"/>
    </row>
    <row r="70" spans="1:10" ht="15.75" customHeight="1" x14ac:dyDescent="0.2">
      <c r="A70" s="288" t="s">
        <v>12</v>
      </c>
      <c r="B70" s="231"/>
      <c r="C70" s="231"/>
      <c r="D70" s="27"/>
      <c r="E70" s="231"/>
      <c r="F70" s="231"/>
      <c r="G70" s="166"/>
      <c r="H70" s="231"/>
      <c r="I70" s="231"/>
      <c r="J70" s="23"/>
    </row>
    <row r="71" spans="1:10" ht="15.75" customHeight="1" x14ac:dyDescent="0.2">
      <c r="A71" s="288" t="s">
        <v>13</v>
      </c>
      <c r="B71" s="231"/>
      <c r="C71" s="231"/>
      <c r="D71" s="27"/>
      <c r="E71" s="231"/>
      <c r="F71" s="231"/>
      <c r="G71" s="166"/>
      <c r="H71" s="231"/>
      <c r="I71" s="231"/>
      <c r="J71" s="23"/>
    </row>
    <row r="72" spans="1:10" ht="15.75" customHeight="1" x14ac:dyDescent="0.2">
      <c r="A72" s="288" t="s">
        <v>387</v>
      </c>
      <c r="B72" s="231"/>
      <c r="C72" s="231"/>
      <c r="D72" s="27"/>
      <c r="E72" s="231"/>
      <c r="F72" s="231"/>
      <c r="G72" s="166"/>
      <c r="H72" s="231"/>
      <c r="I72" s="231"/>
      <c r="J72" s="24"/>
    </row>
    <row r="73" spans="1:10" ht="15.75" customHeight="1" x14ac:dyDescent="0.2">
      <c r="A73" s="288" t="s">
        <v>12</v>
      </c>
      <c r="B73" s="231"/>
      <c r="C73" s="231"/>
      <c r="D73" s="27"/>
      <c r="E73" s="231"/>
      <c r="F73" s="231"/>
      <c r="G73" s="166"/>
      <c r="H73" s="231"/>
      <c r="I73" s="231"/>
      <c r="J73" s="23"/>
    </row>
    <row r="74" spans="1:10" s="3" customFormat="1" ht="15.75" customHeight="1" x14ac:dyDescent="0.2">
      <c r="A74" s="288" t="s">
        <v>13</v>
      </c>
      <c r="B74" s="231"/>
      <c r="C74" s="231"/>
      <c r="D74" s="27"/>
      <c r="E74" s="231"/>
      <c r="F74" s="231"/>
      <c r="G74" s="166"/>
      <c r="H74" s="231"/>
      <c r="I74" s="231"/>
      <c r="J74" s="23"/>
    </row>
    <row r="75" spans="1:10" s="3" customFormat="1" ht="15.75" customHeight="1" x14ac:dyDescent="0.2">
      <c r="A75" s="21" t="s">
        <v>356</v>
      </c>
      <c r="B75" s="44">
        <f>'Danica Pensjonsforsikring'!B75+'DNB Livsforsikring'!B75+'Eika Forsikring AS'!B75+'Frende Livsforsikring'!B75+'Frende Skadeforsikring'!B75+'Gjensidige Forsikring'!B75+'Gjensidige Pensjon'!B75+'Handelsbanken Liv'!B75+'If Skadeforsikring NUF'!B75+KLP!B75+'KLP Bedriftspensjon AS'!B75+'KLP Skadeforsikring AS'!B75+'Landkreditt Forsikring'!B75+'NEMI Forsikring'!B75+'Nordea Liv '!B75+'Oslo Pensjonsforsikring'!B75+'Protector Forsikring'!B75+'SHB Liv'!B75+'Sparebank 1'!B75+'Storebrand Livsforsikring'!B75+'Telenor Forsikring'!B75+'Tryg Forsikring'!B75</f>
        <v>95014.286940000005</v>
      </c>
      <c r="C75" s="44">
        <f>'Danica Pensjonsforsikring'!C75+'DNB Livsforsikring'!C75+'Eika Forsikring AS'!C75+'Frende Livsforsikring'!C75+'Frende Skadeforsikring'!C75+'Gjensidige Forsikring'!C75+'Gjensidige Pensjon'!C75+'Handelsbanken Liv'!C75+'If Skadeforsikring NUF'!C75+KLP!C75+'KLP Bedriftspensjon AS'!C75+'KLP Skadeforsikring AS'!C75+'Landkreditt Forsikring'!C75+'NEMI Forsikring'!C75+'Nordea Liv '!C75+'Oslo Pensjonsforsikring'!C75+'Protector Forsikring'!C75+'SHB Liv'!C75+'Sparebank 1'!C75+'Storebrand Livsforsikring'!C75+'Telenor Forsikring'!C75+'Tryg Forsikring'!C75</f>
        <v>114321.28322000001</v>
      </c>
      <c r="D75" s="23">
        <f t="shared" si="23"/>
        <v>20.3</v>
      </c>
      <c r="E75" s="44">
        <f>'Danica Pensjonsforsikring'!F75+'DNB Livsforsikring'!F75+'Eika Forsikring AS'!F75+'Frende Livsforsikring'!F75+'Frende Skadeforsikring'!F75+'Gjensidige Forsikring'!F75+'Gjensidige Pensjon'!F75+'Handelsbanken Liv'!F75+'If Skadeforsikring NUF'!F75+KLP!F75+'KLP Bedriftspensjon AS'!F75+'KLP Skadeforsikring AS'!F75+'Landkreditt Forsikring'!F75+'NEMI Forsikring'!F75+'Nordea Liv '!F75+'Oslo Pensjonsforsikring'!F75+'Protector Forsikring'!F75+'SHB Liv'!F75+'Sparebank 1'!F75+'Storebrand Livsforsikring'!F75+'Telenor Forsikring'!F75+'Tryg Forsikring'!F75</f>
        <v>99822.47675999999</v>
      </c>
      <c r="F75" s="44">
        <f>'Danica Pensjonsforsikring'!G75+'DNB Livsforsikring'!G75+'Eika Forsikring AS'!G75+'Frende Livsforsikring'!G75+'Frende Skadeforsikring'!G75+'Gjensidige Forsikring'!G75+'Gjensidige Pensjon'!G75+'Handelsbanken Liv'!G75+'If Skadeforsikring NUF'!G75+KLP!G75+'KLP Bedriftspensjon AS'!G75+'KLP Skadeforsikring AS'!G75+'Landkreditt Forsikring'!G75+'NEMI Forsikring'!G75+'Nordea Liv '!G75+'Oslo Pensjonsforsikring'!G75+'Protector Forsikring'!G75+'SHB Liv'!G75+'Sparebank 1'!G75+'Storebrand Livsforsikring'!G75+'Telenor Forsikring'!G75+'Tryg Forsikring'!G75</f>
        <v>102875.85788</v>
      </c>
      <c r="G75" s="166">
        <f t="shared" si="24"/>
        <v>3.1</v>
      </c>
      <c r="H75" s="233">
        <f t="shared" si="25"/>
        <v>194836.76370000001</v>
      </c>
      <c r="I75" s="233">
        <f t="shared" si="26"/>
        <v>217197.14110000001</v>
      </c>
      <c r="J75" s="23">
        <f t="shared" si="27"/>
        <v>11.5</v>
      </c>
    </row>
    <row r="76" spans="1:10" s="3" customFormat="1" ht="15.75" customHeight="1" x14ac:dyDescent="0.2">
      <c r="A76" s="21" t="s">
        <v>355</v>
      </c>
      <c r="B76" s="44">
        <f>'Danica Pensjonsforsikring'!B76+'DNB Livsforsikring'!B76+'Eika Forsikring AS'!B76+'Frende Livsforsikring'!B76+'Frende Skadeforsikring'!B76+'Gjensidige Forsikring'!B76+'Gjensidige Pensjon'!B76+'Handelsbanken Liv'!B76+'If Skadeforsikring NUF'!B76+KLP!B76+'KLP Bedriftspensjon AS'!B76+'KLP Skadeforsikring AS'!B76+'Landkreditt Forsikring'!B76+'NEMI Forsikring'!B76+'Nordea Liv '!B76+'Oslo Pensjonsforsikring'!B76+'Protector Forsikring'!B76+'SHB Liv'!B76+'Sparebank 1'!B76+'Storebrand Livsforsikring'!B76+'Telenor Forsikring'!B76+'Tryg Forsikring'!B76</f>
        <v>407458.114</v>
      </c>
      <c r="C76" s="44">
        <f>'Danica Pensjonsforsikring'!C76+'DNB Livsforsikring'!C76+'Eika Forsikring AS'!C76+'Frende Livsforsikring'!C76+'Frende Skadeforsikring'!C76+'Gjensidige Forsikring'!C76+'Gjensidige Pensjon'!C76+'Handelsbanken Liv'!C76+'If Skadeforsikring NUF'!C76+KLP!C76+'KLP Bedriftspensjon AS'!C76+'KLP Skadeforsikring AS'!C76+'Landkreditt Forsikring'!C76+'NEMI Forsikring'!C76+'Nordea Liv '!C76+'Oslo Pensjonsforsikring'!C76+'Protector Forsikring'!C76+'SHB Liv'!C76+'Sparebank 1'!C76+'Storebrand Livsforsikring'!C76+'Telenor Forsikring'!C76+'Tryg Forsikring'!C76</f>
        <v>473845.49871999997</v>
      </c>
      <c r="D76" s="23">
        <f t="shared" ref="D76" si="28">IF(B76=0, "    ---- ", IF(ABS(ROUND(100/B76*C76-100,1))&lt;999,ROUND(100/B76*C76-100,1),IF(ROUND(100/B76*C76-100,1)&gt;999,999,-999)))</f>
        <v>16.3</v>
      </c>
      <c r="E76" s="44">
        <f>'Danica Pensjonsforsikring'!F76+'DNB Livsforsikring'!F76+'Eika Forsikring AS'!F76+'Frende Livsforsikring'!F76+'Frende Skadeforsikring'!F76+'Gjensidige Forsikring'!F76+'Gjensidige Pensjon'!F76+'Handelsbanken Liv'!F76+'If Skadeforsikring NUF'!F76+KLP!F76+'KLP Bedriftspensjon AS'!F76+'KLP Skadeforsikring AS'!F76+'Landkreditt Forsikring'!F76+'NEMI Forsikring'!F76+'Nordea Liv '!F76+'Oslo Pensjonsforsikring'!F76+'Protector Forsikring'!F76+'SHB Liv'!F76+'Sparebank 1'!F76+'Storebrand Livsforsikring'!F76+'Telenor Forsikring'!F76+'Tryg Forsikring'!F76</f>
        <v>0</v>
      </c>
      <c r="F76" s="44">
        <f>'Danica Pensjonsforsikring'!G76+'DNB Livsforsikring'!G76+'Eika Forsikring AS'!G76+'Frende Livsforsikring'!G76+'Frende Skadeforsikring'!G76+'Gjensidige Forsikring'!G76+'Gjensidige Pensjon'!G76+'Handelsbanken Liv'!G76+'If Skadeforsikring NUF'!G76+KLP!G76+'KLP Bedriftspensjon AS'!G76+'KLP Skadeforsikring AS'!G76+'Landkreditt Forsikring'!G76+'NEMI Forsikring'!G76+'Nordea Liv '!G76+'Oslo Pensjonsforsikring'!G76+'Protector Forsikring'!G76+'SHB Liv'!G76+'Sparebank 1'!G76+'Storebrand Livsforsikring'!G76+'Telenor Forsikring'!G76+'Tryg Forsikring'!G76</f>
        <v>0</v>
      </c>
      <c r="G76" s="166"/>
      <c r="H76" s="233">
        <f t="shared" ref="H76" si="29">SUM(B76,E76)</f>
        <v>407458.114</v>
      </c>
      <c r="I76" s="233">
        <f t="shared" ref="I76" si="30">SUM(C76,F76)</f>
        <v>473845.49871999997</v>
      </c>
      <c r="J76" s="23">
        <f t="shared" ref="J76" si="31">IF(H76=0, "    ---- ", IF(ABS(ROUND(100/H76*I76-100,1))&lt;999,ROUND(100/H76*I76-100,1),IF(ROUND(100/H76*I76-100,1)&gt;999,999,-999)))</f>
        <v>16.3</v>
      </c>
    </row>
    <row r="77" spans="1:10" ht="15.75" customHeight="1" x14ac:dyDescent="0.2">
      <c r="A77" s="21" t="s">
        <v>388</v>
      </c>
      <c r="B77" s="44">
        <f>'Danica Pensjonsforsikring'!B77+'DNB Livsforsikring'!B77+'Eika Forsikring AS'!B77+'Frende Livsforsikring'!B77+'Frende Skadeforsikring'!B77+'Gjensidige Forsikring'!B77+'Gjensidige Pensjon'!B77+'Handelsbanken Liv'!B77+'If Skadeforsikring NUF'!B77+KLP!B77+'KLP Bedriftspensjon AS'!B77+'KLP Skadeforsikring AS'!B77+'Landkreditt Forsikring'!B77+'NEMI Forsikring'!B77+'Nordea Liv '!B77+'Oslo Pensjonsforsikring'!B77+'Protector Forsikring'!B77+'SHB Liv'!B77+'Sparebank 1'!B77+'Storebrand Livsforsikring'!B77+'Telenor Forsikring'!B77+'Tryg Forsikring'!B77</f>
        <v>3121962.3270700001</v>
      </c>
      <c r="C77" s="44">
        <f>'Danica Pensjonsforsikring'!C77+'DNB Livsforsikring'!C77+'Eika Forsikring AS'!C77+'Frende Livsforsikring'!C77+'Frende Skadeforsikring'!C77+'Gjensidige Forsikring'!C77+'Gjensidige Pensjon'!C77+'Handelsbanken Liv'!C77+'If Skadeforsikring NUF'!C77+KLP!C77+'KLP Bedriftspensjon AS'!C77+'KLP Skadeforsikring AS'!C77+'Landkreditt Forsikring'!C77+'NEMI Forsikring'!C77+'Nordea Liv '!C77+'Oslo Pensjonsforsikring'!C77+'Protector Forsikring'!C77+'SHB Liv'!C77+'Sparebank 1'!C77+'Storebrand Livsforsikring'!C77+'Telenor Forsikring'!C77+'Tryg Forsikring'!C77</f>
        <v>2866795.6518800003</v>
      </c>
      <c r="D77" s="23">
        <f t="shared" si="23"/>
        <v>-8.1999999999999993</v>
      </c>
      <c r="E77" s="44">
        <f>'Danica Pensjonsforsikring'!F77+'DNB Livsforsikring'!F77+'Eika Forsikring AS'!F77+'Frende Livsforsikring'!F77+'Frende Skadeforsikring'!F77+'Gjensidige Forsikring'!F77+'Gjensidige Pensjon'!F77+'Handelsbanken Liv'!F77+'If Skadeforsikring NUF'!F77+KLP!F77+'KLP Bedriftspensjon AS'!F77+'KLP Skadeforsikring AS'!F77+'Landkreditt Forsikring'!F77+'NEMI Forsikring'!F77+'Nordea Liv '!F77+'Oslo Pensjonsforsikring'!F77+'Protector Forsikring'!F77+'SHB Liv'!F77+'Sparebank 1'!F77+'Storebrand Livsforsikring'!F77+'Telenor Forsikring'!F77+'Tryg Forsikring'!F77</f>
        <v>6807347.8117200006</v>
      </c>
      <c r="F77" s="44">
        <f>'Danica Pensjonsforsikring'!G77+'DNB Livsforsikring'!G77+'Eika Forsikring AS'!G77+'Frende Livsforsikring'!G77+'Frende Skadeforsikring'!G77+'Gjensidige Forsikring'!G77+'Gjensidige Pensjon'!G77+'Handelsbanken Liv'!G77+'If Skadeforsikring NUF'!G77+KLP!G77+'KLP Bedriftspensjon AS'!G77+'KLP Skadeforsikring AS'!G77+'Landkreditt Forsikring'!G77+'NEMI Forsikring'!G77+'Nordea Liv '!G77+'Oslo Pensjonsforsikring'!G77+'Protector Forsikring'!G77+'SHB Liv'!G77+'Sparebank 1'!G77+'Storebrand Livsforsikring'!G77+'Telenor Forsikring'!G77+'Tryg Forsikring'!G77</f>
        <v>7780455.4108000007</v>
      </c>
      <c r="G77" s="166">
        <f t="shared" si="24"/>
        <v>14.3</v>
      </c>
      <c r="H77" s="233">
        <f t="shared" si="25"/>
        <v>9929310.1387900002</v>
      </c>
      <c r="I77" s="233">
        <f t="shared" si="26"/>
        <v>10647251.06268</v>
      </c>
      <c r="J77" s="23">
        <f t="shared" si="27"/>
        <v>7.2</v>
      </c>
    </row>
    <row r="78" spans="1:10" ht="15.75" customHeight="1" x14ac:dyDescent="0.2">
      <c r="A78" s="21" t="s">
        <v>9</v>
      </c>
      <c r="B78" s="44">
        <f>'Danica Pensjonsforsikring'!B78+'DNB Livsforsikring'!B78+'Eika Forsikring AS'!B78+'Frende Livsforsikring'!B78+'Frende Skadeforsikring'!B78+'Gjensidige Forsikring'!B78+'Gjensidige Pensjon'!B78+'Handelsbanken Liv'!B78+'If Skadeforsikring NUF'!B78+KLP!B78+'KLP Bedriftspensjon AS'!B78+'KLP Skadeforsikring AS'!B78+'Landkreditt Forsikring'!B78+'NEMI Forsikring'!B78+'Nordea Liv '!B78+'Oslo Pensjonsforsikring'!B78+'Protector Forsikring'!B78+'SHB Liv'!B78+'Sparebank 1'!B78+'Storebrand Livsforsikring'!B78+'Telenor Forsikring'!B78+'Tryg Forsikring'!B78</f>
        <v>3030165.7864600001</v>
      </c>
      <c r="C78" s="44">
        <f>'Danica Pensjonsforsikring'!C78+'DNB Livsforsikring'!C78+'Eika Forsikring AS'!C78+'Frende Livsforsikring'!C78+'Frende Skadeforsikring'!C78+'Gjensidige Forsikring'!C78+'Gjensidige Pensjon'!C78+'Handelsbanken Liv'!C78+'If Skadeforsikring NUF'!C78+KLP!C78+'KLP Bedriftspensjon AS'!C78+'KLP Skadeforsikring AS'!C78+'Landkreditt Forsikring'!C78+'NEMI Forsikring'!C78+'Nordea Liv '!C78+'Oslo Pensjonsforsikring'!C78+'Protector Forsikring'!C78+'SHB Liv'!C78+'Sparebank 1'!C78+'Storebrand Livsforsikring'!C78+'Telenor Forsikring'!C78+'Tryg Forsikring'!C78</f>
        <v>2771062.47334</v>
      </c>
      <c r="D78" s="23">
        <f t="shared" si="23"/>
        <v>-8.6</v>
      </c>
      <c r="E78" s="44">
        <f>'Danica Pensjonsforsikring'!F78+'DNB Livsforsikring'!F78+'Eika Forsikring AS'!F78+'Frende Livsforsikring'!F78+'Frende Skadeforsikring'!F78+'Gjensidige Forsikring'!F78+'Gjensidige Pensjon'!F78+'Handelsbanken Liv'!F78+'If Skadeforsikring NUF'!F78+KLP!F78+'KLP Bedriftspensjon AS'!F78+'KLP Skadeforsikring AS'!F78+'Landkreditt Forsikring'!F78+'NEMI Forsikring'!F78+'Nordea Liv '!F78+'Oslo Pensjonsforsikring'!F78+'Protector Forsikring'!F78+'SHB Liv'!F78+'Sparebank 1'!F78+'Storebrand Livsforsikring'!F78+'Telenor Forsikring'!F78+'Tryg Forsikring'!F78</f>
        <v>0</v>
      </c>
      <c r="F78" s="44">
        <f>'Danica Pensjonsforsikring'!G78+'DNB Livsforsikring'!G78+'Eika Forsikring AS'!G78+'Frende Livsforsikring'!G78+'Frende Skadeforsikring'!G78+'Gjensidige Forsikring'!G78+'Gjensidige Pensjon'!G78+'Handelsbanken Liv'!G78+'If Skadeforsikring NUF'!G78+KLP!G78+'KLP Bedriftspensjon AS'!G78+'KLP Skadeforsikring AS'!G78+'Landkreditt Forsikring'!G78+'NEMI Forsikring'!G78+'Nordea Liv '!G78+'Oslo Pensjonsforsikring'!G78+'Protector Forsikring'!G78+'SHB Liv'!G78+'Sparebank 1'!G78+'Storebrand Livsforsikring'!G78+'Telenor Forsikring'!G78+'Tryg Forsikring'!G78</f>
        <v>0</v>
      </c>
      <c r="G78" s="166"/>
      <c r="H78" s="233">
        <f t="shared" si="25"/>
        <v>3030165.7864600001</v>
      </c>
      <c r="I78" s="233">
        <f t="shared" si="26"/>
        <v>2771062.47334</v>
      </c>
      <c r="J78" s="23">
        <f t="shared" si="27"/>
        <v>-8.6</v>
      </c>
    </row>
    <row r="79" spans="1:10" ht="15.75" customHeight="1" x14ac:dyDescent="0.2">
      <c r="A79" s="21" t="s">
        <v>10</v>
      </c>
      <c r="B79" s="44">
        <f>'Danica Pensjonsforsikring'!B79+'DNB Livsforsikring'!B79+'Eika Forsikring AS'!B79+'Frende Livsforsikring'!B79+'Frende Skadeforsikring'!B79+'Gjensidige Forsikring'!B79+'Gjensidige Pensjon'!B79+'Handelsbanken Liv'!B79+'If Skadeforsikring NUF'!B79+KLP!B79+'KLP Bedriftspensjon AS'!B79+'KLP Skadeforsikring AS'!B79+'Landkreditt Forsikring'!B79+'NEMI Forsikring'!B79+'Nordea Liv '!B79+'Oslo Pensjonsforsikring'!B79+'Protector Forsikring'!B79+'SHB Liv'!B79+'Sparebank 1'!B79+'Storebrand Livsforsikring'!B79+'Telenor Forsikring'!B79+'Tryg Forsikring'!B79</f>
        <v>91796.540610000011</v>
      </c>
      <c r="C79" s="44">
        <f>'Danica Pensjonsforsikring'!C79+'DNB Livsforsikring'!C79+'Eika Forsikring AS'!C79+'Frende Livsforsikring'!C79+'Frende Skadeforsikring'!C79+'Gjensidige Forsikring'!C79+'Gjensidige Pensjon'!C79+'Handelsbanken Liv'!C79+'If Skadeforsikring NUF'!C79+KLP!C79+'KLP Bedriftspensjon AS'!C79+'KLP Skadeforsikring AS'!C79+'Landkreditt Forsikring'!C79+'NEMI Forsikring'!C79+'Nordea Liv '!C79+'Oslo Pensjonsforsikring'!C79+'Protector Forsikring'!C79+'SHB Liv'!C79+'Sparebank 1'!C79+'Storebrand Livsforsikring'!C79+'Telenor Forsikring'!C79+'Tryg Forsikring'!C79</f>
        <v>95733.178539999994</v>
      </c>
      <c r="D79" s="23">
        <f t="shared" si="23"/>
        <v>4.3</v>
      </c>
      <c r="E79" s="44">
        <f>'Danica Pensjonsforsikring'!F79+'DNB Livsforsikring'!F79+'Eika Forsikring AS'!F79+'Frende Livsforsikring'!F79+'Frende Skadeforsikring'!F79+'Gjensidige Forsikring'!F79+'Gjensidige Pensjon'!F79+'Handelsbanken Liv'!F79+'If Skadeforsikring NUF'!F79+KLP!F79+'KLP Bedriftspensjon AS'!F79+'KLP Skadeforsikring AS'!F79+'Landkreditt Forsikring'!F79+'NEMI Forsikring'!F79+'Nordea Liv '!F79+'Oslo Pensjonsforsikring'!F79+'Protector Forsikring'!F79+'SHB Liv'!F79+'Sparebank 1'!F79+'Storebrand Livsforsikring'!F79+'Telenor Forsikring'!F79+'Tryg Forsikring'!F79</f>
        <v>6807347.8117200006</v>
      </c>
      <c r="F79" s="44">
        <f>'Danica Pensjonsforsikring'!G79+'DNB Livsforsikring'!G79+'Eika Forsikring AS'!G79+'Frende Livsforsikring'!G79+'Frende Skadeforsikring'!G79+'Gjensidige Forsikring'!G79+'Gjensidige Pensjon'!G79+'Handelsbanken Liv'!G79+'If Skadeforsikring NUF'!G79+KLP!G79+'KLP Bedriftspensjon AS'!G79+'KLP Skadeforsikring AS'!G79+'Landkreditt Forsikring'!G79+'NEMI Forsikring'!G79+'Nordea Liv '!G79+'Oslo Pensjonsforsikring'!G79+'Protector Forsikring'!G79+'SHB Liv'!G79+'Sparebank 1'!G79+'Storebrand Livsforsikring'!G79+'Telenor Forsikring'!G79+'Tryg Forsikring'!G79</f>
        <v>7780455.4108000007</v>
      </c>
      <c r="G79" s="166">
        <f t="shared" si="24"/>
        <v>14.3</v>
      </c>
      <c r="H79" s="233">
        <f t="shared" si="25"/>
        <v>6899144.3523300001</v>
      </c>
      <c r="I79" s="233">
        <f t="shared" si="26"/>
        <v>7876188.5893400004</v>
      </c>
      <c r="J79" s="23">
        <f t="shared" si="27"/>
        <v>14.2</v>
      </c>
    </row>
    <row r="80" spans="1:10" ht="15.75" customHeight="1" x14ac:dyDescent="0.2">
      <c r="A80" s="288" t="s">
        <v>386</v>
      </c>
      <c r="B80" s="231"/>
      <c r="C80" s="231"/>
      <c r="D80" s="27"/>
      <c r="E80" s="231"/>
      <c r="F80" s="231"/>
      <c r="G80" s="166"/>
      <c r="H80" s="231"/>
      <c r="I80" s="231"/>
      <c r="J80" s="23"/>
    </row>
    <row r="81" spans="1:10" ht="15.75" customHeight="1" x14ac:dyDescent="0.2">
      <c r="A81" s="288" t="s">
        <v>12</v>
      </c>
      <c r="B81" s="231"/>
      <c r="C81" s="231"/>
      <c r="D81" s="27"/>
      <c r="E81" s="231"/>
      <c r="F81" s="231"/>
      <c r="G81" s="166"/>
      <c r="H81" s="231"/>
      <c r="I81" s="231"/>
      <c r="J81" s="23"/>
    </row>
    <row r="82" spans="1:10" ht="15.75" customHeight="1" x14ac:dyDescent="0.2">
      <c r="A82" s="288" t="s">
        <v>13</v>
      </c>
      <c r="B82" s="231"/>
      <c r="C82" s="231"/>
      <c r="D82" s="27"/>
      <c r="E82" s="231"/>
      <c r="F82" s="231"/>
      <c r="G82" s="166"/>
      <c r="H82" s="231"/>
      <c r="I82" s="231"/>
      <c r="J82" s="23"/>
    </row>
    <row r="83" spans="1:10" ht="15.75" customHeight="1" x14ac:dyDescent="0.2">
      <c r="A83" s="288" t="s">
        <v>387</v>
      </c>
      <c r="B83" s="231"/>
      <c r="C83" s="231"/>
      <c r="D83" s="27"/>
      <c r="E83" s="231"/>
      <c r="F83" s="231"/>
      <c r="G83" s="166"/>
      <c r="H83" s="231"/>
      <c r="I83" s="231"/>
      <c r="J83" s="24"/>
    </row>
    <row r="84" spans="1:10" ht="15.75" customHeight="1" x14ac:dyDescent="0.2">
      <c r="A84" s="288" t="s">
        <v>12</v>
      </c>
      <c r="B84" s="231"/>
      <c r="C84" s="231"/>
      <c r="D84" s="27"/>
      <c r="E84" s="231"/>
      <c r="F84" s="231"/>
      <c r="G84" s="166"/>
      <c r="H84" s="231"/>
      <c r="I84" s="231"/>
      <c r="J84" s="23"/>
    </row>
    <row r="85" spans="1:10" ht="15.75" customHeight="1" x14ac:dyDescent="0.2">
      <c r="A85" s="288" t="s">
        <v>13</v>
      </c>
      <c r="B85" s="231"/>
      <c r="C85" s="231"/>
      <c r="D85" s="27"/>
      <c r="E85" s="231"/>
      <c r="F85" s="231"/>
      <c r="G85" s="166"/>
      <c r="H85" s="231"/>
      <c r="I85" s="231"/>
      <c r="J85" s="23"/>
    </row>
    <row r="86" spans="1:10" ht="15.75" customHeight="1" x14ac:dyDescent="0.2">
      <c r="A86" s="21" t="s">
        <v>389</v>
      </c>
      <c r="B86" s="230">
        <f>'Danica Pensjonsforsikring'!B86+'DNB Livsforsikring'!B86+'Eika Forsikring AS'!B86+'Frende Livsforsikring'!B86+'Frende Skadeforsikring'!B86+'Gjensidige Forsikring'!B86+'Gjensidige Pensjon'!B86+'Handelsbanken Liv'!B86+'If Skadeforsikring NUF'!B86+KLP!B86+'KLP Bedriftspensjon AS'!B86+'KLP Skadeforsikring AS'!B86+'Landkreditt Forsikring'!B86+'NEMI Forsikring'!B86+'Nordea Liv '!B86+'Oslo Pensjonsforsikring'!B86+'Protector Forsikring'!B86+'SHB Liv'!B86+'Sparebank 1'!B86+'Storebrand Livsforsikring'!B86+'Telenor Forsikring'!B86+'Tryg Forsikring'!B86</f>
        <v>134927.62</v>
      </c>
      <c r="C86" s="230">
        <f>'Danica Pensjonsforsikring'!C86+'DNB Livsforsikring'!C86+'Eika Forsikring AS'!C86+'Frende Livsforsikring'!C86+'Frende Skadeforsikring'!C86+'Gjensidige Forsikring'!C86+'Gjensidige Pensjon'!C86+'Handelsbanken Liv'!C86+'If Skadeforsikring NUF'!C86+KLP!C86+'KLP Bedriftspensjon AS'!C86+'KLP Skadeforsikring AS'!C86+'Landkreditt Forsikring'!C86+'NEMI Forsikring'!C86+'Nordea Liv '!C86+'Oslo Pensjonsforsikring'!C86+'Protector Forsikring'!C86+'SHB Liv'!C86+'Sparebank 1'!C86+'Storebrand Livsforsikring'!C86+'Telenor Forsikring'!C86+'Tryg Forsikring'!C86</f>
        <v>58133.389000000003</v>
      </c>
      <c r="D86" s="23">
        <f t="shared" si="23"/>
        <v>-56.9</v>
      </c>
      <c r="E86" s="44">
        <f>'Danica Pensjonsforsikring'!F86+'DNB Livsforsikring'!F86+'Eika Forsikring AS'!F86+'Frende Livsforsikring'!F86+'Frende Skadeforsikring'!F86+'Gjensidige Forsikring'!F86+'Gjensidige Pensjon'!F86+'Handelsbanken Liv'!F86+'If Skadeforsikring NUF'!F86+KLP!F86+'KLP Bedriftspensjon AS'!F86+'KLP Skadeforsikring AS'!F86+'Landkreditt Forsikring'!F86+'NEMI Forsikring'!F86+'Nordea Liv '!F86+'Oslo Pensjonsforsikring'!F86+'Protector Forsikring'!F86+'SHB Liv'!F86+'Sparebank 1'!F86+'Storebrand Livsforsikring'!F86+'Telenor Forsikring'!F86+'Tryg Forsikring'!F86</f>
        <v>3597.5589799999998</v>
      </c>
      <c r="F86" s="44">
        <f>'Danica Pensjonsforsikring'!G86+'DNB Livsforsikring'!G86+'Eika Forsikring AS'!G86+'Frende Livsforsikring'!G86+'Frende Skadeforsikring'!G86+'Gjensidige Forsikring'!G86+'Gjensidige Pensjon'!G86+'Handelsbanken Liv'!G86+'If Skadeforsikring NUF'!G86+KLP!G86+'KLP Bedriftspensjon AS'!G86+'KLP Skadeforsikring AS'!G86+'Landkreditt Forsikring'!G86+'NEMI Forsikring'!G86+'Nordea Liv '!G86+'Oslo Pensjonsforsikring'!G86+'Protector Forsikring'!G86+'SHB Liv'!G86+'Sparebank 1'!G86+'Storebrand Livsforsikring'!G86+'Telenor Forsikring'!G86+'Tryg Forsikring'!G86</f>
        <v>3478.7929600000002</v>
      </c>
      <c r="G86" s="166">
        <f t="shared" si="24"/>
        <v>-3.3</v>
      </c>
      <c r="H86" s="233">
        <f t="shared" si="25"/>
        <v>138525.17898</v>
      </c>
      <c r="I86" s="233">
        <f t="shared" si="26"/>
        <v>61612.181960000002</v>
      </c>
      <c r="J86" s="23">
        <f t="shared" si="27"/>
        <v>-55.5</v>
      </c>
    </row>
    <row r="87" spans="1:10" s="43" customFormat="1" ht="15.75" customHeight="1" x14ac:dyDescent="0.2">
      <c r="A87" s="13" t="s">
        <v>371</v>
      </c>
      <c r="B87" s="300">
        <f>'Danica Pensjonsforsikring'!B87+'DNB Livsforsikring'!B87+'Eika Forsikring AS'!B87+'Frende Livsforsikring'!B87+'Frende Skadeforsikring'!B87+'Gjensidige Forsikring'!B87+'Gjensidige Pensjon'!B87+'Handelsbanken Liv'!B87+'If Skadeforsikring NUF'!B87+KLP!B87+'KLP Bedriftspensjon AS'!B87+'KLP Skadeforsikring AS'!B87+'Landkreditt Forsikring'!B87+'NEMI Forsikring'!B87+'Nordea Liv '!B87+'Oslo Pensjonsforsikring'!B87+'Protector Forsikring'!B87+'SHB Liv'!B87+'Sparebank 1'!B87+'Storebrand Livsforsikring'!B87+'Telenor Forsikring'!B87+'Tryg Forsikring'!B87</f>
        <v>384768921.84054166</v>
      </c>
      <c r="C87" s="300">
        <f>'Danica Pensjonsforsikring'!C87+'DNB Livsforsikring'!C87+'Eika Forsikring AS'!C87+'Frende Livsforsikring'!C87+'Frende Skadeforsikring'!C87+'Gjensidige Forsikring'!C87+'Gjensidige Pensjon'!C87+'Handelsbanken Liv'!C87+'If Skadeforsikring NUF'!C87+KLP!C87+'KLP Bedriftspensjon AS'!C87+'KLP Skadeforsikring AS'!C87+'Landkreditt Forsikring'!C87+'NEMI Forsikring'!C87+'Nordea Liv '!C87+'Oslo Pensjonsforsikring'!C87+'Protector Forsikring'!C87+'SHB Liv'!C87+'Sparebank 1'!C87+'Storebrand Livsforsikring'!C87+'Telenor Forsikring'!C87+'Tryg Forsikring'!C87</f>
        <v>388484395.42734998</v>
      </c>
      <c r="D87" s="24">
        <f t="shared" si="23"/>
        <v>1</v>
      </c>
      <c r="E87" s="232">
        <f>'Danica Pensjonsforsikring'!F87+'DNB Livsforsikring'!F87+'Eika Forsikring AS'!F87+'Frende Livsforsikring'!F87+'Frende Skadeforsikring'!F87+'Gjensidige Forsikring'!F87+'Gjensidige Pensjon'!F87+'Handelsbanken Liv'!F87+'If Skadeforsikring NUF'!F87+KLP!F87+'KLP Bedriftspensjon AS'!F87+'KLP Skadeforsikring AS'!F87+'Landkreditt Forsikring'!F87+'NEMI Forsikring'!F87+'Nordea Liv '!F87+'Oslo Pensjonsforsikring'!F87+'Protector Forsikring'!F87+'SHB Liv'!F87+'Sparebank 1'!F87+'Storebrand Livsforsikring'!F87+'Telenor Forsikring'!F87+'Tryg Forsikring'!F87</f>
        <v>234462731.14205161</v>
      </c>
      <c r="F87" s="232">
        <f>'Danica Pensjonsforsikring'!G87+'DNB Livsforsikring'!G87+'Eika Forsikring AS'!G87+'Frende Livsforsikring'!G87+'Frende Skadeforsikring'!G87+'Gjensidige Forsikring'!G87+'Gjensidige Pensjon'!G87+'Handelsbanken Liv'!G87+'If Skadeforsikring NUF'!G87+KLP!G87+'KLP Bedriftspensjon AS'!G87+'KLP Skadeforsikring AS'!G87+'Landkreditt Forsikring'!G87+'NEMI Forsikring'!G87+'Nordea Liv '!G87+'Oslo Pensjonsforsikring'!G87+'Protector Forsikring'!G87+'SHB Liv'!G87+'Sparebank 1'!G87+'Storebrand Livsforsikring'!G87+'Telenor Forsikring'!G87+'Tryg Forsikring'!G87</f>
        <v>270631435.74916047</v>
      </c>
      <c r="G87" s="171">
        <f t="shared" si="24"/>
        <v>15.4</v>
      </c>
      <c r="H87" s="321">
        <f t="shared" ref="H87:H111" si="32">SUM(B87,E87)</f>
        <v>619231652.9825933</v>
      </c>
      <c r="I87" s="321">
        <f t="shared" ref="I87:I111" si="33">SUM(C87,F87)</f>
        <v>659115831.17651045</v>
      </c>
      <c r="J87" s="24">
        <f t="shared" si="27"/>
        <v>6.4</v>
      </c>
    </row>
    <row r="88" spans="1:10" ht="15.75" customHeight="1" x14ac:dyDescent="0.2">
      <c r="A88" s="21" t="s">
        <v>9</v>
      </c>
      <c r="B88" s="230">
        <f>'Danica Pensjonsforsikring'!B88+'DNB Livsforsikring'!B88+'Eika Forsikring AS'!B88+'Frende Livsforsikring'!B88+'Frende Skadeforsikring'!B88+'Gjensidige Forsikring'!B88+'Gjensidige Pensjon'!B88+'Handelsbanken Liv'!B88+'If Skadeforsikring NUF'!B88+KLP!B88+'KLP Bedriftspensjon AS'!B88+'KLP Skadeforsikring AS'!B88+'Landkreditt Forsikring'!B88+'NEMI Forsikring'!B88+'Nordea Liv '!B88+'Oslo Pensjonsforsikring'!B88+'Protector Forsikring'!B88+'SHB Liv'!B88+'Sparebank 1'!B88+'Storebrand Livsforsikring'!B88+'Telenor Forsikring'!B88+'Tryg Forsikring'!B88</f>
        <v>376902288.50225568</v>
      </c>
      <c r="C88" s="230">
        <f>'Danica Pensjonsforsikring'!C88+'DNB Livsforsikring'!C88+'Eika Forsikring AS'!C88+'Frende Livsforsikring'!C88+'Frende Skadeforsikring'!C88+'Gjensidige Forsikring'!C88+'Gjensidige Pensjon'!C88+'Handelsbanken Liv'!C88+'If Skadeforsikring NUF'!C88+KLP!C88+'KLP Bedriftspensjon AS'!C88+'KLP Skadeforsikring AS'!C88+'Landkreditt Forsikring'!C88+'NEMI Forsikring'!C88+'Nordea Liv '!C88+'Oslo Pensjonsforsikring'!C88+'Protector Forsikring'!C88+'SHB Liv'!C88+'Sparebank 1'!C88+'Storebrand Livsforsikring'!C88+'Telenor Forsikring'!C88+'Tryg Forsikring'!C88</f>
        <v>379856036.14210999</v>
      </c>
      <c r="D88" s="23">
        <f t="shared" si="23"/>
        <v>0.8</v>
      </c>
      <c r="E88" s="44">
        <f>'Danica Pensjonsforsikring'!F88+'DNB Livsforsikring'!F88+'Eika Forsikring AS'!F88+'Frende Livsforsikring'!F88+'Frende Skadeforsikring'!F88+'Gjensidige Forsikring'!F88+'Gjensidige Pensjon'!F88+'Handelsbanken Liv'!F88+'If Skadeforsikring NUF'!F88+KLP!F88+'KLP Bedriftspensjon AS'!F88+'KLP Skadeforsikring AS'!F88+'Landkreditt Forsikring'!F88+'NEMI Forsikring'!F88+'Nordea Liv '!F88+'Oslo Pensjonsforsikring'!F88+'Protector Forsikring'!F88+'SHB Liv'!F88+'Sparebank 1'!F88+'Storebrand Livsforsikring'!F88+'Telenor Forsikring'!F88+'Tryg Forsikring'!F88</f>
        <v>0</v>
      </c>
      <c r="F88" s="44">
        <f>'Danica Pensjonsforsikring'!G88+'DNB Livsforsikring'!G88+'Eika Forsikring AS'!G88+'Frende Livsforsikring'!G88+'Frende Skadeforsikring'!G88+'Gjensidige Forsikring'!G88+'Gjensidige Pensjon'!G88+'Handelsbanken Liv'!G88+'If Skadeforsikring NUF'!G88+KLP!G88+'KLP Bedriftspensjon AS'!G88+'KLP Skadeforsikring AS'!G88+'Landkreditt Forsikring'!G88+'NEMI Forsikring'!G88+'Nordea Liv '!G88+'Oslo Pensjonsforsikring'!G88+'Protector Forsikring'!G88+'SHB Liv'!G88+'Sparebank 1'!G88+'Storebrand Livsforsikring'!G88+'Telenor Forsikring'!G88+'Tryg Forsikring'!G88</f>
        <v>0</v>
      </c>
      <c r="G88" s="166"/>
      <c r="H88" s="233">
        <f t="shared" si="32"/>
        <v>376902288.50225568</v>
      </c>
      <c r="I88" s="233">
        <f t="shared" si="33"/>
        <v>379856036.14210999</v>
      </c>
      <c r="J88" s="23">
        <f t="shared" si="27"/>
        <v>0.8</v>
      </c>
    </row>
    <row r="89" spans="1:10" ht="15.75" customHeight="1" x14ac:dyDescent="0.2">
      <c r="A89" s="21" t="s">
        <v>10</v>
      </c>
      <c r="B89" s="230">
        <f>'Danica Pensjonsforsikring'!B89+'DNB Livsforsikring'!B89+'Eika Forsikring AS'!B89+'Frende Livsforsikring'!B89+'Frende Skadeforsikring'!B89+'Gjensidige Forsikring'!B89+'Gjensidige Pensjon'!B89+'Handelsbanken Liv'!B89+'If Skadeforsikring NUF'!B89+KLP!B89+'KLP Bedriftspensjon AS'!B89+'KLP Skadeforsikring AS'!B89+'Landkreditt Forsikring'!B89+'NEMI Forsikring'!B89+'Nordea Liv '!B89+'Oslo Pensjonsforsikring'!B89+'Protector Forsikring'!B89+'SHB Liv'!B89+'Sparebank 1'!B89+'Storebrand Livsforsikring'!B89+'Telenor Forsikring'!B89+'Tryg Forsikring'!B89</f>
        <v>2681345.48997594</v>
      </c>
      <c r="C89" s="230">
        <f>'Danica Pensjonsforsikring'!C89+'DNB Livsforsikring'!C89+'Eika Forsikring AS'!C89+'Frende Livsforsikring'!C89+'Frende Skadeforsikring'!C89+'Gjensidige Forsikring'!C89+'Gjensidige Pensjon'!C89+'Handelsbanken Liv'!C89+'If Skadeforsikring NUF'!C89+KLP!C89+'KLP Bedriftspensjon AS'!C89+'KLP Skadeforsikring AS'!C89+'Landkreditt Forsikring'!C89+'NEMI Forsikring'!C89+'Nordea Liv '!C89+'Oslo Pensjonsforsikring'!C89+'Protector Forsikring'!C89+'SHB Liv'!C89+'Sparebank 1'!C89+'Storebrand Livsforsikring'!C89+'Telenor Forsikring'!C89+'Tryg Forsikring'!C89</f>
        <v>2791553.3224900002</v>
      </c>
      <c r="D89" s="23">
        <f t="shared" si="23"/>
        <v>4.0999999999999996</v>
      </c>
      <c r="E89" s="44">
        <f>'Danica Pensjonsforsikring'!F89+'DNB Livsforsikring'!F89+'Eika Forsikring AS'!F89+'Frende Livsforsikring'!F89+'Frende Skadeforsikring'!F89+'Gjensidige Forsikring'!F89+'Gjensidige Pensjon'!F89+'Handelsbanken Liv'!F89+'If Skadeforsikring NUF'!F89+KLP!F89+'KLP Bedriftspensjon AS'!F89+'KLP Skadeforsikring AS'!F89+'Landkreditt Forsikring'!F89+'NEMI Forsikring'!F89+'Nordea Liv '!F89+'Oslo Pensjonsforsikring'!F89+'Protector Forsikring'!F89+'SHB Liv'!F89+'Sparebank 1'!F89+'Storebrand Livsforsikring'!F89+'Telenor Forsikring'!F89+'Tryg Forsikring'!F89</f>
        <v>233679203.61454159</v>
      </c>
      <c r="F89" s="44">
        <f>'Danica Pensjonsforsikring'!G89+'DNB Livsforsikring'!G89+'Eika Forsikring AS'!G89+'Frende Livsforsikring'!G89+'Frende Skadeforsikring'!G89+'Gjensidige Forsikring'!G89+'Gjensidige Pensjon'!G89+'Handelsbanken Liv'!G89+'If Skadeforsikring NUF'!G89+KLP!G89+'KLP Bedriftspensjon AS'!G89+'KLP Skadeforsikring AS'!G89+'Landkreditt Forsikring'!G89+'NEMI Forsikring'!G89+'Nordea Liv '!G89+'Oslo Pensjonsforsikring'!G89+'Protector Forsikring'!G89+'SHB Liv'!G89+'Sparebank 1'!G89+'Storebrand Livsforsikring'!G89+'Telenor Forsikring'!G89+'Tryg Forsikring'!G89</f>
        <v>269440960.45366049</v>
      </c>
      <c r="G89" s="166">
        <f t="shared" si="24"/>
        <v>15.3</v>
      </c>
      <c r="H89" s="233">
        <f t="shared" si="32"/>
        <v>236360549.10451752</v>
      </c>
      <c r="I89" s="233">
        <f t="shared" si="33"/>
        <v>272232513.77615047</v>
      </c>
      <c r="J89" s="23">
        <f t="shared" si="27"/>
        <v>15.2</v>
      </c>
    </row>
    <row r="90" spans="1:10" ht="15.75" customHeight="1" x14ac:dyDescent="0.2">
      <c r="A90" s="288" t="s">
        <v>386</v>
      </c>
      <c r="B90" s="231"/>
      <c r="C90" s="231"/>
      <c r="D90" s="27"/>
      <c r="E90" s="231"/>
      <c r="F90" s="231"/>
      <c r="G90" s="166"/>
      <c r="H90" s="231"/>
      <c r="I90" s="231"/>
      <c r="J90" s="23"/>
    </row>
    <row r="91" spans="1:10" ht="15.75" customHeight="1" x14ac:dyDescent="0.2">
      <c r="A91" s="288" t="s">
        <v>12</v>
      </c>
      <c r="B91" s="231"/>
      <c r="C91" s="231"/>
      <c r="D91" s="27"/>
      <c r="E91" s="231"/>
      <c r="F91" s="231"/>
      <c r="G91" s="166"/>
      <c r="H91" s="231"/>
      <c r="I91" s="231"/>
      <c r="J91" s="23"/>
    </row>
    <row r="92" spans="1:10" ht="15.75" customHeight="1" x14ac:dyDescent="0.2">
      <c r="A92" s="288" t="s">
        <v>13</v>
      </c>
      <c r="B92" s="231"/>
      <c r="C92" s="231"/>
      <c r="D92" s="27"/>
      <c r="E92" s="231"/>
      <c r="F92" s="231"/>
      <c r="G92" s="166"/>
      <c r="H92" s="231"/>
      <c r="I92" s="231"/>
      <c r="J92" s="23"/>
    </row>
    <row r="93" spans="1:10" ht="15.75" customHeight="1" x14ac:dyDescent="0.2">
      <c r="A93" s="288" t="s">
        <v>387</v>
      </c>
      <c r="B93" s="231"/>
      <c r="C93" s="231"/>
      <c r="D93" s="27"/>
      <c r="E93" s="231"/>
      <c r="F93" s="231"/>
      <c r="G93" s="166"/>
      <c r="H93" s="231"/>
      <c r="I93" s="231"/>
      <c r="J93" s="23"/>
    </row>
    <row r="94" spans="1:10" ht="15.75" customHeight="1" x14ac:dyDescent="0.2">
      <c r="A94" s="288" t="s">
        <v>12</v>
      </c>
      <c r="B94" s="231"/>
      <c r="C94" s="231"/>
      <c r="D94" s="27"/>
      <c r="E94" s="231"/>
      <c r="F94" s="231"/>
      <c r="G94" s="166"/>
      <c r="H94" s="231"/>
      <c r="I94" s="231"/>
      <c r="J94" s="23"/>
    </row>
    <row r="95" spans="1:10" ht="15.75" customHeight="1" x14ac:dyDescent="0.2">
      <c r="A95" s="288" t="s">
        <v>13</v>
      </c>
      <c r="B95" s="231"/>
      <c r="C95" s="231"/>
      <c r="D95" s="27"/>
      <c r="E95" s="231"/>
      <c r="F95" s="231"/>
      <c r="G95" s="166"/>
      <c r="H95" s="231"/>
      <c r="I95" s="231"/>
      <c r="J95" s="23"/>
    </row>
    <row r="96" spans="1:10" ht="15.75" customHeight="1" x14ac:dyDescent="0.2">
      <c r="A96" s="21" t="s">
        <v>356</v>
      </c>
      <c r="B96" s="230">
        <f>'Danica Pensjonsforsikring'!B96+'DNB Livsforsikring'!B96+'Eika Forsikring AS'!B96+'Frende Livsforsikring'!B96+'Frende Skadeforsikring'!B96+'Gjensidige Forsikring'!B96+'Gjensidige Pensjon'!B96+'Handelsbanken Liv'!B96+'If Skadeforsikring NUF'!B96+KLP!B96+'KLP Bedriftspensjon AS'!B96+'KLP Skadeforsikring AS'!B96+'Landkreditt Forsikring'!B96+'NEMI Forsikring'!B96+'Nordea Liv '!B96+'Oslo Pensjonsforsikring'!B96+'Protector Forsikring'!B96+'SHB Liv'!B96+'Sparebank 1'!B96+'Storebrand Livsforsikring'!B96+'Telenor Forsikring'!B96+'Tryg Forsikring'!B96</f>
        <v>573391.07704</v>
      </c>
      <c r="C96" s="230">
        <f>'Danica Pensjonsforsikring'!C96+'DNB Livsforsikring'!C96+'Eika Forsikring AS'!C96+'Frende Livsforsikring'!C96+'Frende Skadeforsikring'!C96+'Gjensidige Forsikring'!C96+'Gjensidige Pensjon'!C96+'Handelsbanken Liv'!C96+'If Skadeforsikring NUF'!C96+KLP!C96+'KLP Bedriftspensjon AS'!C96+'KLP Skadeforsikring AS'!C96+'Landkreditt Forsikring'!C96+'NEMI Forsikring'!C96+'Nordea Liv '!C96+'Oslo Pensjonsforsikring'!C96+'Protector Forsikring'!C96+'SHB Liv'!C96+'Sparebank 1'!C96+'Storebrand Livsforsikring'!C96+'Telenor Forsikring'!C96+'Tryg Forsikring'!C96</f>
        <v>979107.02083000005</v>
      </c>
      <c r="D96" s="23">
        <f t="shared" si="23"/>
        <v>70.8</v>
      </c>
      <c r="E96" s="44">
        <f>'Danica Pensjonsforsikring'!F96+'DNB Livsforsikring'!F96+'Eika Forsikring AS'!F96+'Frende Livsforsikring'!F96+'Frende Skadeforsikring'!F96+'Gjensidige Forsikring'!F96+'Gjensidige Pensjon'!F96+'Handelsbanken Liv'!F96+'If Skadeforsikring NUF'!F96+KLP!F96+'KLP Bedriftspensjon AS'!F96+'KLP Skadeforsikring AS'!F96+'Landkreditt Forsikring'!F96+'NEMI Forsikring'!F96+'Nordea Liv '!F96+'Oslo Pensjonsforsikring'!F96+'Protector Forsikring'!F96+'SHB Liv'!F96+'Sparebank 1'!F96+'Storebrand Livsforsikring'!F96+'Telenor Forsikring'!F96+'Tryg Forsikring'!F96</f>
        <v>783527.52750999993</v>
      </c>
      <c r="F96" s="44">
        <f>'Danica Pensjonsforsikring'!G96+'DNB Livsforsikring'!G96+'Eika Forsikring AS'!G96+'Frende Livsforsikring'!G96+'Frende Skadeforsikring'!G96+'Gjensidige Forsikring'!G96+'Gjensidige Pensjon'!G96+'Handelsbanken Liv'!G96+'If Skadeforsikring NUF'!G96+KLP!G96+'KLP Bedriftspensjon AS'!G96+'KLP Skadeforsikring AS'!G96+'Landkreditt Forsikring'!G96+'NEMI Forsikring'!G96+'Nordea Liv '!G96+'Oslo Pensjonsforsikring'!G96+'Protector Forsikring'!G96+'SHB Liv'!G96+'Sparebank 1'!G96+'Storebrand Livsforsikring'!G96+'Telenor Forsikring'!G96+'Tryg Forsikring'!G96</f>
        <v>1190475.2955</v>
      </c>
      <c r="G96" s="166">
        <f t="shared" si="24"/>
        <v>51.9</v>
      </c>
      <c r="H96" s="233">
        <f t="shared" si="32"/>
        <v>1356918.6045499998</v>
      </c>
      <c r="I96" s="233">
        <f t="shared" si="33"/>
        <v>2169582.3163299998</v>
      </c>
      <c r="J96" s="23">
        <f t="shared" si="27"/>
        <v>59.9</v>
      </c>
    </row>
    <row r="97" spans="1:10" ht="15.75" customHeight="1" x14ac:dyDescent="0.2">
      <c r="A97" s="21" t="s">
        <v>355</v>
      </c>
      <c r="B97" s="230">
        <f>'Danica Pensjonsforsikring'!B97+'DNB Livsforsikring'!B97+'Eika Forsikring AS'!B97+'Frende Livsforsikring'!B97+'Frende Skadeforsikring'!B97+'Gjensidige Forsikring'!B97+'Gjensidige Pensjon'!B97+'Handelsbanken Liv'!B97+'If Skadeforsikring NUF'!B97+KLP!B97+'KLP Bedriftspensjon AS'!B97+'KLP Skadeforsikring AS'!B97+'Landkreditt Forsikring'!B97+'NEMI Forsikring'!B97+'Nordea Liv '!B97+'Oslo Pensjonsforsikring'!B97+'Protector Forsikring'!B97+'SHB Liv'!B97+'Sparebank 1'!B97+'Storebrand Livsforsikring'!B97+'Telenor Forsikring'!B97+'Tryg Forsikring'!B97</f>
        <v>4611896.7712700004</v>
      </c>
      <c r="C97" s="230">
        <f>'Danica Pensjonsforsikring'!C97+'DNB Livsforsikring'!C97+'Eika Forsikring AS'!C97+'Frende Livsforsikring'!C97+'Frende Skadeforsikring'!C97+'Gjensidige Forsikring'!C97+'Gjensidige Pensjon'!C97+'Handelsbanken Liv'!C97+'If Skadeforsikring NUF'!C97+KLP!C97+'KLP Bedriftspensjon AS'!C97+'KLP Skadeforsikring AS'!C97+'Landkreditt Forsikring'!C97+'NEMI Forsikring'!C97+'Nordea Liv '!C97+'Oslo Pensjonsforsikring'!C97+'Protector Forsikring'!C97+'SHB Liv'!C97+'Sparebank 1'!C97+'Storebrand Livsforsikring'!C97+'Telenor Forsikring'!C97+'Tryg Forsikring'!C97</f>
        <v>4857698.9419200001</v>
      </c>
      <c r="D97" s="23">
        <f t="shared" ref="D97" si="34">IF(B97=0, "    ---- ", IF(ABS(ROUND(100/B97*C97-100,1))&lt;999,ROUND(100/B97*C97-100,1),IF(ROUND(100/B97*C97-100,1)&gt;999,999,-999)))</f>
        <v>5.3</v>
      </c>
      <c r="E97" s="44">
        <f>'Danica Pensjonsforsikring'!F97+'DNB Livsforsikring'!F97+'Eika Forsikring AS'!F97+'Frende Livsforsikring'!F97+'Frende Skadeforsikring'!F97+'Gjensidige Forsikring'!F97+'Gjensidige Pensjon'!F97+'Handelsbanken Liv'!F97+'If Skadeforsikring NUF'!F97+KLP!F97+'KLP Bedriftspensjon AS'!F97+'KLP Skadeforsikring AS'!F97+'Landkreditt Forsikring'!F97+'NEMI Forsikring'!F97+'Nordea Liv '!F97+'Oslo Pensjonsforsikring'!F97+'Protector Forsikring'!F97+'SHB Liv'!F97+'Sparebank 1'!F97+'Storebrand Livsforsikring'!F97+'Telenor Forsikring'!F97+'Tryg Forsikring'!F97</f>
        <v>0</v>
      </c>
      <c r="F97" s="44">
        <f>'Danica Pensjonsforsikring'!G97+'DNB Livsforsikring'!G97+'Eika Forsikring AS'!G97+'Frende Livsforsikring'!G97+'Frende Skadeforsikring'!G97+'Gjensidige Forsikring'!G97+'Gjensidige Pensjon'!G97+'Handelsbanken Liv'!G97+'If Skadeforsikring NUF'!G97+KLP!G97+'KLP Bedriftspensjon AS'!G97+'KLP Skadeforsikring AS'!G97+'Landkreditt Forsikring'!G97+'NEMI Forsikring'!G97+'Nordea Liv '!G97+'Oslo Pensjonsforsikring'!G97+'Protector Forsikring'!G97+'SHB Liv'!G97+'Sparebank 1'!G97+'Storebrand Livsforsikring'!G97+'Telenor Forsikring'!G97+'Tryg Forsikring'!G97</f>
        <v>0</v>
      </c>
      <c r="G97" s="166"/>
      <c r="H97" s="233">
        <f t="shared" ref="H97" si="35">SUM(B97,E97)</f>
        <v>4611896.7712700004</v>
      </c>
      <c r="I97" s="233">
        <f t="shared" ref="I97" si="36">SUM(C97,F97)</f>
        <v>4857698.9419200001</v>
      </c>
      <c r="J97" s="23">
        <f t="shared" ref="J97" si="37">IF(H97=0, "    ---- ", IF(ABS(ROUND(100/H97*I97-100,1))&lt;999,ROUND(100/H97*I97-100,1),IF(ROUND(100/H97*I97-100,1)&gt;999,999,-999)))</f>
        <v>5.3</v>
      </c>
    </row>
    <row r="98" spans="1:10" ht="15.75" customHeight="1" x14ac:dyDescent="0.2">
      <c r="A98" s="21" t="s">
        <v>388</v>
      </c>
      <c r="B98" s="230">
        <f>'Danica Pensjonsforsikring'!B98+'DNB Livsforsikring'!B98+'Eika Forsikring AS'!B98+'Frende Livsforsikring'!B98+'Frende Skadeforsikring'!B98+'Gjensidige Forsikring'!B98+'Gjensidige Pensjon'!B98+'Handelsbanken Liv'!B98+'If Skadeforsikring NUF'!B98+KLP!B98+'KLP Bedriftspensjon AS'!B98+'KLP Skadeforsikring AS'!B98+'Landkreditt Forsikring'!B98+'NEMI Forsikring'!B98+'Nordea Liv '!B98+'Oslo Pensjonsforsikring'!B98+'Protector Forsikring'!B98+'SHB Liv'!B98+'Sparebank 1'!B98+'Storebrand Livsforsikring'!B98+'Telenor Forsikring'!B98+'Tryg Forsikring'!B98</f>
        <v>374665138.13723159</v>
      </c>
      <c r="C98" s="230">
        <f>'Danica Pensjonsforsikring'!C98+'DNB Livsforsikring'!C98+'Eika Forsikring AS'!C98+'Frende Livsforsikring'!C98+'Frende Skadeforsikring'!C98+'Gjensidige Forsikring'!C98+'Gjensidige Pensjon'!C98+'Handelsbanken Liv'!C98+'If Skadeforsikring NUF'!C98+KLP!C98+'KLP Bedriftspensjon AS'!C98+'KLP Skadeforsikring AS'!C98+'Landkreditt Forsikring'!C98+'NEMI Forsikring'!C98+'Nordea Liv '!C98+'Oslo Pensjonsforsikring'!C98+'Protector Forsikring'!C98+'SHB Liv'!C98+'Sparebank 1'!C98+'Storebrand Livsforsikring'!C98+'Telenor Forsikring'!C98+'Tryg Forsikring'!C98</f>
        <v>377882050.7847321</v>
      </c>
      <c r="D98" s="23">
        <f t="shared" si="23"/>
        <v>0.9</v>
      </c>
      <c r="E98" s="44">
        <f>'Danica Pensjonsforsikring'!F98+'DNB Livsforsikring'!F98+'Eika Forsikring AS'!F98+'Frende Livsforsikring'!F98+'Frende Skadeforsikring'!F98+'Gjensidige Forsikring'!F98+'Gjensidige Pensjon'!F98+'Handelsbanken Liv'!F98+'If Skadeforsikring NUF'!F98+KLP!F98+'KLP Bedriftspensjon AS'!F98+'KLP Skadeforsikring AS'!F98+'Landkreditt Forsikring'!F98+'NEMI Forsikring'!F98+'Nordea Liv '!F98+'Oslo Pensjonsforsikring'!F98+'Protector Forsikring'!F98+'SHB Liv'!F98+'Sparebank 1'!F98+'Storebrand Livsforsikring'!F98+'Telenor Forsikring'!F98+'Tryg Forsikring'!F98</f>
        <v>233066930.90200159</v>
      </c>
      <c r="F98" s="44">
        <f>'Danica Pensjonsforsikring'!G98+'DNB Livsforsikring'!G98+'Eika Forsikring AS'!G98+'Frende Livsforsikring'!G98+'Frende Skadeforsikring'!G98+'Gjensidige Forsikring'!G98+'Gjensidige Pensjon'!G98+'Handelsbanken Liv'!G98+'If Skadeforsikring NUF'!G98+KLP!G98+'KLP Bedriftspensjon AS'!G98+'KLP Skadeforsikring AS'!G98+'Landkreditt Forsikring'!G98+'NEMI Forsikring'!G98+'Nordea Liv '!G98+'Oslo Pensjonsforsikring'!G98+'Protector Forsikring'!G98+'SHB Liv'!G98+'Sparebank 1'!G98+'Storebrand Livsforsikring'!G98+'Telenor Forsikring'!G98+'Tryg Forsikring'!G98</f>
        <v>268694785.92492062</v>
      </c>
      <c r="G98" s="166">
        <f t="shared" si="24"/>
        <v>15.3</v>
      </c>
      <c r="H98" s="233">
        <f t="shared" si="32"/>
        <v>607732069.03923321</v>
      </c>
      <c r="I98" s="233">
        <f t="shared" si="33"/>
        <v>646576836.70965266</v>
      </c>
      <c r="J98" s="23">
        <f t="shared" si="27"/>
        <v>6.4</v>
      </c>
    </row>
    <row r="99" spans="1:10" ht="15.75" customHeight="1" x14ac:dyDescent="0.2">
      <c r="A99" s="21" t="s">
        <v>9</v>
      </c>
      <c r="B99" s="230">
        <f>'Danica Pensjonsforsikring'!B99+'DNB Livsforsikring'!B99+'Eika Forsikring AS'!B99+'Frende Livsforsikring'!B99+'Frende Skadeforsikring'!B99+'Gjensidige Forsikring'!B99+'Gjensidige Pensjon'!B99+'Handelsbanken Liv'!B99+'If Skadeforsikring NUF'!B99+KLP!B99+'KLP Bedriftspensjon AS'!B99+'KLP Skadeforsikring AS'!B99+'Landkreditt Forsikring'!B99+'NEMI Forsikring'!B99+'Nordea Liv '!B99+'Oslo Pensjonsforsikring'!B99+'Protector Forsikring'!B99+'SHB Liv'!B99+'Sparebank 1'!B99+'Storebrand Livsforsikring'!B99+'Telenor Forsikring'!B99+'Tryg Forsikring'!B99</f>
        <v>371983792.64725566</v>
      </c>
      <c r="C99" s="230">
        <f>'Danica Pensjonsforsikring'!C99+'DNB Livsforsikring'!C99+'Eika Forsikring AS'!C99+'Frende Livsforsikring'!C99+'Frende Skadeforsikring'!C99+'Gjensidige Forsikring'!C99+'Gjensidige Pensjon'!C99+'Handelsbanken Liv'!C99+'If Skadeforsikring NUF'!C99+KLP!C99+'KLP Bedriftspensjon AS'!C99+'KLP Skadeforsikring AS'!C99+'Landkreditt Forsikring'!C99+'NEMI Forsikring'!C99+'Nordea Liv '!C99+'Oslo Pensjonsforsikring'!C99+'Protector Forsikring'!C99+'SHB Liv'!C99+'Sparebank 1'!C99+'Storebrand Livsforsikring'!C99+'Telenor Forsikring'!C99+'Tryg Forsikring'!C99</f>
        <v>375090497.46147728</v>
      </c>
      <c r="D99" s="23">
        <f t="shared" si="23"/>
        <v>0.8</v>
      </c>
      <c r="E99" s="44">
        <f>'Danica Pensjonsforsikring'!F99+'DNB Livsforsikring'!F99+'Eika Forsikring AS'!F99+'Frende Livsforsikring'!F99+'Frende Skadeforsikring'!F99+'Gjensidige Forsikring'!F99+'Gjensidige Pensjon'!F99+'Handelsbanken Liv'!F99+'If Skadeforsikring NUF'!F99+KLP!F99+'KLP Bedriftspensjon AS'!F99+'KLP Skadeforsikring AS'!F99+'Landkreditt Forsikring'!F99+'NEMI Forsikring'!F99+'Nordea Liv '!F99+'Oslo Pensjonsforsikring'!F99+'Protector Forsikring'!F99+'SHB Liv'!F99+'Sparebank 1'!F99+'Storebrand Livsforsikring'!F99+'Telenor Forsikring'!F99+'Tryg Forsikring'!F99</f>
        <v>0</v>
      </c>
      <c r="F99" s="44">
        <f>'Danica Pensjonsforsikring'!G99+'DNB Livsforsikring'!G99+'Eika Forsikring AS'!G99+'Frende Livsforsikring'!G99+'Frende Skadeforsikring'!G99+'Gjensidige Forsikring'!G99+'Gjensidige Pensjon'!G99+'Handelsbanken Liv'!G99+'If Skadeforsikring NUF'!G99+KLP!G99+'KLP Bedriftspensjon AS'!G99+'KLP Skadeforsikring AS'!G99+'Landkreditt Forsikring'!G99+'NEMI Forsikring'!G99+'Nordea Liv '!G99+'Oslo Pensjonsforsikring'!G99+'Protector Forsikring'!G99+'SHB Liv'!G99+'Sparebank 1'!G99+'Storebrand Livsforsikring'!G99+'Telenor Forsikring'!G99+'Tryg Forsikring'!G99</f>
        <v>0</v>
      </c>
      <c r="G99" s="166"/>
      <c r="H99" s="233">
        <f t="shared" si="32"/>
        <v>371983792.64725566</v>
      </c>
      <c r="I99" s="233">
        <f t="shared" si="33"/>
        <v>375090497.46147728</v>
      </c>
      <c r="J99" s="23">
        <f t="shared" si="27"/>
        <v>0.8</v>
      </c>
    </row>
    <row r="100" spans="1:10" ht="15.75" customHeight="1" x14ac:dyDescent="0.2">
      <c r="A100" s="21" t="s">
        <v>10</v>
      </c>
      <c r="B100" s="230">
        <f>'Danica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AS'!B100+'Landkreditt Forsikring'!B100+'NEMI Forsikring'!B100+'Nordea Liv '!B100+'Oslo Pensjonsforsikring'!B100+'Protector Forsikring'!B100+'SHB Liv'!B100+'Sparebank 1'!B100+'Storebrand Livsforsikring'!B100+'Telenor Forsikring'!B100+'Tryg Forsikring'!B100</f>
        <v>2681345.48997594</v>
      </c>
      <c r="C100" s="230">
        <f>'Danica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AS'!C100+'Landkreditt Forsikring'!C100+'NEMI Forsikring'!C100+'Nordea Liv '!C100+'Oslo Pensjonsforsikring'!C100+'Protector Forsikring'!C100+'SHB Liv'!C100+'Sparebank 1'!C100+'Storebrand Livsforsikring'!C100+'Telenor Forsikring'!C100+'Tryg Forsikring'!C100</f>
        <v>2791553.3232547599</v>
      </c>
      <c r="D100" s="23">
        <f t="shared" si="23"/>
        <v>4.0999999999999996</v>
      </c>
      <c r="E100" s="44">
        <f>'Danica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AS'!F100+'Landkreditt Forsikring'!F100+'NEMI Forsikring'!F100+'Nordea Liv '!F100+'Oslo Pensjonsforsikring'!F100+'Protector Forsikring'!F100+'SHB Liv'!F100+'Sparebank 1'!F100+'Storebrand Livsforsikring'!F100+'Telenor Forsikring'!F100+'Tryg Forsikring'!F100</f>
        <v>233066930.90200159</v>
      </c>
      <c r="F100" s="44">
        <f>'Danica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AS'!G100+'Landkreditt Forsikring'!G100+'NEMI Forsikring'!G100+'Nordea Liv '!G100+'Oslo Pensjonsforsikring'!G100+'Protector Forsikring'!G100+'SHB Liv'!G100+'Sparebank 1'!G100+'Storebrand Livsforsikring'!G100+'Telenor Forsikring'!G100+'Tryg Forsikring'!G100</f>
        <v>268694785.92492062</v>
      </c>
      <c r="G100" s="166">
        <f t="shared" si="24"/>
        <v>15.3</v>
      </c>
      <c r="H100" s="233">
        <f t="shared" si="32"/>
        <v>235748276.39197752</v>
      </c>
      <c r="I100" s="233">
        <f t="shared" si="33"/>
        <v>271486339.24817538</v>
      </c>
      <c r="J100" s="23">
        <f t="shared" si="27"/>
        <v>15.2</v>
      </c>
    </row>
    <row r="101" spans="1:10" ht="15.75" customHeight="1" x14ac:dyDescent="0.2">
      <c r="A101" s="288" t="s">
        <v>386</v>
      </c>
      <c r="B101" s="231"/>
      <c r="C101" s="231"/>
      <c r="D101" s="27"/>
      <c r="E101" s="231"/>
      <c r="F101" s="231"/>
      <c r="G101" s="166"/>
      <c r="H101" s="231"/>
      <c r="I101" s="231"/>
      <c r="J101" s="23"/>
    </row>
    <row r="102" spans="1:10" ht="15.75" customHeight="1" x14ac:dyDescent="0.2">
      <c r="A102" s="288" t="s">
        <v>12</v>
      </c>
      <c r="B102" s="231"/>
      <c r="C102" s="231"/>
      <c r="D102" s="27"/>
      <c r="E102" s="231"/>
      <c r="F102" s="231"/>
      <c r="G102" s="166"/>
      <c r="H102" s="231"/>
      <c r="I102" s="231"/>
      <c r="J102" s="23"/>
    </row>
    <row r="103" spans="1:10" ht="15.75" customHeight="1" x14ac:dyDescent="0.2">
      <c r="A103" s="288" t="s">
        <v>13</v>
      </c>
      <c r="B103" s="231"/>
      <c r="C103" s="231"/>
      <c r="D103" s="27"/>
      <c r="E103" s="231"/>
      <c r="F103" s="231"/>
      <c r="G103" s="166"/>
      <c r="H103" s="231"/>
      <c r="I103" s="231"/>
      <c r="J103" s="23"/>
    </row>
    <row r="104" spans="1:10" ht="15.75" customHeight="1" x14ac:dyDescent="0.2">
      <c r="A104" s="288" t="s">
        <v>387</v>
      </c>
      <c r="B104" s="231"/>
      <c r="C104" s="231"/>
      <c r="D104" s="27"/>
      <c r="E104" s="231"/>
      <c r="F104" s="231"/>
      <c r="G104" s="166"/>
      <c r="H104" s="231"/>
      <c r="I104" s="231"/>
      <c r="J104" s="23"/>
    </row>
    <row r="105" spans="1:10" ht="15.75" customHeight="1" x14ac:dyDescent="0.2">
      <c r="A105" s="288" t="s">
        <v>12</v>
      </c>
      <c r="B105" s="231"/>
      <c r="C105" s="231"/>
      <c r="D105" s="27"/>
      <c r="E105" s="231"/>
      <c r="F105" s="231"/>
      <c r="G105" s="166"/>
      <c r="H105" s="231"/>
      <c r="I105" s="231"/>
      <c r="J105" s="23"/>
    </row>
    <row r="106" spans="1:10" ht="15.75" customHeight="1" x14ac:dyDescent="0.2">
      <c r="A106" s="288" t="s">
        <v>13</v>
      </c>
      <c r="B106" s="231"/>
      <c r="C106" s="231"/>
      <c r="D106" s="27"/>
      <c r="E106" s="231"/>
      <c r="F106" s="231"/>
      <c r="G106" s="166"/>
      <c r="H106" s="231"/>
      <c r="I106" s="231"/>
      <c r="J106" s="23"/>
    </row>
    <row r="107" spans="1:10" ht="15.75" customHeight="1" x14ac:dyDescent="0.2">
      <c r="A107" s="21" t="s">
        <v>389</v>
      </c>
      <c r="B107" s="230">
        <f>'Danica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AS'!B107+'Landkreditt Forsikring'!B107+'NEMI Forsikring'!B107+'Nordea Liv '!B107+'Oslo Pensjonsforsikring'!B107+'Protector Forsikring'!B107+'SHB Liv'!B107+'Sparebank 1'!B107+'Storebrand Livsforsikring'!B107+'Telenor Forsikring'!B107+'Tryg Forsikring'!B107</f>
        <v>4918495.8550000004</v>
      </c>
      <c r="C107" s="230">
        <f>'Danica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AS'!C107+'Landkreditt Forsikring'!C107+'NEMI Forsikring'!C107+'Nordea Liv '!C107+'Oslo Pensjonsforsikring'!C107+'Protector Forsikring'!C107+'SHB Liv'!C107+'Sparebank 1'!C107+'Storebrand Livsforsikring'!C107+'Telenor Forsikring'!C107+'Tryg Forsikring'!C107</f>
        <v>4765538.3210000005</v>
      </c>
      <c r="D107" s="23">
        <f t="shared" si="23"/>
        <v>-3.1</v>
      </c>
      <c r="E107" s="44">
        <f>'Danica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AS'!F107+'Landkreditt Forsikring'!F107+'NEMI Forsikring'!F107+'Nordea Liv '!F107+'Oslo Pensjonsforsikring'!F107+'Protector Forsikring'!F107+'SHB Liv'!F107+'Sparebank 1'!F107+'Storebrand Livsforsikring'!F107+'Telenor Forsikring'!F107+'Tryg Forsikring'!F107</f>
        <v>612272.71253999998</v>
      </c>
      <c r="F107" s="44">
        <f>'Danica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AS'!G107+'Landkreditt Forsikring'!G107+'NEMI Forsikring'!G107+'Nordea Liv '!G107+'Oslo Pensjonsforsikring'!G107+'Protector Forsikring'!G107+'SHB Liv'!G107+'Sparebank 1'!G107+'Storebrand Livsforsikring'!G107+'Telenor Forsikring'!G107+'Tryg Forsikring'!G107</f>
        <v>746174.52873999986</v>
      </c>
      <c r="G107" s="166">
        <f t="shared" si="24"/>
        <v>21.9</v>
      </c>
      <c r="H107" s="233">
        <f t="shared" si="32"/>
        <v>5530768.5675400002</v>
      </c>
      <c r="I107" s="233">
        <f t="shared" si="33"/>
        <v>5511712.8497400004</v>
      </c>
      <c r="J107" s="23">
        <f t="shared" si="27"/>
        <v>-0.3</v>
      </c>
    </row>
    <row r="108" spans="1:10" ht="15.75" customHeight="1" x14ac:dyDescent="0.2">
      <c r="A108" s="21" t="s">
        <v>390</v>
      </c>
      <c r="B108" s="230">
        <f>'Danica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AS'!B108+'Landkreditt Forsikring'!B108+'NEMI Forsikring'!B108+'Nordea Liv '!B108+'Oslo Pensjonsforsikring'!B108+'Protector Forsikring'!B108+'SHB Liv'!B108+'Sparebank 1'!B108+'Storebrand Livsforsikring'!B108+'Telenor Forsikring'!B108+'Tryg Forsikring'!B108</f>
        <v>307256054.60711461</v>
      </c>
      <c r="C108" s="230">
        <f>'Danica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AS'!C108+'Landkreditt Forsikring'!C108+'NEMI Forsikring'!C108+'Nordea Liv '!C108+'Oslo Pensjonsforsikring'!C108+'Protector Forsikring'!C108+'SHB Liv'!C108+'Sparebank 1'!C108+'Storebrand Livsforsikring'!C108+'Telenor Forsikring'!C108+'Tryg Forsikring'!C108</f>
        <v>314576071.06332111</v>
      </c>
      <c r="D108" s="23">
        <f t="shared" si="23"/>
        <v>2.4</v>
      </c>
      <c r="E108" s="44">
        <f>'Danica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AS'!F108+'Landkreditt Forsikring'!F108+'NEMI Forsikring'!F108+'Nordea Liv '!F108+'Oslo Pensjonsforsikring'!F108+'Protector Forsikring'!F108+'SHB Liv'!F108+'Sparebank 1'!F108+'Storebrand Livsforsikring'!F108+'Telenor Forsikring'!F108+'Tryg Forsikring'!F108</f>
        <v>15431012.396</v>
      </c>
      <c r="F108" s="44">
        <f>'Danica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AS'!G108+'Landkreditt Forsikring'!G108+'NEMI Forsikring'!G108+'Nordea Liv '!G108+'Oslo Pensjonsforsikring'!G108+'Protector Forsikring'!G108+'SHB Liv'!G108+'Sparebank 1'!G108+'Storebrand Livsforsikring'!G108+'Telenor Forsikring'!G108+'Tryg Forsikring'!G108</f>
        <v>16049977.419</v>
      </c>
      <c r="G108" s="166">
        <f t="shared" si="24"/>
        <v>4</v>
      </c>
      <c r="H108" s="233">
        <f t="shared" si="32"/>
        <v>322687067.00311464</v>
      </c>
      <c r="I108" s="233">
        <f t="shared" si="33"/>
        <v>330626048.48232114</v>
      </c>
      <c r="J108" s="23">
        <f t="shared" si="27"/>
        <v>2.5</v>
      </c>
    </row>
    <row r="109" spans="1:10" ht="15.75" customHeight="1" x14ac:dyDescent="0.2">
      <c r="A109" s="21" t="s">
        <v>391</v>
      </c>
      <c r="B109" s="230">
        <f>'Danica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AS'!B109+'Landkreditt Forsikring'!B109+'NEMI Forsikring'!B109+'Nordea Liv '!B109+'Oslo Pensjonsforsikring'!B109+'Protector Forsikring'!B109+'SHB Liv'!B109+'Sparebank 1'!B109+'Storebrand Livsforsikring'!B109+'Telenor Forsikring'!B109+'Tryg Forsikring'!B109</f>
        <v>1056503.2213189979</v>
      </c>
      <c r="C109" s="230">
        <f>'Danica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AS'!C109+'Landkreditt Forsikring'!C109+'NEMI Forsikring'!C109+'Nordea Liv '!C109+'Oslo Pensjonsforsikring'!C109+'Protector Forsikring'!C109+'SHB Liv'!C109+'Sparebank 1'!C109+'Storebrand Livsforsikring'!C109+'Telenor Forsikring'!C109+'Tryg Forsikring'!C109</f>
        <v>1033994.493707518</v>
      </c>
      <c r="D109" s="23">
        <f t="shared" si="23"/>
        <v>-2.1</v>
      </c>
      <c r="E109" s="44">
        <f>'Danica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AS'!F109+'Landkreditt Forsikring'!F109+'NEMI Forsikring'!F109+'Nordea Liv '!F109+'Oslo Pensjonsforsikring'!F109+'Protector Forsikring'!F109+'SHB Liv'!F109+'Sparebank 1'!F109+'Storebrand Livsforsikring'!F109+'Telenor Forsikring'!F109+'Tryg Forsikring'!F109</f>
        <v>74008620.136784807</v>
      </c>
      <c r="F109" s="44">
        <f>'Danica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AS'!G109+'Landkreditt Forsikring'!G109+'NEMI Forsikring'!G109+'Nordea Liv '!G109+'Oslo Pensjonsforsikring'!G109+'Protector Forsikring'!G109+'SHB Liv'!G109+'Sparebank 1'!G109+'Storebrand Livsforsikring'!G109+'Telenor Forsikring'!G109+'Tryg Forsikring'!G109</f>
        <v>89134523.850137293</v>
      </c>
      <c r="G109" s="166">
        <f t="shared" si="24"/>
        <v>20.399999999999999</v>
      </c>
      <c r="H109" s="233">
        <f t="shared" si="32"/>
        <v>75065123.358103812</v>
      </c>
      <c r="I109" s="233">
        <f t="shared" si="33"/>
        <v>90168518.343844816</v>
      </c>
      <c r="J109" s="23">
        <f t="shared" si="27"/>
        <v>20.100000000000001</v>
      </c>
    </row>
    <row r="110" spans="1:10" ht="15.75" customHeight="1" x14ac:dyDescent="0.2">
      <c r="A110" s="21" t="s">
        <v>392</v>
      </c>
      <c r="B110" s="230">
        <f>'Danica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AS'!B110+'Landkreditt Forsikring'!B110+'NEMI Forsikring'!B110+'Nordea Liv '!B110+'Oslo Pensjonsforsikring'!B110+'Protector Forsikring'!B110+'SHB Liv'!B110+'Sparebank 1'!B110+'Storebrand Livsforsikring'!B110+'Telenor Forsikring'!B110+'Tryg Forsikring'!B110</f>
        <v>54816.607929999998</v>
      </c>
      <c r="C110" s="230">
        <f>'Danica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AS'!C110+'Landkreditt Forsikring'!C110+'NEMI Forsikring'!C110+'Nordea Liv '!C110+'Oslo Pensjonsforsikring'!C110+'Protector Forsikring'!C110+'SHB Liv'!C110+'Sparebank 1'!C110+'Storebrand Livsforsikring'!C110+'Telenor Forsikring'!C110+'Tryg Forsikring'!C110</f>
        <v>184192.36441000001</v>
      </c>
      <c r="D110" s="23">
        <f t="shared" si="23"/>
        <v>236</v>
      </c>
      <c r="E110" s="44">
        <f>'Danica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AS'!F110+'Landkreditt Forsikring'!F110+'NEMI Forsikring'!F110+'Nordea Liv '!F110+'Oslo Pensjonsforsikring'!F110+'Protector Forsikring'!F110+'SHB Liv'!F110+'Sparebank 1'!F110+'Storebrand Livsforsikring'!F110+'Telenor Forsikring'!F110+'Tryg Forsikring'!F110</f>
        <v>0</v>
      </c>
      <c r="F110" s="44">
        <f>'Danica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AS'!G110+'Landkreditt Forsikring'!G110+'NEMI Forsikring'!G110+'Nordea Liv '!G110+'Oslo Pensjonsforsikring'!G110+'Protector Forsikring'!G110+'SHB Liv'!G110+'Sparebank 1'!G110+'Storebrand Livsforsikring'!G110+'Telenor Forsikring'!G110+'Tryg Forsikring'!G110</f>
        <v>0</v>
      </c>
      <c r="G110" s="166"/>
      <c r="H110" s="233">
        <f t="shared" si="32"/>
        <v>54816.607929999998</v>
      </c>
      <c r="I110" s="233">
        <f t="shared" si="33"/>
        <v>184192.36441000001</v>
      </c>
      <c r="J110" s="23">
        <f t="shared" si="27"/>
        <v>236</v>
      </c>
    </row>
    <row r="111" spans="1:10" s="43" customFormat="1" ht="15.75" customHeight="1" x14ac:dyDescent="0.2">
      <c r="A111" s="13" t="s">
        <v>372</v>
      </c>
      <c r="B111" s="300">
        <f>'Danica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AS'!B111+'Landkreditt Forsikring'!B111+'NEMI Forsikring'!B111+'Nordea Liv '!B111+'Oslo Pensjonsforsikring'!B111+'Protector Forsikring'!B111+'SHB Liv'!B111+'Sparebank 1'!B111+'Storebrand Livsforsikring'!B111+'Telenor Forsikring'!B111+'Tryg Forsikring'!B111</f>
        <v>443861.89147000003</v>
      </c>
      <c r="C111" s="300">
        <f>'Danica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AS'!C111+'Landkreditt Forsikring'!C111+'NEMI Forsikring'!C111+'Nordea Liv '!C111+'Oslo Pensjonsforsikring'!C111+'Protector Forsikring'!C111+'SHB Liv'!C111+'Sparebank 1'!C111+'Storebrand Livsforsikring'!C111+'Telenor Forsikring'!C111+'Tryg Forsikring'!C111</f>
        <v>227801.04758999997</v>
      </c>
      <c r="D111" s="24">
        <f t="shared" si="23"/>
        <v>-48.7</v>
      </c>
      <c r="E111" s="232">
        <f>'Danica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AS'!F111+'Landkreditt Forsikring'!F111+'NEMI Forsikring'!F111+'Nordea Liv '!F111+'Oslo Pensjonsforsikring'!F111+'Protector Forsikring'!F111+'SHB Liv'!F111+'Sparebank 1'!F111+'Storebrand Livsforsikring'!F111+'Telenor Forsikring'!F111+'Tryg Forsikring'!F111</f>
        <v>4800049.0777200004</v>
      </c>
      <c r="F111" s="232">
        <f>'Danica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AS'!G111+'Landkreditt Forsikring'!G111+'NEMI Forsikring'!G111+'Nordea Liv '!G111+'Oslo Pensjonsforsikring'!G111+'Protector Forsikring'!G111+'SHB Liv'!G111+'Sparebank 1'!G111+'Storebrand Livsforsikring'!G111+'Telenor Forsikring'!G111+'Tryg Forsikring'!G111</f>
        <v>4274858.4827999994</v>
      </c>
      <c r="G111" s="171">
        <f t="shared" si="24"/>
        <v>-10.9</v>
      </c>
      <c r="H111" s="321">
        <f t="shared" si="32"/>
        <v>5243910.9691900006</v>
      </c>
      <c r="I111" s="321">
        <f t="shared" si="33"/>
        <v>4502659.530389999</v>
      </c>
      <c r="J111" s="24">
        <f t="shared" si="27"/>
        <v>-14.1</v>
      </c>
    </row>
    <row r="112" spans="1:10" ht="15.75" customHeight="1" x14ac:dyDescent="0.2">
      <c r="A112" s="21" t="s">
        <v>9</v>
      </c>
      <c r="B112" s="230">
        <f>'Danica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AS'!B112+'Landkreditt Forsikring'!B112+'NEMI Forsikring'!B112+'Nordea Liv '!B112+'Oslo Pensjonsforsikring'!B112+'Protector Forsikring'!B112+'SHB Liv'!B112+'Sparebank 1'!B112+'Storebrand Livsforsikring'!B112+'Telenor Forsikring'!B112+'Tryg Forsikring'!B112</f>
        <v>428983.21401</v>
      </c>
      <c r="C112" s="230">
        <f>'Danica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AS'!C112+'Landkreditt Forsikring'!C112+'NEMI Forsikring'!C112+'Nordea Liv '!C112+'Oslo Pensjonsforsikring'!C112+'Protector Forsikring'!C112+'SHB Liv'!C112+'Sparebank 1'!C112+'Storebrand Livsforsikring'!C112+'Telenor Forsikring'!C112+'Tryg Forsikring'!C112</f>
        <v>205703.88852000001</v>
      </c>
      <c r="D112" s="23">
        <f t="shared" ref="D112:D126" si="38">IF(B112=0, "    ---- ", IF(ABS(ROUND(100/B112*C112-100,1))&lt;999,ROUND(100/B112*C112-100,1),IF(ROUND(100/B112*C112-100,1)&gt;999,999,-999)))</f>
        <v>-52</v>
      </c>
      <c r="E112" s="44">
        <f>'Danica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AS'!F112+'Landkreditt Forsikring'!F112+'NEMI Forsikring'!F112+'Nordea Liv '!F112+'Oslo Pensjonsforsikring'!F112+'Protector Forsikring'!F112+'SHB Liv'!F112+'Sparebank 1'!F112+'Storebrand Livsforsikring'!F112+'Telenor Forsikring'!F112+'Tryg Forsikring'!F112</f>
        <v>244.72200000000001</v>
      </c>
      <c r="F112" s="44">
        <f>'Danica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AS'!G112+'Landkreditt Forsikring'!G112+'NEMI Forsikring'!G112+'Nordea Liv '!G112+'Oslo Pensjonsforsikring'!G112+'Protector Forsikring'!G112+'SHB Liv'!G112+'Sparebank 1'!G112+'Storebrand Livsforsikring'!G112+'Telenor Forsikring'!G112+'Tryg Forsikring'!G112</f>
        <v>933.62400000000002</v>
      </c>
      <c r="G112" s="166">
        <f t="shared" si="24"/>
        <v>281.5</v>
      </c>
      <c r="H112" s="233">
        <f t="shared" ref="H112:H126" si="39">SUM(B112,E112)</f>
        <v>429227.93601</v>
      </c>
      <c r="I112" s="233">
        <f t="shared" ref="I112:I126" si="40">SUM(C112,F112)</f>
        <v>206637.51252000002</v>
      </c>
      <c r="J112" s="23">
        <f t="shared" ref="J112:J126" si="41">IF(H112=0, "    ---- ", IF(ABS(ROUND(100/H112*I112-100,1))&lt;999,ROUND(100/H112*I112-100,1),IF(ROUND(100/H112*I112-100,1)&gt;999,999,-999)))</f>
        <v>-51.9</v>
      </c>
    </row>
    <row r="113" spans="1:10" ht="15.75" customHeight="1" x14ac:dyDescent="0.2">
      <c r="A113" s="21" t="s">
        <v>10</v>
      </c>
      <c r="B113" s="230">
        <f>'Danica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AS'!B113+'Landkreditt Forsikring'!B113+'NEMI Forsikring'!B113+'Nordea Liv '!B113+'Oslo Pensjonsforsikring'!B113+'Protector Forsikring'!B113+'SHB Liv'!B113+'Sparebank 1'!B113+'Storebrand Livsforsikring'!B113+'Telenor Forsikring'!B113+'Tryg Forsikring'!B113</f>
        <v>0</v>
      </c>
      <c r="C113" s="230">
        <f>'Danica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AS'!C113+'Landkreditt Forsikring'!C113+'NEMI Forsikring'!C113+'Nordea Liv '!C113+'Oslo Pensjonsforsikring'!C113+'Protector Forsikring'!C113+'SHB Liv'!C113+'Sparebank 1'!C113+'Storebrand Livsforsikring'!C113+'Telenor Forsikring'!C113+'Tryg Forsikring'!C113</f>
        <v>267.77300000000002</v>
      </c>
      <c r="D113" s="23" t="str">
        <f t="shared" si="38"/>
        <v xml:space="preserve">    ---- </v>
      </c>
      <c r="E113" s="44">
        <f>'Danica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AS'!F113+'Landkreditt Forsikring'!F113+'NEMI Forsikring'!F113+'Nordea Liv '!F113+'Oslo Pensjonsforsikring'!F113+'Protector Forsikring'!F113+'SHB Liv'!F113+'Sparebank 1'!F113+'Storebrand Livsforsikring'!F113+'Telenor Forsikring'!F113+'Tryg Forsikring'!F113</f>
        <v>4786241.4977200003</v>
      </c>
      <c r="F113" s="44">
        <f>'Danica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AS'!G113+'Landkreditt Forsikring'!G113+'NEMI Forsikring'!G113+'Nordea Liv '!G113+'Oslo Pensjonsforsikring'!G113+'Protector Forsikring'!G113+'SHB Liv'!G113+'Sparebank 1'!G113+'Storebrand Livsforsikring'!G113+'Telenor Forsikring'!G113+'Tryg Forsikring'!G113</f>
        <v>4246900.4005300002</v>
      </c>
      <c r="G113" s="171">
        <f t="shared" si="24"/>
        <v>-11.3</v>
      </c>
      <c r="H113" s="233">
        <f t="shared" si="39"/>
        <v>4786241.4977200003</v>
      </c>
      <c r="I113" s="233">
        <f t="shared" si="40"/>
        <v>4247168.1735300003</v>
      </c>
      <c r="J113" s="24">
        <f t="shared" si="41"/>
        <v>-11.3</v>
      </c>
    </row>
    <row r="114" spans="1:10" ht="15.75" customHeight="1" x14ac:dyDescent="0.2">
      <c r="A114" s="21" t="s">
        <v>26</v>
      </c>
      <c r="B114" s="230">
        <f>'Danica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AS'!B114+'Landkreditt Forsikring'!B114+'NEMI Forsikring'!B114+'Nordea Liv '!B114+'Oslo Pensjonsforsikring'!B114+'Protector Forsikring'!B114+'SHB Liv'!B114+'Sparebank 1'!B114+'Storebrand Livsforsikring'!B114+'Telenor Forsikring'!B114+'Tryg Forsikring'!B114</f>
        <v>14878.677459999999</v>
      </c>
      <c r="C114" s="230">
        <f>'Danica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AS'!C114+'Landkreditt Forsikring'!C114+'NEMI Forsikring'!C114+'Nordea Liv '!C114+'Oslo Pensjonsforsikring'!C114+'Protector Forsikring'!C114+'SHB Liv'!C114+'Sparebank 1'!C114+'Storebrand Livsforsikring'!C114+'Telenor Forsikring'!C114+'Tryg Forsikring'!C114</f>
        <v>21829.38607</v>
      </c>
      <c r="D114" s="23">
        <f t="shared" si="38"/>
        <v>46.7</v>
      </c>
      <c r="E114" s="44">
        <f>'Danica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AS'!F114+'Landkreditt Forsikring'!F114+'NEMI Forsikring'!F114+'Nordea Liv '!F114+'Oslo Pensjonsforsikring'!F114+'Protector Forsikring'!F114+'SHB Liv'!F114+'Sparebank 1'!F114+'Storebrand Livsforsikring'!F114+'Telenor Forsikring'!F114+'Tryg Forsikring'!F114</f>
        <v>13562.858</v>
      </c>
      <c r="F114" s="44">
        <f>'Danica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AS'!G114+'Landkreditt Forsikring'!G114+'NEMI Forsikring'!G114+'Nordea Liv '!G114+'Oslo Pensjonsforsikring'!G114+'Protector Forsikring'!G114+'SHB Liv'!G114+'Sparebank 1'!G114+'Storebrand Livsforsikring'!G114+'Telenor Forsikring'!G114+'Tryg Forsikring'!G114</f>
        <v>27024.458269999999</v>
      </c>
      <c r="G114" s="171">
        <f t="shared" si="24"/>
        <v>99.3</v>
      </c>
      <c r="H114" s="233">
        <f t="shared" si="39"/>
        <v>28441.535459999999</v>
      </c>
      <c r="I114" s="233">
        <f t="shared" si="40"/>
        <v>48853.844339999996</v>
      </c>
      <c r="J114" s="24">
        <f t="shared" si="41"/>
        <v>71.8</v>
      </c>
    </row>
    <row r="115" spans="1:10" ht="15.75" customHeight="1" x14ac:dyDescent="0.2">
      <c r="A115" s="288" t="s">
        <v>15</v>
      </c>
      <c r="B115" s="231"/>
      <c r="C115" s="231"/>
      <c r="D115" s="27"/>
      <c r="E115" s="231"/>
      <c r="F115" s="231"/>
      <c r="G115" s="166"/>
      <c r="H115" s="231"/>
      <c r="I115" s="231"/>
      <c r="J115" s="23"/>
    </row>
    <row r="116" spans="1:10" ht="15.75" customHeight="1" x14ac:dyDescent="0.2">
      <c r="A116" s="21" t="s">
        <v>393</v>
      </c>
      <c r="B116" s="230">
        <f>'Danica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AS'!B116+'Landkreditt Forsikring'!B116+'NEMI Forsikring'!B116+'Nordea Liv '!B116+'Oslo Pensjonsforsikring'!B116+'Protector Forsikring'!B116+'SHB Liv'!B116+'Sparebank 1'!B116+'Storebrand Livsforsikring'!B116+'Telenor Forsikring'!B116+'Tryg Forsikring'!B116</f>
        <v>46339.973810000003</v>
      </c>
      <c r="C116" s="230">
        <f>'Danica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AS'!C116+'Landkreditt Forsikring'!C116+'NEMI Forsikring'!C116+'Nordea Liv '!C116+'Oslo Pensjonsforsikring'!C116+'Protector Forsikring'!C116+'SHB Liv'!C116+'Sparebank 1'!C116+'Storebrand Livsforsikring'!C116+'Telenor Forsikring'!C116+'Tryg Forsikring'!C116</f>
        <v>33584.701249999998</v>
      </c>
      <c r="D116" s="23">
        <f t="shared" si="38"/>
        <v>-27.5</v>
      </c>
      <c r="E116" s="44">
        <f>'Danica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AS'!F116+'Landkreditt Forsikring'!F116+'NEMI Forsikring'!F116+'Nordea Liv '!F116+'Oslo Pensjonsforsikring'!F116+'Protector Forsikring'!F116+'SHB Liv'!F116+'Sparebank 1'!F116+'Storebrand Livsforsikring'!F116+'Telenor Forsikring'!F116+'Tryg Forsikring'!F116</f>
        <v>550.54600000000005</v>
      </c>
      <c r="F116" s="44">
        <f>'Danica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AS'!G116+'Landkreditt Forsikring'!G116+'NEMI Forsikring'!G116+'Nordea Liv '!G116+'Oslo Pensjonsforsikring'!G116+'Protector Forsikring'!G116+'SHB Liv'!G116+'Sparebank 1'!G116+'Storebrand Livsforsikring'!G116+'Telenor Forsikring'!G116+'Tryg Forsikring'!G116</f>
        <v>933.62400000000002</v>
      </c>
      <c r="G116" s="166">
        <f t="shared" si="24"/>
        <v>69.599999999999994</v>
      </c>
      <c r="H116" s="233">
        <f t="shared" si="39"/>
        <v>46890.519810000005</v>
      </c>
      <c r="I116" s="233">
        <f t="shared" si="40"/>
        <v>34518.325250000002</v>
      </c>
      <c r="J116" s="23">
        <f t="shared" si="41"/>
        <v>-26.4</v>
      </c>
    </row>
    <row r="117" spans="1:10" ht="15.75" customHeight="1" x14ac:dyDescent="0.2">
      <c r="A117" s="21" t="s">
        <v>394</v>
      </c>
      <c r="B117" s="230">
        <f>'Danica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AS'!B117+'Landkreditt Forsikring'!B117+'NEMI Forsikring'!B117+'Nordea Liv '!B117+'Oslo Pensjonsforsikring'!B117+'Protector Forsikring'!B117+'SHB Liv'!B117+'Sparebank 1'!B117+'Storebrand Livsforsikring'!B117+'Telenor Forsikring'!B117+'Tryg Forsikring'!B117</f>
        <v>0</v>
      </c>
      <c r="C117" s="230">
        <f>'Danica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AS'!C117+'Landkreditt Forsikring'!C117+'NEMI Forsikring'!C117+'Nordea Liv '!C117+'Oslo Pensjonsforsikring'!C117+'Protector Forsikring'!C117+'SHB Liv'!C117+'Sparebank 1'!C117+'Storebrand Livsforsikring'!C117+'Telenor Forsikring'!C117+'Tryg Forsikring'!C117</f>
        <v>0</v>
      </c>
      <c r="D117" s="23"/>
      <c r="E117" s="44">
        <f>'Danica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AS'!F117+'Landkreditt Forsikring'!F117+'NEMI Forsikring'!F117+'Nordea Liv '!F117+'Oslo Pensjonsforsikring'!F117+'Protector Forsikring'!F117+'SHB Liv'!F117+'Sparebank 1'!F117+'Storebrand Livsforsikring'!F117+'Telenor Forsikring'!F117+'Tryg Forsikring'!F117</f>
        <v>498398.59233999997</v>
      </c>
      <c r="F117" s="44">
        <f>'Danica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AS'!G117+'Landkreditt Forsikring'!G117+'NEMI Forsikring'!G117+'Nordea Liv '!G117+'Oslo Pensjonsforsikring'!G117+'Protector Forsikring'!G117+'SHB Liv'!G117+'Sparebank 1'!G117+'Storebrand Livsforsikring'!G117+'Telenor Forsikring'!G117+'Tryg Forsikring'!G117</f>
        <v>544434.71598999994</v>
      </c>
      <c r="G117" s="166">
        <f t="shared" si="24"/>
        <v>9.1999999999999993</v>
      </c>
      <c r="H117" s="233">
        <f t="shared" si="39"/>
        <v>498398.59233999997</v>
      </c>
      <c r="I117" s="233">
        <f t="shared" si="40"/>
        <v>544434.71598999994</v>
      </c>
      <c r="J117" s="23">
        <f t="shared" si="41"/>
        <v>9.1999999999999993</v>
      </c>
    </row>
    <row r="118" spans="1:10" ht="15.75" customHeight="1" x14ac:dyDescent="0.2">
      <c r="A118" s="21" t="s">
        <v>392</v>
      </c>
      <c r="B118" s="230">
        <f>'Danica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AS'!B118+'Landkreditt Forsikring'!B118+'NEMI Forsikring'!B118+'Nordea Liv '!B118+'Oslo Pensjonsforsikring'!B118+'Protector Forsikring'!B118+'SHB Liv'!B118+'Sparebank 1'!B118+'Storebrand Livsforsikring'!B118+'Telenor Forsikring'!B118+'Tryg Forsikring'!B118</f>
        <v>2448.72622</v>
      </c>
      <c r="C118" s="230">
        <f>'Danica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AS'!C118+'Landkreditt Forsikring'!C118+'NEMI Forsikring'!C118+'Nordea Liv '!C118+'Oslo Pensjonsforsikring'!C118+'Protector Forsikring'!C118+'SHB Liv'!C118+'Sparebank 1'!C118+'Storebrand Livsforsikring'!C118+'Telenor Forsikring'!C118+'Tryg Forsikring'!C118</f>
        <v>0</v>
      </c>
      <c r="D118" s="23">
        <f t="shared" si="38"/>
        <v>-100</v>
      </c>
      <c r="E118" s="44">
        <f>'Danica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AS'!F118+'Landkreditt Forsikring'!F118+'NEMI Forsikring'!F118+'Nordea Liv '!F118+'Oslo Pensjonsforsikring'!F118+'Protector Forsikring'!F118+'SHB Liv'!F118+'Sparebank 1'!F118+'Storebrand Livsforsikring'!F118+'Telenor Forsikring'!F118+'Tryg Forsikring'!F118</f>
        <v>0</v>
      </c>
      <c r="F118" s="44">
        <f>'Danica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AS'!G118+'Landkreditt Forsikring'!G118+'NEMI Forsikring'!G118+'Nordea Liv '!G118+'Oslo Pensjonsforsikring'!G118+'Protector Forsikring'!G118+'SHB Liv'!G118+'Sparebank 1'!G118+'Storebrand Livsforsikring'!G118+'Telenor Forsikring'!G118+'Tryg Forsikring'!G118</f>
        <v>0</v>
      </c>
      <c r="G118" s="166"/>
      <c r="H118" s="233">
        <f t="shared" si="39"/>
        <v>2448.72622</v>
      </c>
      <c r="I118" s="233">
        <f t="shared" si="40"/>
        <v>0</v>
      </c>
      <c r="J118" s="23">
        <f t="shared" si="41"/>
        <v>-100</v>
      </c>
    </row>
    <row r="119" spans="1:10" s="43" customFormat="1" ht="15.75" customHeight="1" x14ac:dyDescent="0.2">
      <c r="A119" s="13" t="s">
        <v>373</v>
      </c>
      <c r="B119" s="321">
        <f>'Danica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AS'!B119+'Landkreditt Forsikring'!B119+'NEMI Forsikring'!B119+'Nordea Liv '!B119+'Oslo Pensjonsforsikring'!B119+'Protector Forsikring'!B119+'SHB Liv'!B119+'Sparebank 1'!B119+'Storebrand Livsforsikring'!B119+'Telenor Forsikring'!B119+'Tryg Forsikring'!B119</f>
        <v>170176.22447999968</v>
      </c>
      <c r="C119" s="321">
        <f>'Danica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AS'!C119+'Landkreditt Forsikring'!C119+'NEMI Forsikring'!C119+'Nordea Liv '!C119+'Oslo Pensjonsforsikring'!C119+'Protector Forsikring'!C119+'SHB Liv'!C119+'Sparebank 1'!C119+'Storebrand Livsforsikring'!C119+'Telenor Forsikring'!C119+'Tryg Forsikring'!C119</f>
        <v>186074.15502999991</v>
      </c>
      <c r="D119" s="24">
        <f t="shared" si="38"/>
        <v>9.3000000000000007</v>
      </c>
      <c r="E119" s="232">
        <f>'Danica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AS'!F119+'Landkreditt Forsikring'!F119+'NEMI Forsikring'!F119+'Nordea Liv '!F119+'Oslo Pensjonsforsikring'!F119+'Protector Forsikring'!F119+'SHB Liv'!F119+'Sparebank 1'!F119+'Storebrand Livsforsikring'!F119+'Telenor Forsikring'!F119+'Tryg Forsikring'!F119</f>
        <v>5018920.8331699995</v>
      </c>
      <c r="F119" s="232">
        <f>'Danica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AS'!G119+'Landkreditt Forsikring'!G119+'NEMI Forsikring'!G119+'Nordea Liv '!G119+'Oslo Pensjonsforsikring'!G119+'Protector Forsikring'!G119+'SHB Liv'!G119+'Sparebank 1'!G119+'Storebrand Livsforsikring'!G119+'Telenor Forsikring'!G119+'Tryg Forsikring'!G119</f>
        <v>4369085.9826800004</v>
      </c>
      <c r="G119" s="171">
        <f t="shared" si="24"/>
        <v>-12.9</v>
      </c>
      <c r="H119" s="321">
        <f t="shared" si="39"/>
        <v>5189097.0576499989</v>
      </c>
      <c r="I119" s="321">
        <f t="shared" si="40"/>
        <v>4555160.1377100004</v>
      </c>
      <c r="J119" s="24">
        <f t="shared" si="41"/>
        <v>-12.2</v>
      </c>
    </row>
    <row r="120" spans="1:10" ht="15.75" customHeight="1" x14ac:dyDescent="0.2">
      <c r="A120" s="21" t="s">
        <v>9</v>
      </c>
      <c r="B120" s="233">
        <f>'Danica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AS'!B120+'Landkreditt Forsikring'!B120+'NEMI Forsikring'!B120+'Nordea Liv '!B120+'Oslo Pensjonsforsikring'!B120+'Protector Forsikring'!B120+'SHB Liv'!B120+'Sparebank 1'!B120+'Storebrand Livsforsikring'!B120+'Telenor Forsikring'!B120+'Tryg Forsikring'!B120</f>
        <v>115446.4116399997</v>
      </c>
      <c r="C120" s="233">
        <f>'Danica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AS'!C120+'Landkreditt Forsikring'!C120+'NEMI Forsikring'!C120+'Nordea Liv '!C120+'Oslo Pensjonsforsikring'!C120+'Protector Forsikring'!C120+'SHB Liv'!C120+'Sparebank 1'!C120+'Storebrand Livsforsikring'!C120+'Telenor Forsikring'!C120+'Tryg Forsikring'!C120</f>
        <v>110884.5804799999</v>
      </c>
      <c r="D120" s="23">
        <f t="shared" si="38"/>
        <v>-4</v>
      </c>
      <c r="E120" s="44">
        <f>'Danica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AS'!F120+'Landkreditt Forsikring'!F120+'NEMI Forsikring'!F120+'Nordea Liv '!F120+'Oslo Pensjonsforsikring'!F120+'Protector Forsikring'!F120+'SHB Liv'!F120+'Sparebank 1'!F120+'Storebrand Livsforsikring'!F120+'Telenor Forsikring'!F120+'Tryg Forsikring'!F120</f>
        <v>0</v>
      </c>
      <c r="F120" s="44">
        <f>'Danica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AS'!G120+'Landkreditt Forsikring'!G120+'NEMI Forsikring'!G120+'Nordea Liv '!G120+'Oslo Pensjonsforsikring'!G120+'Protector Forsikring'!G120+'SHB Liv'!G120+'Sparebank 1'!G120+'Storebrand Livsforsikring'!G120+'Telenor Forsikring'!G120+'Tryg Forsikring'!G120</f>
        <v>0</v>
      </c>
      <c r="G120" s="166"/>
      <c r="H120" s="233">
        <f t="shared" si="39"/>
        <v>115446.4116399997</v>
      </c>
      <c r="I120" s="233">
        <f t="shared" si="40"/>
        <v>110884.5804799999</v>
      </c>
      <c r="J120" s="23">
        <f t="shared" si="41"/>
        <v>-4</v>
      </c>
    </row>
    <row r="121" spans="1:10" ht="15.75" customHeight="1" x14ac:dyDescent="0.2">
      <c r="A121" s="21" t="s">
        <v>10</v>
      </c>
      <c r="B121" s="233">
        <f>'Danica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AS'!B121+'Landkreditt Forsikring'!B121+'NEMI Forsikring'!B121+'Nordea Liv '!B121+'Oslo Pensjonsforsikring'!B121+'Protector Forsikring'!B121+'SHB Liv'!B121+'Sparebank 1'!B121+'Storebrand Livsforsikring'!B121+'Telenor Forsikring'!B121+'Tryg Forsikring'!B121</f>
        <v>7400.44049</v>
      </c>
      <c r="C121" s="233">
        <f>'Danica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AS'!C121+'Landkreditt Forsikring'!C121+'NEMI Forsikring'!C121+'Nordea Liv '!C121+'Oslo Pensjonsforsikring'!C121+'Protector Forsikring'!C121+'SHB Liv'!C121+'Sparebank 1'!C121+'Storebrand Livsforsikring'!C121+'Telenor Forsikring'!C121+'Tryg Forsikring'!C121</f>
        <v>9439.84555</v>
      </c>
      <c r="D121" s="23">
        <f t="shared" si="38"/>
        <v>27.6</v>
      </c>
      <c r="E121" s="44">
        <f>'Danica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AS'!F121+'Landkreditt Forsikring'!F121+'NEMI Forsikring'!F121+'Nordea Liv '!F121+'Oslo Pensjonsforsikring'!F121+'Protector Forsikring'!F121+'SHB Liv'!F121+'Sparebank 1'!F121+'Storebrand Livsforsikring'!F121+'Telenor Forsikring'!F121+'Tryg Forsikring'!F121</f>
        <v>5019068.9641699996</v>
      </c>
      <c r="F121" s="44">
        <f>'Danica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AS'!G121+'Landkreditt Forsikring'!G121+'NEMI Forsikring'!G121+'Nordea Liv '!G121+'Oslo Pensjonsforsikring'!G121+'Protector Forsikring'!G121+'SHB Liv'!G121+'Sparebank 1'!G121+'Storebrand Livsforsikring'!G121+'Telenor Forsikring'!G121+'Tryg Forsikring'!G121</f>
        <v>4369085.9826800004</v>
      </c>
      <c r="G121" s="166">
        <f t="shared" si="24"/>
        <v>-13</v>
      </c>
      <c r="H121" s="233">
        <f t="shared" si="39"/>
        <v>5026469.4046599995</v>
      </c>
      <c r="I121" s="233">
        <f t="shared" si="40"/>
        <v>4378525.8282300001</v>
      </c>
      <c r="J121" s="23">
        <f t="shared" si="41"/>
        <v>-12.9</v>
      </c>
    </row>
    <row r="122" spans="1:10" ht="15.75" customHeight="1" x14ac:dyDescent="0.2">
      <c r="A122" s="21" t="s">
        <v>26</v>
      </c>
      <c r="B122" s="233">
        <f>'Danica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AS'!B122+'Landkreditt Forsikring'!B122+'NEMI Forsikring'!B122+'Nordea Liv '!B122+'Oslo Pensjonsforsikring'!B122+'Protector Forsikring'!B122+'SHB Liv'!B122+'Sparebank 1'!B122+'Storebrand Livsforsikring'!B122+'Telenor Forsikring'!B122+'Tryg Forsikring'!B122</f>
        <v>47329.372349999998</v>
      </c>
      <c r="C122" s="233">
        <f>'Danica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AS'!C122+'Landkreditt Forsikring'!C122+'NEMI Forsikring'!C122+'Nordea Liv '!C122+'Oslo Pensjonsforsikring'!C122+'Protector Forsikring'!C122+'SHB Liv'!C122+'Sparebank 1'!C122+'Storebrand Livsforsikring'!C122+'Telenor Forsikring'!C122+'Tryg Forsikring'!C122</f>
        <v>65749.729000000007</v>
      </c>
      <c r="D122" s="23">
        <f t="shared" si="38"/>
        <v>38.9</v>
      </c>
      <c r="E122" s="44">
        <f>'Danica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AS'!F122+'Landkreditt Forsikring'!F122+'NEMI Forsikring'!F122+'Nordea Liv '!F122+'Oslo Pensjonsforsikring'!F122+'Protector Forsikring'!F122+'SHB Liv'!F122+'Sparebank 1'!F122+'Storebrand Livsforsikring'!F122+'Telenor Forsikring'!F122+'Tryg Forsikring'!F122</f>
        <v>-148.131</v>
      </c>
      <c r="F122" s="44">
        <f>'Danica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AS'!G122+'Landkreditt Forsikring'!G122+'NEMI Forsikring'!G122+'Nordea Liv '!G122+'Oslo Pensjonsforsikring'!G122+'Protector Forsikring'!G122+'SHB Liv'!G122+'Sparebank 1'!G122+'Storebrand Livsforsikring'!G122+'Telenor Forsikring'!G122+'Tryg Forsikring'!G122</f>
        <v>0</v>
      </c>
      <c r="G122" s="166">
        <f t="shared" si="24"/>
        <v>-100</v>
      </c>
      <c r="H122" s="233">
        <f t="shared" si="39"/>
        <v>47181.241349999997</v>
      </c>
      <c r="I122" s="233">
        <f t="shared" si="40"/>
        <v>65749.729000000007</v>
      </c>
      <c r="J122" s="23">
        <f t="shared" si="41"/>
        <v>39.4</v>
      </c>
    </row>
    <row r="123" spans="1:10" ht="15.75" customHeight="1" x14ac:dyDescent="0.2">
      <c r="A123" s="288" t="s">
        <v>14</v>
      </c>
      <c r="B123" s="231"/>
      <c r="C123" s="231"/>
      <c r="D123" s="27"/>
      <c r="E123" s="231"/>
      <c r="F123" s="231"/>
      <c r="G123" s="166"/>
      <c r="H123" s="231"/>
      <c r="I123" s="231"/>
      <c r="J123" s="23"/>
    </row>
    <row r="124" spans="1:10" ht="15.75" customHeight="1" x14ac:dyDescent="0.2">
      <c r="A124" s="21" t="s">
        <v>390</v>
      </c>
      <c r="B124" s="233">
        <f>'Danica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AS'!B124+'Landkreditt Forsikring'!B124+'NEMI Forsikring'!B124+'Nordea Liv '!B124+'Oslo Pensjonsforsikring'!B124+'Protector Forsikring'!B124+'SHB Liv'!B124+'Sparebank 1'!B124+'Storebrand Livsforsikring'!B124+'Telenor Forsikring'!B124+'Tryg Forsikring'!B124</f>
        <v>33674.014000000003</v>
      </c>
      <c r="C124" s="233">
        <f>'Danica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AS'!C124+'Landkreditt Forsikring'!C124+'NEMI Forsikring'!C124+'Nordea Liv '!C124+'Oslo Pensjonsforsikring'!C124+'Protector Forsikring'!C124+'SHB Liv'!C124+'Sparebank 1'!C124+'Storebrand Livsforsikring'!C124+'Telenor Forsikring'!C124+'Tryg Forsikring'!C124</f>
        <v>17248.031999999999</v>
      </c>
      <c r="D124" s="23">
        <f t="shared" si="38"/>
        <v>-48.8</v>
      </c>
      <c r="E124" s="44">
        <f>'Danica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AS'!F124+'Landkreditt Forsikring'!F124+'NEMI Forsikring'!F124+'Nordea Liv '!F124+'Oslo Pensjonsforsikring'!F124+'Protector Forsikring'!F124+'SHB Liv'!F124+'Sparebank 1'!F124+'Storebrand Livsforsikring'!F124+'Telenor Forsikring'!F124+'Tryg Forsikring'!F124</f>
        <v>1219.5930000000001</v>
      </c>
      <c r="F124" s="44">
        <f>'Danica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AS'!G124+'Landkreditt Forsikring'!G124+'NEMI Forsikring'!G124+'Nordea Liv '!G124+'Oslo Pensjonsforsikring'!G124+'Protector Forsikring'!G124+'SHB Liv'!G124+'Sparebank 1'!G124+'Storebrand Livsforsikring'!G124+'Telenor Forsikring'!G124+'Tryg Forsikring'!G124</f>
        <v>3302.971</v>
      </c>
      <c r="G124" s="166">
        <f t="shared" si="24"/>
        <v>170.8</v>
      </c>
      <c r="H124" s="233">
        <f t="shared" si="39"/>
        <v>34893.607000000004</v>
      </c>
      <c r="I124" s="233">
        <f t="shared" si="40"/>
        <v>20551.003000000001</v>
      </c>
      <c r="J124" s="23">
        <f t="shared" si="41"/>
        <v>-41.1</v>
      </c>
    </row>
    <row r="125" spans="1:10" ht="15.75" customHeight="1" x14ac:dyDescent="0.2">
      <c r="A125" s="21" t="s">
        <v>391</v>
      </c>
      <c r="B125" s="233">
        <f>'Danica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AS'!B125+'Landkreditt Forsikring'!B125+'NEMI Forsikring'!B125+'Nordea Liv '!B125+'Oslo Pensjonsforsikring'!B125+'Protector Forsikring'!B125+'SHB Liv'!B125+'Sparebank 1'!B125+'Storebrand Livsforsikring'!B125+'Telenor Forsikring'!B125+'Tryg Forsikring'!B125</f>
        <v>656.42762999999991</v>
      </c>
      <c r="C125" s="233">
        <f>'Danica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AS'!C125+'Landkreditt Forsikring'!C125+'NEMI Forsikring'!C125+'Nordea Liv '!C125+'Oslo Pensjonsforsikring'!C125+'Protector Forsikring'!C125+'SHB Liv'!C125+'Sparebank 1'!C125+'Storebrand Livsforsikring'!C125+'Telenor Forsikring'!C125+'Tryg Forsikring'!C125</f>
        <v>119.59761</v>
      </c>
      <c r="D125" s="23">
        <f t="shared" si="38"/>
        <v>-81.8</v>
      </c>
      <c r="E125" s="44">
        <f>'Danica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AS'!F125+'Landkreditt Forsikring'!F125+'NEMI Forsikring'!F125+'Nordea Liv '!F125+'Oslo Pensjonsforsikring'!F125+'Protector Forsikring'!F125+'SHB Liv'!F125+'Sparebank 1'!F125+'Storebrand Livsforsikring'!F125+'Telenor Forsikring'!F125+'Tryg Forsikring'!F125</f>
        <v>369916.31357999996</v>
      </c>
      <c r="F125" s="44">
        <f>'Danica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AS'!G125+'Landkreditt Forsikring'!G125+'NEMI Forsikring'!G125+'Nordea Liv '!G125+'Oslo Pensjonsforsikring'!G125+'Protector Forsikring'!G125+'SHB Liv'!G125+'Sparebank 1'!G125+'Storebrand Livsforsikring'!G125+'Telenor Forsikring'!G125+'Tryg Forsikring'!G125</f>
        <v>497506.69942999998</v>
      </c>
      <c r="G125" s="166">
        <f t="shared" si="24"/>
        <v>34.5</v>
      </c>
      <c r="H125" s="233">
        <f t="shared" si="39"/>
        <v>370572.74120999995</v>
      </c>
      <c r="I125" s="233">
        <f t="shared" si="40"/>
        <v>497626.29703999998</v>
      </c>
      <c r="J125" s="23">
        <f t="shared" si="41"/>
        <v>34.299999999999997</v>
      </c>
    </row>
    <row r="126" spans="1:10" ht="15.75" customHeight="1" x14ac:dyDescent="0.2">
      <c r="A126" s="10" t="s">
        <v>392</v>
      </c>
      <c r="B126" s="234">
        <f>'Danica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AS'!B126+'Landkreditt Forsikring'!B126+'NEMI Forsikring'!B126+'Nordea Liv '!B126+'Oslo Pensjonsforsikring'!B126+'Protector Forsikring'!B126+'SHB Liv'!B126+'Sparebank 1'!B126+'Storebrand Livsforsikring'!B126+'Telenor Forsikring'!B126+'Tryg Forsikring'!B126</f>
        <v>0</v>
      </c>
      <c r="C126" s="234">
        <f>'Danica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AS'!C126+'Landkreditt Forsikring'!C126+'NEMI Forsikring'!C126+'Nordea Liv '!C126+'Oslo Pensjonsforsikring'!C126+'Protector Forsikring'!C126+'SHB Liv'!C126+'Sparebank 1'!C126+'Storebrand Livsforsikring'!C126+'Telenor Forsikring'!C126+'Tryg Forsikring'!C126</f>
        <v>522.41161999999997</v>
      </c>
      <c r="D126" s="22" t="str">
        <f t="shared" si="38"/>
        <v xml:space="preserve">    ---- </v>
      </c>
      <c r="E126" s="45">
        <f>'Danica Pensjonsforsikring'!F126+'DNB Livsforsikring'!F126+'Eika Forsikring AS'!F126+'Frende Livsforsikring'!F126+'Frende Skadeforsikring'!F126+'Gjensidige Forsikring'!F126+'Gjensidige Pensjon'!F126+'Handelsbanken Liv'!F126+'If Skadeforsikring NUF'!F126+KLP!F126+'KLP Bedriftspensjon AS'!F126+'KLP Skadeforsikring AS'!F126+'Landkreditt Forsikring'!F126+'NEMI Forsikring'!F126+'Nordea Liv '!F126+'Oslo Pensjonsforsikring'!F126+'Protector Forsikring'!F126+'SHB Liv'!F126+'Sparebank 1'!F126+'Storebrand Livsforsikring'!F126+'Telenor Forsikring'!F126+'Tryg Forsikring'!F126</f>
        <v>0</v>
      </c>
      <c r="F126" s="45">
        <f>'Danica Pensjonsforsikring'!G126+'DNB Livsforsikring'!G126+'Eika Forsikring AS'!G126+'Frende Livsforsikring'!G126+'Frende Skadeforsikring'!G126+'Gjensidige Forsikring'!G126+'Gjensidige Pensjon'!G126+'Handelsbanken Liv'!G126+'If Skadeforsikring NUF'!G126+KLP!G126+'KLP Bedriftspensjon AS'!G126+'KLP Skadeforsikring AS'!G126+'Landkreditt Forsikring'!G126+'NEMI Forsikring'!G126+'Nordea Liv '!G126+'Oslo Pensjonsforsikring'!G126+'Protector Forsikring'!G126+'SHB Liv'!G126+'Sparebank 1'!G126+'Storebrand Livsforsikring'!G126+'Telenor Forsikring'!G126+'Tryg Forsikring'!G126</f>
        <v>0</v>
      </c>
      <c r="G126" s="167"/>
      <c r="H126" s="234">
        <f t="shared" si="39"/>
        <v>0</v>
      </c>
      <c r="I126" s="235">
        <f t="shared" si="40"/>
        <v>522.41161999999997</v>
      </c>
      <c r="J126" s="22" t="str">
        <f t="shared" si="41"/>
        <v xml:space="preserve">    ---- </v>
      </c>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677"/>
      <c r="C130" s="677"/>
      <c r="D130" s="677"/>
      <c r="E130" s="677"/>
      <c r="F130" s="677"/>
      <c r="G130" s="677"/>
      <c r="H130" s="677"/>
      <c r="I130" s="677"/>
      <c r="J130" s="677"/>
    </row>
    <row r="131" spans="1:10" s="3" customFormat="1" ht="20.100000000000001" customHeight="1" x14ac:dyDescent="0.2">
      <c r="A131" s="144"/>
      <c r="B131" s="678" t="s">
        <v>0</v>
      </c>
      <c r="C131" s="679"/>
      <c r="D131" s="680"/>
      <c r="E131" s="679" t="s">
        <v>1</v>
      </c>
      <c r="F131" s="679"/>
      <c r="G131" s="679"/>
      <c r="H131" s="678" t="s">
        <v>2</v>
      </c>
      <c r="I131" s="679"/>
      <c r="J131" s="680"/>
    </row>
    <row r="132" spans="1:10" s="3" customFormat="1" ht="15.75" customHeight="1" x14ac:dyDescent="0.2">
      <c r="A132" s="140"/>
      <c r="B132" s="20" t="s">
        <v>416</v>
      </c>
      <c r="C132" s="20" t="s">
        <v>417</v>
      </c>
      <c r="D132" s="19" t="s">
        <v>3</v>
      </c>
      <c r="E132" s="20" t="s">
        <v>416</v>
      </c>
      <c r="F132" s="20" t="s">
        <v>417</v>
      </c>
      <c r="G132" s="19" t="s">
        <v>3</v>
      </c>
      <c r="H132" s="20" t="s">
        <v>416</v>
      </c>
      <c r="I132" s="20" t="s">
        <v>417</v>
      </c>
      <c r="J132" s="19" t="s">
        <v>3</v>
      </c>
    </row>
    <row r="133" spans="1:10" s="3" customFormat="1" ht="15.75" customHeight="1" x14ac:dyDescent="0.2">
      <c r="A133" s="650"/>
      <c r="B133" s="15"/>
      <c r="C133" s="15"/>
      <c r="D133" s="17" t="s">
        <v>4</v>
      </c>
      <c r="E133" s="16"/>
      <c r="F133" s="16"/>
      <c r="G133" s="15" t="s">
        <v>4</v>
      </c>
      <c r="H133" s="16"/>
      <c r="I133" s="16"/>
      <c r="J133" s="15" t="s">
        <v>4</v>
      </c>
    </row>
    <row r="134" spans="1:10" s="361" customFormat="1" ht="15.75" customHeight="1" x14ac:dyDescent="0.2">
      <c r="A134" s="14" t="s">
        <v>395</v>
      </c>
      <c r="B134" s="232">
        <f>'Danica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AS'!B134+'Landkreditt Forsikring'!B134+'NEMI Forsikring'!B134+'Nordea Liv '!B134+'Oslo Pensjonsforsikring'!B134+'Protector Forsikring'!B134+'SHB Liv'!B134+'Sparebank 1'!B134+'Storebrand Livsforsikring'!B134+'Telenor Forsikring'!B134+'Tryg Forsikring'!B134</f>
        <v>7095848.5151000004</v>
      </c>
      <c r="C134" s="232">
        <f>'Danica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AS'!C134+'Landkreditt Forsikring'!C134+'NEMI Forsikring'!C134+'Nordea Liv '!C134+'Oslo Pensjonsforsikring'!C134+'Protector Forsikring'!C134+'SHB Liv'!C134+'Sparebank 1'!C134+'Storebrand Livsforsikring'!C134+'Telenor Forsikring'!C134+'Tryg Forsikring'!C134</f>
        <v>7724103.9205499999</v>
      </c>
      <c r="D134" s="11">
        <f t="shared" ref="D134:D137" si="42">IF(B134=0, "    ---- ", IF(ABS(ROUND(100/B134*C134-100,1))&lt;999,ROUND(100/B134*C134-100,1),IF(ROUND(100/B134*C134-100,1)&gt;999,999,-999)))</f>
        <v>8.9</v>
      </c>
      <c r="E134" s="232">
        <f>'Danica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AS'!F134+'Landkreditt Forsikring'!F134+'NEMI Forsikring'!F134+'Nordea Liv '!F134+'Oslo Pensjonsforsikring'!F134+'Protector Forsikring'!F134+'SHB Liv'!F134+'Sparebank 1'!F134+'Storebrand Livsforsikring'!F134+'Telenor Forsikring'!F134+'Tryg Forsikring'!F134</f>
        <v>20875.777999999998</v>
      </c>
      <c r="F134" s="232">
        <f>'Danica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AS'!G134+'Landkreditt Forsikring'!G134+'NEMI Forsikring'!G134+'Nordea Liv '!G134+'Oslo Pensjonsforsikring'!G134+'Protector Forsikring'!G134+'SHB Liv'!G134+'Sparebank 1'!G134+'Storebrand Livsforsikring'!G134+'Telenor Forsikring'!G134+'Tryg Forsikring'!G134</f>
        <v>19489.256000000001</v>
      </c>
      <c r="G134" s="11">
        <f t="shared" ref="G134:G135" si="43">IF(E134=0, "    ---- ", IF(ABS(ROUND(100/E134*F134-100,1))&lt;999,ROUND(100/E134*F134-100,1),IF(ROUND(100/E134*F134-100,1)&gt;999,999,-999)))</f>
        <v>-6.6</v>
      </c>
      <c r="H134" s="232">
        <f t="shared" ref="H134:I137" si="44">SUM(B134,E134)</f>
        <v>7116724.2931000004</v>
      </c>
      <c r="I134" s="232">
        <f t="shared" si="44"/>
        <v>7743593.17655</v>
      </c>
      <c r="J134" s="11">
        <f t="shared" ref="J134:J137" si="45">IF(H134=0, "    ---- ", IF(ABS(ROUND(100/H134*I134-100,1))&lt;999,ROUND(100/H134*I134-100,1),IF(ROUND(100/H134*I134-100,1)&gt;999,999,-999)))</f>
        <v>8.8000000000000007</v>
      </c>
    </row>
    <row r="135" spans="1:10" s="361" customFormat="1" ht="15.75" customHeight="1" x14ac:dyDescent="0.2">
      <c r="A135" s="13" t="s">
        <v>396</v>
      </c>
      <c r="B135" s="232">
        <f>'Danica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AS'!B135+'Landkreditt Forsikring'!B135+'NEMI Forsikring'!B135+'Nordea Liv '!B135+'Oslo Pensjonsforsikring'!B135+'Protector Forsikring'!B135+'SHB Liv'!B135+'Sparebank 1'!B135+'Storebrand Livsforsikring'!B135+'Telenor Forsikring'!B135+'Tryg Forsikring'!B135</f>
        <v>524790162.00976998</v>
      </c>
      <c r="C135" s="232">
        <f>'Danica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AS'!C135+'Landkreditt Forsikring'!C135+'NEMI Forsikring'!C135+'Nordea Liv '!C135+'Oslo Pensjonsforsikring'!C135+'Protector Forsikring'!C135+'SHB Liv'!C135+'Sparebank 1'!C135+'Storebrand Livsforsikring'!C135+'Telenor Forsikring'!C135+'Tryg Forsikring'!C135</f>
        <v>555615524.04275036</v>
      </c>
      <c r="D135" s="11">
        <f t="shared" si="42"/>
        <v>5.9</v>
      </c>
      <c r="E135" s="232">
        <f>'Danica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AS'!F135+'Landkreditt Forsikring'!F135+'NEMI Forsikring'!F135+'Nordea Liv '!F135+'Oslo Pensjonsforsikring'!F135+'Protector Forsikring'!F135+'SHB Liv'!F135+'Sparebank 1'!F135+'Storebrand Livsforsikring'!F135+'Telenor Forsikring'!F135+'Tryg Forsikring'!F135</f>
        <v>2344983.7411500001</v>
      </c>
      <c r="F135" s="232">
        <f>'Danica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AS'!G135+'Landkreditt Forsikring'!G135+'NEMI Forsikring'!G135+'Nordea Liv '!G135+'Oslo Pensjonsforsikring'!G135+'Protector Forsikring'!G135+'SHB Liv'!G135+'Sparebank 1'!G135+'Storebrand Livsforsikring'!G135+'Telenor Forsikring'!G135+'Tryg Forsikring'!G135</f>
        <v>2497218.77415</v>
      </c>
      <c r="G135" s="11">
        <f t="shared" si="43"/>
        <v>6.5</v>
      </c>
      <c r="H135" s="232">
        <f t="shared" si="44"/>
        <v>527135145.75092</v>
      </c>
      <c r="I135" s="232">
        <f t="shared" si="44"/>
        <v>558112742.81690037</v>
      </c>
      <c r="J135" s="11">
        <f t="shared" si="45"/>
        <v>5.9</v>
      </c>
    </row>
    <row r="136" spans="1:10" s="361" customFormat="1" ht="15.75" customHeight="1" x14ac:dyDescent="0.2">
      <c r="A136" s="13" t="s">
        <v>397</v>
      </c>
      <c r="B136" s="232">
        <f>'Danica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AS'!B136+'Landkreditt Forsikring'!B136+'NEMI Forsikring'!B136+'Nordea Liv '!B136+'Oslo Pensjonsforsikring'!B136+'Protector Forsikring'!B136+'SHB Liv'!B136+'Sparebank 1'!B136+'Storebrand Livsforsikring'!B136+'Telenor Forsikring'!B136+'Tryg Forsikring'!B136</f>
        <v>5301.9790000000003</v>
      </c>
      <c r="C136" s="232">
        <f>'Danica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AS'!C136+'Landkreditt Forsikring'!C136+'NEMI Forsikring'!C136+'Nordea Liv '!C136+'Oslo Pensjonsforsikring'!C136+'Protector Forsikring'!C136+'SHB Liv'!C136+'Sparebank 1'!C136+'Storebrand Livsforsikring'!C136+'Telenor Forsikring'!C136+'Tryg Forsikring'!C136</f>
        <v>0</v>
      </c>
      <c r="D136" s="11">
        <f t="shared" si="42"/>
        <v>-100</v>
      </c>
      <c r="E136" s="232">
        <f>'Danica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AS'!F136+'Landkreditt Forsikring'!F136+'NEMI Forsikring'!F136+'Nordea Liv '!F136+'Oslo Pensjonsforsikring'!F136+'Protector Forsikring'!F136+'SHB Liv'!F136+'Sparebank 1'!F136+'Storebrand Livsforsikring'!F136+'Telenor Forsikring'!F136+'Tryg Forsikring'!F136</f>
        <v>0</v>
      </c>
      <c r="F136" s="232">
        <f>'Danica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AS'!G136+'Landkreditt Forsikring'!G136+'NEMI Forsikring'!G136+'Nordea Liv '!G136+'Oslo Pensjonsforsikring'!G136+'Protector Forsikring'!G136+'SHB Liv'!G136+'Sparebank 1'!G136+'Storebrand Livsforsikring'!G136+'Telenor Forsikring'!G136+'Tryg Forsikring'!G136</f>
        <v>0</v>
      </c>
      <c r="G136" s="11"/>
      <c r="H136" s="232">
        <f t="shared" si="44"/>
        <v>5301.9790000000003</v>
      </c>
      <c r="I136" s="232">
        <f t="shared" si="44"/>
        <v>0</v>
      </c>
      <c r="J136" s="11">
        <f t="shared" si="45"/>
        <v>-100</v>
      </c>
    </row>
    <row r="137" spans="1:10" s="361" customFormat="1" ht="15.75" customHeight="1" x14ac:dyDescent="0.2">
      <c r="A137" s="41" t="s">
        <v>398</v>
      </c>
      <c r="B137" s="272">
        <f>'Danica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AS'!B137+'Landkreditt Forsikring'!B137+'NEMI Forsikring'!B137+'Nordea Liv '!B137+'Oslo Pensjonsforsikring'!B137+'Protector Forsikring'!B137+'SHB Liv'!B137+'Sparebank 1'!B137+'Storebrand Livsforsikring'!B137+'Telenor Forsikring'!B137+'Tryg Forsikring'!B137</f>
        <v>423500</v>
      </c>
      <c r="C137" s="272">
        <f>'Danica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AS'!C137+'Landkreditt Forsikring'!C137+'NEMI Forsikring'!C137+'Nordea Liv '!C137+'Oslo Pensjonsforsikring'!C137+'Protector Forsikring'!C137+'SHB Liv'!C137+'Sparebank 1'!C137+'Storebrand Livsforsikring'!C137+'Telenor Forsikring'!C137+'Tryg Forsikring'!C137</f>
        <v>248299.76699999999</v>
      </c>
      <c r="D137" s="9">
        <f t="shared" si="42"/>
        <v>-41.4</v>
      </c>
      <c r="E137" s="272">
        <f>'Danica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AS'!F137+'Landkreditt Forsikring'!F137+'NEMI Forsikring'!F137+'Nordea Liv '!F137+'Oslo Pensjonsforsikring'!F137+'Protector Forsikring'!F137+'SHB Liv'!F137+'Sparebank 1'!F137+'Storebrand Livsforsikring'!F137+'Telenor Forsikring'!F137+'Tryg Forsikring'!F137</f>
        <v>0</v>
      </c>
      <c r="F137" s="272">
        <f>'Danica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AS'!G137+'Landkreditt Forsikring'!G137+'NEMI Forsikring'!G137+'Nordea Liv '!G137+'Oslo Pensjonsforsikring'!G137+'Protector Forsikring'!G137+'SHB Liv'!G137+'Sparebank 1'!G137+'Storebrand Livsforsikring'!G137+'Telenor Forsikring'!G137+'Tryg Forsikring'!G137</f>
        <v>0</v>
      </c>
      <c r="G137" s="9"/>
      <c r="H137" s="272">
        <f t="shared" si="44"/>
        <v>423500</v>
      </c>
      <c r="I137" s="272">
        <f t="shared" si="44"/>
        <v>248299.76699999999</v>
      </c>
      <c r="J137" s="9">
        <f t="shared" si="45"/>
        <v>-41.4</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A50:A52">
    <cfRule type="expression" dxfId="182" priority="57">
      <formula>kvartal &lt; 4</formula>
    </cfRule>
  </conditionalFormatting>
  <conditionalFormatting sqref="A69:A74">
    <cfRule type="expression" dxfId="181" priority="55">
      <formula>kvartal &lt; 4</formula>
    </cfRule>
  </conditionalFormatting>
  <conditionalFormatting sqref="A80:A85">
    <cfRule type="expression" dxfId="180" priority="54">
      <formula>kvartal &lt; 4</formula>
    </cfRule>
  </conditionalFormatting>
  <conditionalFormatting sqref="A90:A95">
    <cfRule type="expression" dxfId="179" priority="51">
      <formula>kvartal &lt; 4</formula>
    </cfRule>
  </conditionalFormatting>
  <conditionalFormatting sqref="A101:A106">
    <cfRule type="expression" dxfId="178" priority="50">
      <formula>kvartal &lt; 4</formula>
    </cfRule>
  </conditionalFormatting>
  <conditionalFormatting sqref="A115">
    <cfRule type="expression" dxfId="177" priority="49">
      <formula>kvartal &lt; 4</formula>
    </cfRule>
  </conditionalFormatting>
  <conditionalFormatting sqref="A123">
    <cfRule type="expression" dxfId="176" priority="48">
      <formula>kvartal &lt; 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4" x14ac:dyDescent="0.2">
      <c r="A1" s="172" t="s">
        <v>142</v>
      </c>
      <c r="B1" s="648"/>
      <c r="C1" s="244" t="s">
        <v>86</v>
      </c>
      <c r="D1" s="26"/>
      <c r="E1" s="26"/>
      <c r="F1" s="26"/>
      <c r="G1" s="26"/>
      <c r="H1" s="26"/>
      <c r="I1" s="26"/>
      <c r="J1" s="26"/>
      <c r="K1" s="26"/>
      <c r="L1" s="26"/>
      <c r="M1" s="26"/>
    </row>
    <row r="2" spans="1:14" ht="15.75" x14ac:dyDescent="0.25">
      <c r="A2" s="165" t="s">
        <v>28</v>
      </c>
      <c r="B2" s="687"/>
      <c r="C2" s="687"/>
      <c r="D2" s="687"/>
      <c r="E2" s="350"/>
      <c r="F2" s="687"/>
      <c r="G2" s="687"/>
      <c r="H2" s="687"/>
      <c r="I2" s="350"/>
      <c r="J2" s="687"/>
      <c r="K2" s="687"/>
      <c r="L2" s="687"/>
      <c r="M2" s="350"/>
    </row>
    <row r="3" spans="1:14" ht="15.75" x14ac:dyDescent="0.25">
      <c r="A3" s="163"/>
      <c r="B3" s="350"/>
      <c r="C3" s="350"/>
      <c r="D3" s="350"/>
      <c r="E3" s="350"/>
      <c r="F3" s="350"/>
      <c r="G3" s="350"/>
      <c r="H3" s="350"/>
      <c r="I3" s="350"/>
      <c r="J3" s="350"/>
      <c r="K3" s="350"/>
      <c r="L3" s="350"/>
      <c r="M3" s="350"/>
    </row>
    <row r="4" spans="1:14" x14ac:dyDescent="0.2">
      <c r="A4" s="144"/>
      <c r="B4" s="683" t="s">
        <v>0</v>
      </c>
      <c r="C4" s="684"/>
      <c r="D4" s="684"/>
      <c r="E4" s="349"/>
      <c r="F4" s="683" t="s">
        <v>1</v>
      </c>
      <c r="G4" s="684"/>
      <c r="H4" s="684"/>
      <c r="I4" s="352"/>
      <c r="J4" s="683" t="s">
        <v>2</v>
      </c>
      <c r="K4" s="684"/>
      <c r="L4" s="684"/>
      <c r="M4" s="352"/>
    </row>
    <row r="5" spans="1:14"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4" x14ac:dyDescent="0.2">
      <c r="A6" s="649"/>
      <c r="B6" s="156"/>
      <c r="C6" s="156"/>
      <c r="D6" s="242" t="s">
        <v>4</v>
      </c>
      <c r="E6" s="156" t="s">
        <v>30</v>
      </c>
      <c r="F6" s="161"/>
      <c r="G6" s="161"/>
      <c r="H6" s="241" t="s">
        <v>4</v>
      </c>
      <c r="I6" s="156" t="s">
        <v>30</v>
      </c>
      <c r="J6" s="161"/>
      <c r="K6" s="161"/>
      <c r="L6" s="241" t="s">
        <v>4</v>
      </c>
      <c r="M6" s="156" t="s">
        <v>30</v>
      </c>
    </row>
    <row r="7" spans="1:14" ht="15.75" x14ac:dyDescent="0.2">
      <c r="A7" s="14" t="s">
        <v>23</v>
      </c>
      <c r="B7" s="298">
        <v>69295.527000000002</v>
      </c>
      <c r="C7" s="299">
        <v>70295.114000000001</v>
      </c>
      <c r="D7" s="342">
        <f>IF(B7=0, "    ---- ", IF(ABS(ROUND(100/B7*C7-100,1))&lt;999,ROUND(100/B7*C7-100,1),IF(ROUND(100/B7*C7-100,1)&gt;999,999,-999)))</f>
        <v>1.4</v>
      </c>
      <c r="E7" s="11">
        <f>IFERROR(100/'Skjema total MA'!C7*C7,0)</f>
        <v>4.3995687093211462</v>
      </c>
      <c r="F7" s="298">
        <v>112404.626</v>
      </c>
      <c r="G7" s="299">
        <v>81287.616999999998</v>
      </c>
      <c r="H7" s="342">
        <f>IF(F7=0, "    ---- ", IF(ABS(ROUND(100/F7*G7-100,1))&lt;999,ROUND(100/F7*G7-100,1),IF(ROUND(100/F7*G7-100,1)&gt;999,999,-999)))</f>
        <v>-27.7</v>
      </c>
      <c r="I7" s="160">
        <f>IFERROR(100/'Skjema total MA'!F7*G7,0)</f>
        <v>3.0213844369312532</v>
      </c>
      <c r="J7" s="300">
        <f t="shared" ref="J7:K12" si="0">SUM(B7,F7)</f>
        <v>181700.15299999999</v>
      </c>
      <c r="K7" s="301">
        <f t="shared" si="0"/>
        <v>151582.731</v>
      </c>
      <c r="L7" s="365">
        <f>IF(J7=0, "    ---- ", IF(ABS(ROUND(100/J7*K7-100,1))&lt;999,ROUND(100/J7*K7-100,1),IF(ROUND(100/J7*K7-100,1)&gt;999,999,-999)))</f>
        <v>-16.600000000000001</v>
      </c>
      <c r="M7" s="11">
        <f>IFERROR(100/'Skjema total MA'!I7*K7,0)</f>
        <v>3.5348946316296734</v>
      </c>
    </row>
    <row r="8" spans="1:14" ht="15.75" x14ac:dyDescent="0.2">
      <c r="A8" s="21" t="s">
        <v>25</v>
      </c>
      <c r="B8" s="277">
        <v>33825.843999999997</v>
      </c>
      <c r="C8" s="278">
        <v>33723.752</v>
      </c>
      <c r="D8" s="166">
        <f t="shared" ref="D8:D10" si="1">IF(B8=0, "    ---- ", IF(ABS(ROUND(100/B8*C8-100,1))&lt;999,ROUND(100/B8*C8-100,1),IF(ROUND(100/B8*C8-100,1)&gt;999,999,-999)))</f>
        <v>-0.3</v>
      </c>
      <c r="E8" s="27">
        <f>IFERROR(100/'Skjema total MA'!C8*C8,0)</f>
        <v>3.4278891743906521</v>
      </c>
      <c r="F8" s="281"/>
      <c r="G8" s="282"/>
      <c r="H8" s="166"/>
      <c r="I8" s="175"/>
      <c r="J8" s="230">
        <f t="shared" si="0"/>
        <v>33825.843999999997</v>
      </c>
      <c r="K8" s="283">
        <f t="shared" si="0"/>
        <v>33723.752</v>
      </c>
      <c r="L8" s="659">
        <f t="shared" ref="L8:L9" si="2">IF(J8=0, "    ---- ", IF(ABS(ROUND(100/J8*K8-100,1))&lt;999,ROUND(100/J8*K8-100,1),IF(ROUND(100/J8*K8-100,1)&gt;999,999,-999)))</f>
        <v>-0.3</v>
      </c>
      <c r="M8" s="27">
        <f>IFERROR(100/'Skjema total MA'!I8*K8,0)</f>
        <v>3.4278891743906521</v>
      </c>
    </row>
    <row r="9" spans="1:14" ht="15.75" x14ac:dyDescent="0.2">
      <c r="A9" s="21" t="s">
        <v>24</v>
      </c>
      <c r="B9" s="277">
        <v>18719.095000000001</v>
      </c>
      <c r="C9" s="278">
        <v>17573.721000000001</v>
      </c>
      <c r="D9" s="166">
        <f t="shared" si="1"/>
        <v>-6.1</v>
      </c>
      <c r="E9" s="27">
        <f>IFERROR(100/'Skjema total MA'!C9*C9,0)</f>
        <v>4.7734930084840261</v>
      </c>
      <c r="F9" s="281"/>
      <c r="G9" s="282"/>
      <c r="H9" s="166"/>
      <c r="I9" s="175"/>
      <c r="J9" s="230">
        <f t="shared" si="0"/>
        <v>18719.095000000001</v>
      </c>
      <c r="K9" s="283">
        <f t="shared" si="0"/>
        <v>17573.721000000001</v>
      </c>
      <c r="L9" s="659">
        <f t="shared" si="2"/>
        <v>-6.1</v>
      </c>
      <c r="M9" s="27">
        <f>IFERROR(100/'Skjema total MA'!I9*K9,0)</f>
        <v>4.7734930084840261</v>
      </c>
    </row>
    <row r="10" spans="1:14" ht="15.75" x14ac:dyDescent="0.2">
      <c r="A10" s="13" t="s">
        <v>371</v>
      </c>
      <c r="B10" s="302">
        <v>336079.64299999998</v>
      </c>
      <c r="C10" s="303">
        <v>346099.08899999998</v>
      </c>
      <c r="D10" s="171">
        <f t="shared" si="1"/>
        <v>3</v>
      </c>
      <c r="E10" s="11">
        <f>IFERROR(100/'Skjema total MA'!C10*C10,0)</f>
        <v>1.7096201379017635</v>
      </c>
      <c r="F10" s="302">
        <v>2491016.3110000002</v>
      </c>
      <c r="G10" s="303">
        <v>2569415.1639999999</v>
      </c>
      <c r="H10" s="171">
        <f t="shared" ref="H10:H12" si="3">IF(F10=0, "    ---- ", IF(ABS(ROUND(100/F10*G10-100,1))&lt;999,ROUND(100/F10*G10-100,1),IF(ROUND(100/F10*G10-100,1)&gt;999,999,-999)))</f>
        <v>3.1</v>
      </c>
      <c r="I10" s="160">
        <f>IFERROR(100/'Skjema total MA'!F10*G10,0)</f>
        <v>5.7333297067132687</v>
      </c>
      <c r="J10" s="300">
        <f t="shared" si="0"/>
        <v>2827095.9540000004</v>
      </c>
      <c r="K10" s="301">
        <f t="shared" si="0"/>
        <v>2915514.253</v>
      </c>
      <c r="L10" s="366">
        <f t="shared" ref="L10:L12" si="4">IF(J10=0, "    ---- ", IF(ABS(ROUND(100/J10*K10-100,1))&lt;999,ROUND(100/J10*K10-100,1),IF(ROUND(100/J10*K10-100,1)&gt;999,999,-999)))</f>
        <v>3.1</v>
      </c>
      <c r="M10" s="11">
        <f>IFERROR(100/'Skjema total MA'!I10*K10,0)</f>
        <v>4.4812962290137532</v>
      </c>
    </row>
    <row r="11" spans="1:14" s="43" customFormat="1" ht="15.75" x14ac:dyDescent="0.2">
      <c r="A11" s="13" t="s">
        <v>372</v>
      </c>
      <c r="B11" s="302"/>
      <c r="C11" s="303"/>
      <c r="D11" s="171"/>
      <c r="E11" s="11"/>
      <c r="F11" s="302">
        <v>2349.875</v>
      </c>
      <c r="G11" s="303">
        <v>11860.178</v>
      </c>
      <c r="H11" s="171">
        <f t="shared" si="3"/>
        <v>404.7</v>
      </c>
      <c r="I11" s="160">
        <f>IFERROR(100/'Skjema total MA'!F11*G11,0)</f>
        <v>12.775000472242453</v>
      </c>
      <c r="J11" s="300">
        <f t="shared" si="0"/>
        <v>2349.875</v>
      </c>
      <c r="K11" s="301">
        <f t="shared" si="0"/>
        <v>11860.178</v>
      </c>
      <c r="L11" s="366">
        <f t="shared" si="4"/>
        <v>404.7</v>
      </c>
      <c r="M11" s="11">
        <f>IFERROR(100/'Skjema total MA'!I11*K11,0)</f>
        <v>12.081146605189723</v>
      </c>
      <c r="N11" s="143"/>
    </row>
    <row r="12" spans="1:14" s="43" customFormat="1" ht="15.75" x14ac:dyDescent="0.2">
      <c r="A12" s="41" t="s">
        <v>373</v>
      </c>
      <c r="B12" s="304"/>
      <c r="C12" s="305"/>
      <c r="D12" s="169"/>
      <c r="E12" s="36"/>
      <c r="F12" s="304">
        <v>8524.5040000000008</v>
      </c>
      <c r="G12" s="305">
        <v>6348.9530000000004</v>
      </c>
      <c r="H12" s="169">
        <f t="shared" si="3"/>
        <v>-25.5</v>
      </c>
      <c r="I12" s="169">
        <f>IFERROR(100/'Skjema total MA'!F12*G12,0)</f>
        <v>15.186395614095147</v>
      </c>
      <c r="J12" s="306">
        <f t="shared" si="0"/>
        <v>8524.5040000000008</v>
      </c>
      <c r="K12" s="307">
        <f t="shared" si="0"/>
        <v>6348.9530000000004</v>
      </c>
      <c r="L12" s="367">
        <f t="shared" si="4"/>
        <v>-25.5</v>
      </c>
      <c r="M12" s="36">
        <f>IFERROR(100/'Skjema total MA'!I12*K12,0)</f>
        <v>14.47554792156814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281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350"/>
      <c r="F18" s="682"/>
      <c r="G18" s="682"/>
      <c r="H18" s="682"/>
      <c r="I18" s="350"/>
      <c r="J18" s="682"/>
      <c r="K18" s="682"/>
      <c r="L18" s="682"/>
      <c r="M18" s="350"/>
    </row>
    <row r="19" spans="1:14" x14ac:dyDescent="0.2">
      <c r="A19" s="144"/>
      <c r="B19" s="683" t="s">
        <v>0</v>
      </c>
      <c r="C19" s="684"/>
      <c r="D19" s="684"/>
      <c r="E19" s="349"/>
      <c r="F19" s="683" t="s">
        <v>1</v>
      </c>
      <c r="G19" s="684"/>
      <c r="H19" s="684"/>
      <c r="I19" s="352"/>
      <c r="J19" s="683" t="s">
        <v>2</v>
      </c>
      <c r="K19" s="684"/>
      <c r="L19" s="684"/>
      <c r="M19" s="352"/>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357" t="s">
        <v>30</v>
      </c>
      <c r="F21" s="161"/>
      <c r="G21" s="161"/>
      <c r="H21" s="241" t="s">
        <v>4</v>
      </c>
      <c r="I21" s="156" t="s">
        <v>30</v>
      </c>
      <c r="J21" s="161"/>
      <c r="K21" s="161"/>
      <c r="L21" s="156" t="s">
        <v>4</v>
      </c>
      <c r="M21" s="156" t="s">
        <v>30</v>
      </c>
    </row>
    <row r="22" spans="1:14" ht="15.75" x14ac:dyDescent="0.2">
      <c r="A22" s="14" t="s">
        <v>23</v>
      </c>
      <c r="B22" s="302">
        <v>4138</v>
      </c>
      <c r="C22" s="302">
        <v>3846.3589999999999</v>
      </c>
      <c r="D22" s="342">
        <f t="shared" ref="D22:D29" si="5">IF(B22=0, "    ---- ", IF(ABS(ROUND(100/B22*C22-100,1))&lt;999,ROUND(100/B22*C22-100,1),IF(ROUND(100/B22*C22-100,1)&gt;999,999,-999)))</f>
        <v>-7</v>
      </c>
      <c r="E22" s="11">
        <f>IFERROR(100/'Skjema total MA'!C22*C22,0)</f>
        <v>0.55797143447423403</v>
      </c>
      <c r="F22" s="310">
        <v>18736.705999999998</v>
      </c>
      <c r="G22" s="310">
        <v>14460.213</v>
      </c>
      <c r="H22" s="342">
        <f t="shared" ref="H22:H35" si="6">IF(F22=0, "    ---- ", IF(ABS(ROUND(100/F22*G22-100,1))&lt;999,ROUND(100/F22*G22-100,1),IF(ROUND(100/F22*G22-100,1)&gt;999,999,-999)))</f>
        <v>-22.8</v>
      </c>
      <c r="I22" s="160">
        <f>IFERROR(100/'Skjema total MA'!F22*G22,0)</f>
        <v>4.6768437533440146</v>
      </c>
      <c r="J22" s="308">
        <f t="shared" ref="J22:K35" si="7">SUM(B22,F22)</f>
        <v>22874.705999999998</v>
      </c>
      <c r="K22" s="308">
        <f t="shared" si="7"/>
        <v>18306.572</v>
      </c>
      <c r="L22" s="365">
        <f t="shared" ref="L22:L35" si="8">IF(J22=0, "    ---- ", IF(ABS(ROUND(100/J22*K22-100,1))&lt;999,ROUND(100/J22*K22-100,1),IF(ROUND(100/J22*K22-100,1)&gt;999,999,-999)))</f>
        <v>-20</v>
      </c>
      <c r="M22" s="24">
        <f>IFERROR(100/'Skjema total MA'!I22*K22,0)</f>
        <v>1.8333442076710322</v>
      </c>
    </row>
    <row r="23" spans="1:14" ht="15.75" x14ac:dyDescent="0.2">
      <c r="A23" s="546" t="s">
        <v>374</v>
      </c>
      <c r="B23" s="277"/>
      <c r="C23" s="277"/>
      <c r="D23" s="166"/>
      <c r="E23" s="11"/>
      <c r="F23" s="285">
        <v>1464.133</v>
      </c>
      <c r="G23" s="285">
        <v>1377.23</v>
      </c>
      <c r="H23" s="166">
        <f t="shared" si="6"/>
        <v>-5.9</v>
      </c>
      <c r="I23" s="236">
        <f>IFERROR(100/'Skjema total MA'!F23*G23,0)</f>
        <v>4.5215979663994705</v>
      </c>
      <c r="J23" s="285">
        <f t="shared" ref="J23:J26" si="9">SUM(B23,F23)</f>
        <v>1464.133</v>
      </c>
      <c r="K23" s="285">
        <f t="shared" ref="K23:K26" si="10">SUM(C23,G23)</f>
        <v>1377.23</v>
      </c>
      <c r="L23" s="166">
        <f t="shared" si="8"/>
        <v>-5.9</v>
      </c>
      <c r="M23" s="23">
        <f>IFERROR(100/'Skjema total MA'!I23*K23,0)</f>
        <v>0.24757481324359448</v>
      </c>
    </row>
    <row r="24" spans="1:14" ht="15.75" x14ac:dyDescent="0.2">
      <c r="A24" s="546" t="s">
        <v>375</v>
      </c>
      <c r="B24" s="277"/>
      <c r="C24" s="277"/>
      <c r="D24" s="166"/>
      <c r="E24" s="11"/>
      <c r="F24" s="285"/>
      <c r="G24" s="285"/>
      <c r="H24" s="166"/>
      <c r="I24" s="236"/>
      <c r="J24" s="285"/>
      <c r="K24" s="285"/>
      <c r="L24" s="166"/>
      <c r="M24" s="23"/>
    </row>
    <row r="25" spans="1:14" ht="15.75" x14ac:dyDescent="0.2">
      <c r="A25" s="546" t="s">
        <v>376</v>
      </c>
      <c r="B25" s="277"/>
      <c r="C25" s="277"/>
      <c r="D25" s="166"/>
      <c r="E25" s="11"/>
      <c r="F25" s="285">
        <v>508.73</v>
      </c>
      <c r="G25" s="285">
        <v>391.48700000000002</v>
      </c>
      <c r="H25" s="166">
        <f t="shared" si="6"/>
        <v>-23</v>
      </c>
      <c r="I25" s="236">
        <f>IFERROR(100/'Skjema total MA'!F25*G25,0)</f>
        <v>5.9957609282424906</v>
      </c>
      <c r="J25" s="285">
        <f t="shared" si="9"/>
        <v>508.73</v>
      </c>
      <c r="K25" s="285">
        <f t="shared" si="10"/>
        <v>391.48700000000002</v>
      </c>
      <c r="L25" s="166">
        <f t="shared" ref="L25:L26" si="11">IF(J25=0, "    ---- ", IF(ABS(ROUND(100/J25*K25-100,1))&lt;999,ROUND(100/J25*K25-100,1),IF(ROUND(100/J25*K25-100,1)&gt;999,999,-999)))</f>
        <v>-23</v>
      </c>
      <c r="M25" s="23">
        <f>IFERROR(100/'Skjema total MA'!I25*K25,0)</f>
        <v>2.1695765858320817</v>
      </c>
    </row>
    <row r="26" spans="1:14" ht="15.75" x14ac:dyDescent="0.2">
      <c r="A26" s="546" t="s">
        <v>377</v>
      </c>
      <c r="B26" s="277"/>
      <c r="C26" s="277"/>
      <c r="D26" s="166"/>
      <c r="E26" s="11"/>
      <c r="F26" s="285">
        <v>16763.843000000001</v>
      </c>
      <c r="G26" s="285">
        <v>12691.495999999999</v>
      </c>
      <c r="H26" s="166">
        <f t="shared" si="6"/>
        <v>-24.3</v>
      </c>
      <c r="I26" s="236">
        <f>IFERROR(100/'Skjema total MA'!F26*G26,0)</f>
        <v>4.6631645206055223</v>
      </c>
      <c r="J26" s="285">
        <f t="shared" si="9"/>
        <v>16763.843000000001</v>
      </c>
      <c r="K26" s="285">
        <f t="shared" si="10"/>
        <v>12691.495999999999</v>
      </c>
      <c r="L26" s="166">
        <f t="shared" si="11"/>
        <v>-24.3</v>
      </c>
      <c r="M26" s="23">
        <f>IFERROR(100/'Skjema total MA'!I26*K26,0)</f>
        <v>4.6631645206055223</v>
      </c>
    </row>
    <row r="27" spans="1:14" x14ac:dyDescent="0.2">
      <c r="A27" s="546" t="s">
        <v>11</v>
      </c>
      <c r="B27" s="277"/>
      <c r="C27" s="277"/>
      <c r="D27" s="166"/>
      <c r="E27" s="11"/>
      <c r="F27" s="285"/>
      <c r="G27" s="285"/>
      <c r="H27" s="166"/>
      <c r="I27" s="236"/>
      <c r="J27" s="285"/>
      <c r="K27" s="285"/>
      <c r="L27" s="166"/>
      <c r="M27" s="23"/>
    </row>
    <row r="28" spans="1:14" ht="15.75" x14ac:dyDescent="0.2">
      <c r="A28" s="49" t="s">
        <v>282</v>
      </c>
      <c r="B28" s="44">
        <v>4138.174</v>
      </c>
      <c r="C28" s="283">
        <v>3846.3589999999999</v>
      </c>
      <c r="D28" s="166">
        <f t="shared" si="5"/>
        <v>-7.1</v>
      </c>
      <c r="E28" s="11">
        <f>IFERROR(100/'Skjema total MA'!C28*C28,0)</f>
        <v>0.59615110459579113</v>
      </c>
      <c r="F28" s="230"/>
      <c r="G28" s="283"/>
      <c r="H28" s="166"/>
      <c r="I28" s="175"/>
      <c r="J28" s="44">
        <f t="shared" si="7"/>
        <v>4138.174</v>
      </c>
      <c r="K28" s="44">
        <f t="shared" si="7"/>
        <v>3846.3589999999999</v>
      </c>
      <c r="L28" s="250">
        <f t="shared" si="8"/>
        <v>-7.1</v>
      </c>
      <c r="M28" s="23">
        <f>IFERROR(100/'Skjema total MA'!I28*K28,0)</f>
        <v>0.59615110459579113</v>
      </c>
    </row>
    <row r="29" spans="1:14" s="3" customFormat="1" ht="15.75" x14ac:dyDescent="0.2">
      <c r="A29" s="13" t="s">
        <v>371</v>
      </c>
      <c r="B29" s="232">
        <v>89138.062000000005</v>
      </c>
      <c r="C29" s="232">
        <v>143216.15599999999</v>
      </c>
      <c r="D29" s="171">
        <f t="shared" si="5"/>
        <v>60.7</v>
      </c>
      <c r="E29" s="11">
        <f>IFERROR(100/'Skjema total MA'!C29*C29,0)</f>
        <v>0.2988334398046763</v>
      </c>
      <c r="F29" s="300">
        <v>2197127.1540000001</v>
      </c>
      <c r="G29" s="300">
        <v>2105792.7459999998</v>
      </c>
      <c r="H29" s="171">
        <f t="shared" si="6"/>
        <v>-4.2</v>
      </c>
      <c r="I29" s="160">
        <f>IFERROR(100/'Skjema total MA'!F29*G29,0)</f>
        <v>10.369771564029731</v>
      </c>
      <c r="J29" s="232">
        <f t="shared" si="7"/>
        <v>2286265.216</v>
      </c>
      <c r="K29" s="232">
        <f t="shared" si="7"/>
        <v>2249008.9019999998</v>
      </c>
      <c r="L29" s="366">
        <f t="shared" si="8"/>
        <v>-1.6</v>
      </c>
      <c r="M29" s="24">
        <f>IFERROR(100/'Skjema total MA'!I29*K29,0)</f>
        <v>3.2961152205639976</v>
      </c>
      <c r="N29" s="148"/>
    </row>
    <row r="30" spans="1:14" s="3" customFormat="1" ht="15.75" x14ac:dyDescent="0.2">
      <c r="A30" s="546" t="s">
        <v>374</v>
      </c>
      <c r="B30" s="277"/>
      <c r="C30" s="277"/>
      <c r="D30" s="166"/>
      <c r="E30" s="11"/>
      <c r="F30" s="285">
        <v>679096.67299999995</v>
      </c>
      <c r="G30" s="285">
        <v>626471.26599999995</v>
      </c>
      <c r="H30" s="166">
        <f t="shared" si="6"/>
        <v>-7.7</v>
      </c>
      <c r="I30" s="236">
        <f>IFERROR(100/'Skjema total MA'!F30*G30,0)</f>
        <v>14.903383354400727</v>
      </c>
      <c r="J30" s="285">
        <f t="shared" ref="J30:J33" si="12">SUM(B30,F30)</f>
        <v>679096.67299999995</v>
      </c>
      <c r="K30" s="285">
        <f t="shared" ref="K30:K33" si="13">SUM(C30,G30)</f>
        <v>626471.26599999995</v>
      </c>
      <c r="L30" s="166">
        <f t="shared" si="8"/>
        <v>-7.7</v>
      </c>
      <c r="M30" s="23">
        <f>IFERROR(100/'Skjema total MA'!I30*K30,0)</f>
        <v>3.9855446241953825</v>
      </c>
      <c r="N30" s="148"/>
    </row>
    <row r="31" spans="1:14" s="3" customFormat="1" ht="15.75" x14ac:dyDescent="0.2">
      <c r="A31" s="546" t="s">
        <v>375</v>
      </c>
      <c r="B31" s="277"/>
      <c r="C31" s="277"/>
      <c r="D31" s="166"/>
      <c r="E31" s="11"/>
      <c r="F31" s="285">
        <v>1375523.446</v>
      </c>
      <c r="G31" s="285">
        <v>1266286.628</v>
      </c>
      <c r="H31" s="166">
        <f t="shared" si="6"/>
        <v>-7.9</v>
      </c>
      <c r="I31" s="236">
        <f>IFERROR(100/'Skjema total MA'!F31*G31,0)</f>
        <v>15.1642180782039</v>
      </c>
      <c r="J31" s="285">
        <f t="shared" si="12"/>
        <v>1375523.446</v>
      </c>
      <c r="K31" s="285">
        <f t="shared" si="13"/>
        <v>1266286.628</v>
      </c>
      <c r="L31" s="166">
        <f t="shared" si="8"/>
        <v>-7.9</v>
      </c>
      <c r="M31" s="23">
        <f>IFERROR(100/'Skjema total MA'!I31*K31,0)</f>
        <v>3.0423843534148349</v>
      </c>
      <c r="N31" s="148"/>
    </row>
    <row r="32" spans="1:14" ht="15.75" x14ac:dyDescent="0.2">
      <c r="A32" s="546" t="s">
        <v>376</v>
      </c>
      <c r="B32" s="277"/>
      <c r="C32" s="277"/>
      <c r="D32" s="166"/>
      <c r="E32" s="11"/>
      <c r="F32" s="285">
        <v>74517.793000000005</v>
      </c>
      <c r="G32" s="285">
        <v>77680.115999999995</v>
      </c>
      <c r="H32" s="166">
        <f t="shared" si="6"/>
        <v>4.2</v>
      </c>
      <c r="I32" s="236">
        <f>IFERROR(100/'Skjema total MA'!F32*G32,0)</f>
        <v>1.8749960241855466</v>
      </c>
      <c r="J32" s="285">
        <f t="shared" si="12"/>
        <v>74517.793000000005</v>
      </c>
      <c r="K32" s="285">
        <f t="shared" si="13"/>
        <v>77680.115999999995</v>
      </c>
      <c r="L32" s="166">
        <f t="shared" si="8"/>
        <v>4.2</v>
      </c>
      <c r="M32" s="23">
        <f>IFERROR(100/'Skjema total MA'!I32*K32,0)</f>
        <v>1.4306252565354165</v>
      </c>
    </row>
    <row r="33" spans="1:14" ht="15.75" x14ac:dyDescent="0.2">
      <c r="A33" s="546" t="s">
        <v>377</v>
      </c>
      <c r="B33" s="277"/>
      <c r="C33" s="277"/>
      <c r="D33" s="166"/>
      <c r="E33" s="11"/>
      <c r="F33" s="285">
        <v>67989.241999999998</v>
      </c>
      <c r="G33" s="285">
        <v>135354.736</v>
      </c>
      <c r="H33" s="166">
        <f t="shared" si="6"/>
        <v>99.1</v>
      </c>
      <c r="I33" s="236">
        <f>IFERROR(100/'Skjema total MA'!F34*G33,0)</f>
        <v>1009.3829673399234</v>
      </c>
      <c r="J33" s="285">
        <f t="shared" si="12"/>
        <v>67989.241999999998</v>
      </c>
      <c r="K33" s="285">
        <f t="shared" si="13"/>
        <v>135354.736</v>
      </c>
      <c r="L33" s="166">
        <f t="shared" si="8"/>
        <v>99.1</v>
      </c>
      <c r="M33" s="23">
        <f>IFERROR(100/'Skjema total MA'!I34*K33,0)</f>
        <v>697.70837514282459</v>
      </c>
    </row>
    <row r="34" spans="1:14" ht="15.75" x14ac:dyDescent="0.2">
      <c r="A34" s="13" t="s">
        <v>372</v>
      </c>
      <c r="B34" s="232"/>
      <c r="C34" s="301"/>
      <c r="D34" s="171"/>
      <c r="E34" s="11"/>
      <c r="F34" s="300">
        <v>592.40300000000002</v>
      </c>
      <c r="G34" s="301">
        <v>1429.6179999999999</v>
      </c>
      <c r="H34" s="171">
        <f t="shared" si="6"/>
        <v>141.30000000000001</v>
      </c>
      <c r="I34" s="160">
        <f>IFERROR(100/'Skjema total MA'!F34*G34,0)</f>
        <v>10.661112434237738</v>
      </c>
      <c r="J34" s="232">
        <f t="shared" si="7"/>
        <v>592.40300000000002</v>
      </c>
      <c r="K34" s="232">
        <f t="shared" si="7"/>
        <v>1429.6179999999999</v>
      </c>
      <c r="L34" s="366">
        <f t="shared" si="8"/>
        <v>141.30000000000001</v>
      </c>
      <c r="M34" s="24">
        <f>IFERROR(100/'Skjema total MA'!I34*K34,0)</f>
        <v>7.369202447817818</v>
      </c>
    </row>
    <row r="35" spans="1:14" ht="15.75" x14ac:dyDescent="0.2">
      <c r="A35" s="13" t="s">
        <v>373</v>
      </c>
      <c r="B35" s="232"/>
      <c r="C35" s="301"/>
      <c r="D35" s="171"/>
      <c r="E35" s="11"/>
      <c r="F35" s="300">
        <v>3225.8090000000002</v>
      </c>
      <c r="G35" s="301">
        <v>2383.328</v>
      </c>
      <c r="H35" s="171">
        <f t="shared" si="6"/>
        <v>-26.1</v>
      </c>
      <c r="I35" s="160">
        <f>IFERROR(100/'Skjema total MA'!F35*G35,0)</f>
        <v>10.579192717480263</v>
      </c>
      <c r="J35" s="232">
        <f t="shared" si="7"/>
        <v>3225.8090000000002</v>
      </c>
      <c r="K35" s="232">
        <f t="shared" si="7"/>
        <v>2383.328</v>
      </c>
      <c r="L35" s="366">
        <f t="shared" si="8"/>
        <v>-26.1</v>
      </c>
      <c r="M35" s="24">
        <f>IFERROR(100/'Skjema total MA'!I35*K35,0)</f>
        <v>15.884845438570625</v>
      </c>
    </row>
    <row r="36" spans="1:14" ht="15.75" x14ac:dyDescent="0.2">
      <c r="A36" s="12" t="s">
        <v>290</v>
      </c>
      <c r="B36" s="232"/>
      <c r="C36" s="301"/>
      <c r="D36" s="171"/>
      <c r="E36" s="11"/>
      <c r="F36" s="311"/>
      <c r="G36" s="312"/>
      <c r="H36" s="171"/>
      <c r="I36" s="368"/>
      <c r="J36" s="232"/>
      <c r="K36" s="232"/>
      <c r="L36" s="366"/>
      <c r="M36" s="24"/>
    </row>
    <row r="37" spans="1:14" ht="15.75" x14ac:dyDescent="0.2">
      <c r="A37" s="12" t="s">
        <v>379</v>
      </c>
      <c r="B37" s="232"/>
      <c r="C37" s="301"/>
      <c r="D37" s="171"/>
      <c r="E37" s="11"/>
      <c r="F37" s="311"/>
      <c r="G37" s="313"/>
      <c r="H37" s="171"/>
      <c r="I37" s="368"/>
      <c r="J37" s="232"/>
      <c r="K37" s="232"/>
      <c r="L37" s="366"/>
      <c r="M37" s="24"/>
    </row>
    <row r="38" spans="1:14" ht="15.75" x14ac:dyDescent="0.2">
      <c r="A38" s="12" t="s">
        <v>380</v>
      </c>
      <c r="B38" s="232"/>
      <c r="C38" s="301"/>
      <c r="D38" s="171"/>
      <c r="E38" s="24"/>
      <c r="F38" s="311"/>
      <c r="G38" s="312"/>
      <c r="H38" s="171"/>
      <c r="I38" s="368"/>
      <c r="J38" s="232"/>
      <c r="K38" s="232"/>
      <c r="L38" s="366"/>
      <c r="M38" s="24"/>
    </row>
    <row r="39" spans="1:14" ht="15.75" x14ac:dyDescent="0.2">
      <c r="A39" s="18" t="s">
        <v>381</v>
      </c>
      <c r="B39" s="272"/>
      <c r="C39" s="307"/>
      <c r="D39" s="169"/>
      <c r="E39" s="36"/>
      <c r="F39" s="314"/>
      <c r="G39" s="315"/>
      <c r="H39" s="169"/>
      <c r="I39" s="169"/>
      <c r="J39" s="232"/>
      <c r="K39" s="232"/>
      <c r="L39" s="367"/>
      <c r="M39" s="36"/>
    </row>
    <row r="40" spans="1:14" ht="15.75" x14ac:dyDescent="0.25">
      <c r="A40" s="47"/>
      <c r="B40" s="249"/>
      <c r="C40" s="249"/>
      <c r="D40" s="686"/>
      <c r="E40" s="686"/>
      <c r="F40" s="686"/>
      <c r="G40" s="686"/>
      <c r="H40" s="686"/>
      <c r="I40" s="686"/>
      <c r="J40" s="686"/>
      <c r="K40" s="686"/>
      <c r="L40" s="686"/>
      <c r="M40" s="351"/>
    </row>
    <row r="41" spans="1:14" x14ac:dyDescent="0.2">
      <c r="A41" s="155"/>
    </row>
    <row r="42" spans="1:14" ht="15.75" x14ac:dyDescent="0.25">
      <c r="A42" s="147" t="s">
        <v>279</v>
      </c>
      <c r="B42" s="687"/>
      <c r="C42" s="687"/>
      <c r="D42" s="687"/>
      <c r="E42" s="350"/>
      <c r="F42" s="688"/>
      <c r="G42" s="688"/>
      <c r="H42" s="688"/>
      <c r="I42" s="351"/>
      <c r="J42" s="688"/>
      <c r="K42" s="688"/>
      <c r="L42" s="688"/>
      <c r="M42" s="351"/>
    </row>
    <row r="43" spans="1:14" ht="15.75" x14ac:dyDescent="0.25">
      <c r="A43" s="163"/>
      <c r="B43" s="347"/>
      <c r="C43" s="347"/>
      <c r="D43" s="347"/>
      <c r="E43" s="347"/>
      <c r="F43" s="351"/>
      <c r="G43" s="351"/>
      <c r="H43" s="351"/>
      <c r="I43" s="351"/>
      <c r="J43" s="351"/>
      <c r="K43" s="351"/>
      <c r="L43" s="351"/>
      <c r="M43" s="351"/>
    </row>
    <row r="44" spans="1:14" ht="15.75" x14ac:dyDescent="0.25">
      <c r="A44" s="243"/>
      <c r="B44" s="683" t="s">
        <v>0</v>
      </c>
      <c r="C44" s="684"/>
      <c r="D44" s="684"/>
      <c r="E44" s="239"/>
      <c r="F44" s="351"/>
      <c r="G44" s="351"/>
      <c r="H44" s="351"/>
      <c r="I44" s="351"/>
      <c r="J44" s="351"/>
      <c r="K44" s="351"/>
      <c r="L44" s="351"/>
      <c r="M44" s="351"/>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2813.6019999999999</v>
      </c>
      <c r="C47" s="303">
        <v>2563.4</v>
      </c>
      <c r="D47" s="365">
        <f t="shared" ref="D47:D48" si="14">IF(B47=0, "    ---- ", IF(ABS(ROUND(100/B47*C47-100,1))&lt;999,ROUND(100/B47*C47-100,1),IF(ROUND(100/B47*C47-100,1)&gt;999,999,-999)))</f>
        <v>-8.9</v>
      </c>
      <c r="E47" s="11">
        <f>IFERROR(100/'Skjema total MA'!C47*C47,0)</f>
        <v>0.10243754116205415</v>
      </c>
      <c r="F47" s="145"/>
      <c r="G47" s="33"/>
      <c r="H47" s="159"/>
      <c r="I47" s="159"/>
      <c r="J47" s="37"/>
      <c r="K47" s="37"/>
      <c r="L47" s="159"/>
      <c r="M47" s="159"/>
      <c r="N47" s="148"/>
    </row>
    <row r="48" spans="1:14" s="3" customFormat="1" ht="15.75" x14ac:dyDescent="0.2">
      <c r="A48" s="38" t="s">
        <v>382</v>
      </c>
      <c r="B48" s="277">
        <v>2813.6019999999999</v>
      </c>
      <c r="C48" s="278">
        <v>2563.4</v>
      </c>
      <c r="D48" s="250">
        <f t="shared" si="14"/>
        <v>-8.9</v>
      </c>
      <c r="E48" s="27">
        <f>IFERROR(100/'Skjema total MA'!C48*C48,0)</f>
        <v>0.19150967138299543</v>
      </c>
      <c r="F48" s="145"/>
      <c r="G48" s="33"/>
      <c r="H48" s="145"/>
      <c r="I48" s="145"/>
      <c r="J48" s="33"/>
      <c r="K48" s="33"/>
      <c r="L48" s="159"/>
      <c r="M48" s="159"/>
      <c r="N48" s="148"/>
    </row>
    <row r="49" spans="1:14" s="3" customFormat="1" ht="15.75" x14ac:dyDescent="0.2">
      <c r="A49" s="38" t="s">
        <v>383</v>
      </c>
      <c r="B49" s="44"/>
      <c r="C49" s="283"/>
      <c r="D49" s="250"/>
      <c r="E49" s="27"/>
      <c r="F49" s="145"/>
      <c r="G49" s="33"/>
      <c r="H49" s="145"/>
      <c r="I49" s="145"/>
      <c r="J49" s="37"/>
      <c r="K49" s="37"/>
      <c r="L49" s="159"/>
      <c r="M49" s="159"/>
      <c r="N49" s="148"/>
    </row>
    <row r="50" spans="1:14" s="3" customFormat="1" x14ac:dyDescent="0.2">
      <c r="A50" s="288" t="s">
        <v>6</v>
      </c>
      <c r="B50" s="311"/>
      <c r="C50" s="311"/>
      <c r="D50" s="250"/>
      <c r="E50" s="23"/>
      <c r="F50" s="145"/>
      <c r="G50" s="33"/>
      <c r="H50" s="145"/>
      <c r="I50" s="145"/>
      <c r="J50" s="33"/>
      <c r="K50" s="33"/>
      <c r="L50" s="159"/>
      <c r="M50" s="159"/>
      <c r="N50" s="148"/>
    </row>
    <row r="51" spans="1:14" s="3" customFormat="1" x14ac:dyDescent="0.2">
      <c r="A51" s="288" t="s">
        <v>7</v>
      </c>
      <c r="B51" s="311"/>
      <c r="C51" s="311"/>
      <c r="D51" s="250"/>
      <c r="E51" s="23"/>
      <c r="F51" s="145"/>
      <c r="G51" s="33"/>
      <c r="H51" s="145"/>
      <c r="I51" s="145"/>
      <c r="J51" s="33"/>
      <c r="K51" s="33"/>
      <c r="L51" s="159"/>
      <c r="M51" s="159"/>
      <c r="N51" s="148"/>
    </row>
    <row r="52" spans="1:14" s="3" customFormat="1" x14ac:dyDescent="0.2">
      <c r="A52" s="288" t="s">
        <v>8</v>
      </c>
      <c r="B52" s="311"/>
      <c r="C52" s="311"/>
      <c r="D52" s="250"/>
      <c r="E52" s="23"/>
      <c r="F52" s="145"/>
      <c r="G52" s="33"/>
      <c r="H52" s="145"/>
      <c r="I52" s="145"/>
      <c r="J52" s="33"/>
      <c r="K52" s="33"/>
      <c r="L52" s="159"/>
      <c r="M52" s="159"/>
      <c r="N52" s="148"/>
    </row>
    <row r="53" spans="1:14" s="3" customFormat="1" ht="15.75" x14ac:dyDescent="0.2">
      <c r="A53" s="39" t="s">
        <v>384</v>
      </c>
      <c r="B53" s="302"/>
      <c r="C53" s="303"/>
      <c r="D53" s="366"/>
      <c r="E53" s="11"/>
      <c r="F53" s="145"/>
      <c r="G53" s="33"/>
      <c r="H53" s="145"/>
      <c r="I53" s="145"/>
      <c r="J53" s="33"/>
      <c r="K53" s="33"/>
      <c r="L53" s="159"/>
      <c r="M53" s="159"/>
      <c r="N53" s="148"/>
    </row>
    <row r="54" spans="1:14" s="3" customFormat="1" ht="15.75" x14ac:dyDescent="0.2">
      <c r="A54" s="38" t="s">
        <v>382</v>
      </c>
      <c r="B54" s="277"/>
      <c r="C54" s="278"/>
      <c r="D54" s="250"/>
      <c r="E54" s="27"/>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c r="C56" s="303"/>
      <c r="D56" s="366"/>
      <c r="E56" s="11"/>
      <c r="F56" s="145"/>
      <c r="G56" s="33"/>
      <c r="H56" s="145"/>
      <c r="I56" s="145"/>
      <c r="J56" s="33"/>
      <c r="K56" s="33"/>
      <c r="L56" s="159"/>
      <c r="M56" s="159"/>
      <c r="N56" s="148"/>
    </row>
    <row r="57" spans="1:14" s="3" customFormat="1" ht="15.75" x14ac:dyDescent="0.2">
      <c r="A57" s="38" t="s">
        <v>382</v>
      </c>
      <c r="B57" s="277"/>
      <c r="C57" s="278"/>
      <c r="D57" s="250"/>
      <c r="E57" s="27"/>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350"/>
      <c r="F62" s="682"/>
      <c r="G62" s="682"/>
      <c r="H62" s="682"/>
      <c r="I62" s="350"/>
      <c r="J62" s="682"/>
      <c r="K62" s="682"/>
      <c r="L62" s="682"/>
      <c r="M62" s="350"/>
    </row>
    <row r="63" spans="1:14" x14ac:dyDescent="0.2">
      <c r="A63" s="144"/>
      <c r="B63" s="683" t="s">
        <v>0</v>
      </c>
      <c r="C63" s="684"/>
      <c r="D63" s="685"/>
      <c r="E63" s="348"/>
      <c r="F63" s="684" t="s">
        <v>1</v>
      </c>
      <c r="G63" s="684"/>
      <c r="H63" s="684"/>
      <c r="I63" s="352"/>
      <c r="J63" s="683" t="s">
        <v>2</v>
      </c>
      <c r="K63" s="684"/>
      <c r="L63" s="684"/>
      <c r="M63" s="352"/>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29275.7</v>
      </c>
      <c r="C66" s="345">
        <v>29846.553</v>
      </c>
      <c r="D66" s="342">
        <f t="shared" ref="D66:D120" si="15">IF(B66=0, "    ---- ", IF(ABS(ROUND(100/B66*C66-100,1))&lt;999,ROUND(100/B66*C66-100,1),IF(ROUND(100/B66*C66-100,1)&gt;999,999,-999)))</f>
        <v>1.9</v>
      </c>
      <c r="E66" s="11">
        <f>IFERROR(100/'Skjema total MA'!C66*C66,0)</f>
        <v>0.84957984182110002</v>
      </c>
      <c r="F66" s="344">
        <v>381411.973</v>
      </c>
      <c r="G66" s="344">
        <v>411000.212</v>
      </c>
      <c r="H66" s="342">
        <f t="shared" ref="H66:H125" si="16">IF(F66=0, "    ---- ", IF(ABS(ROUND(100/F66*G66-100,1))&lt;999,ROUND(100/F66*G66-100,1),IF(ROUND(100/F66*G66-100,1)&gt;999,999,-999)))</f>
        <v>7.8</v>
      </c>
      <c r="I66" s="11">
        <f>IFERROR(100/'Skjema total MA'!F66*G66,0)</f>
        <v>5.2112350720734328</v>
      </c>
      <c r="J66" s="301">
        <f t="shared" ref="J66:K79" si="17">SUM(B66,F66)</f>
        <v>410687.67300000001</v>
      </c>
      <c r="K66" s="308">
        <f t="shared" si="17"/>
        <v>440846.76500000001</v>
      </c>
      <c r="L66" s="366">
        <f t="shared" ref="L66:L125" si="18">IF(J66=0, "    ---- ", IF(ABS(ROUND(100/J66*K66-100,1))&lt;999,ROUND(100/J66*K66-100,1),IF(ROUND(100/J66*K66-100,1)&gt;999,999,-999)))</f>
        <v>7.3</v>
      </c>
      <c r="M66" s="11">
        <f>IFERROR(100/'Skjema total MA'!I66*K66,0)</f>
        <v>3.8671088491596106</v>
      </c>
    </row>
    <row r="67" spans="1:14" x14ac:dyDescent="0.2">
      <c r="A67" s="21" t="s">
        <v>9</v>
      </c>
      <c r="B67" s="44">
        <v>29275.7</v>
      </c>
      <c r="C67" s="145">
        <v>29846.553</v>
      </c>
      <c r="D67" s="166">
        <f t="shared" si="15"/>
        <v>1.9</v>
      </c>
      <c r="E67" s="27">
        <f>IFERROR(100/'Skjema total MA'!C67*C67,0)</f>
        <v>1.055430655901316</v>
      </c>
      <c r="F67" s="230"/>
      <c r="G67" s="145"/>
      <c r="H67" s="166"/>
      <c r="I67" s="27"/>
      <c r="J67" s="283">
        <f t="shared" si="17"/>
        <v>29275.7</v>
      </c>
      <c r="K67" s="44">
        <f t="shared" si="17"/>
        <v>29846.553</v>
      </c>
      <c r="L67" s="250">
        <f t="shared" si="18"/>
        <v>1.9</v>
      </c>
      <c r="M67" s="27">
        <f>IFERROR(100/'Skjema total MA'!I67*K67,0)</f>
        <v>1.055430655901316</v>
      </c>
    </row>
    <row r="68" spans="1:14" x14ac:dyDescent="0.2">
      <c r="A68" s="21" t="s">
        <v>10</v>
      </c>
      <c r="B68" s="286"/>
      <c r="C68" s="287"/>
      <c r="D68" s="166"/>
      <c r="E68" s="27"/>
      <c r="F68" s="286">
        <v>381411.973</v>
      </c>
      <c r="G68" s="287">
        <v>411000.212</v>
      </c>
      <c r="H68" s="166">
        <f t="shared" si="16"/>
        <v>7.8</v>
      </c>
      <c r="I68" s="27">
        <f>IFERROR(100/'Skjema total MA'!F68*G68,0)</f>
        <v>5.2801090199537901</v>
      </c>
      <c r="J68" s="283">
        <f t="shared" si="17"/>
        <v>381411.973</v>
      </c>
      <c r="K68" s="44">
        <f t="shared" si="17"/>
        <v>411000.212</v>
      </c>
      <c r="L68" s="250">
        <f t="shared" si="18"/>
        <v>7.8</v>
      </c>
      <c r="M68" s="27">
        <f>IFERROR(100/'Skjema total MA'!I68*K68,0)</f>
        <v>5.2151031625696991</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c r="C76" s="145"/>
      <c r="D76" s="166"/>
      <c r="E76" s="27"/>
      <c r="F76" s="230"/>
      <c r="G76" s="145"/>
      <c r="H76" s="166"/>
      <c r="I76" s="27"/>
      <c r="J76" s="283"/>
      <c r="K76" s="44"/>
      <c r="L76" s="250"/>
      <c r="M76" s="27"/>
      <c r="N76" s="148"/>
    </row>
    <row r="77" spans="1:14" ht="15.75" x14ac:dyDescent="0.2">
      <c r="A77" s="21" t="s">
        <v>388</v>
      </c>
      <c r="B77" s="230">
        <v>29275.7</v>
      </c>
      <c r="C77" s="230">
        <v>29846.553</v>
      </c>
      <c r="D77" s="166">
        <f t="shared" si="15"/>
        <v>1.9</v>
      </c>
      <c r="E77" s="27">
        <f>IFERROR(100/'Skjema total MA'!C77*C77,0)</f>
        <v>1.0411119809124552</v>
      </c>
      <c r="F77" s="230">
        <v>381411.973</v>
      </c>
      <c r="G77" s="145">
        <v>411000.212</v>
      </c>
      <c r="H77" s="166">
        <f t="shared" si="16"/>
        <v>7.8</v>
      </c>
      <c r="I77" s="27">
        <f>IFERROR(100/'Skjema total MA'!F77*G77,0)</f>
        <v>5.2824698594055723</v>
      </c>
      <c r="J77" s="283">
        <f t="shared" si="17"/>
        <v>410687.67300000001</v>
      </c>
      <c r="K77" s="44">
        <f t="shared" si="17"/>
        <v>440846.76500000001</v>
      </c>
      <c r="L77" s="250">
        <f t="shared" si="18"/>
        <v>7.3</v>
      </c>
      <c r="M77" s="27">
        <f>IFERROR(100/'Skjema total MA'!I77*K77,0)</f>
        <v>4.1404749677146739</v>
      </c>
    </row>
    <row r="78" spans="1:14" x14ac:dyDescent="0.2">
      <c r="A78" s="21" t="s">
        <v>9</v>
      </c>
      <c r="B78" s="230">
        <v>29275.7</v>
      </c>
      <c r="C78" s="145">
        <v>29846.553</v>
      </c>
      <c r="D78" s="166">
        <f t="shared" si="15"/>
        <v>1.9</v>
      </c>
      <c r="E78" s="27">
        <f>IFERROR(100/'Skjema total MA'!C78*C78,0)</f>
        <v>1.0770797586539267</v>
      </c>
      <c r="F78" s="230"/>
      <c r="G78" s="145"/>
      <c r="H78" s="166"/>
      <c r="I78" s="27"/>
      <c r="J78" s="283">
        <f t="shared" si="17"/>
        <v>29275.7</v>
      </c>
      <c r="K78" s="44">
        <f t="shared" si="17"/>
        <v>29846.553</v>
      </c>
      <c r="L78" s="250">
        <f t="shared" si="18"/>
        <v>1.9</v>
      </c>
      <c r="M78" s="27">
        <f>IFERROR(100/'Skjema total MA'!I78*K78,0)</f>
        <v>1.0770797586539267</v>
      </c>
    </row>
    <row r="79" spans="1:14" x14ac:dyDescent="0.2">
      <c r="A79" s="21" t="s">
        <v>10</v>
      </c>
      <c r="B79" s="286"/>
      <c r="C79" s="287"/>
      <c r="D79" s="166"/>
      <c r="E79" s="27"/>
      <c r="F79" s="286">
        <v>381411.973</v>
      </c>
      <c r="G79" s="287">
        <v>411000.212</v>
      </c>
      <c r="H79" s="166">
        <f t="shared" si="16"/>
        <v>7.8</v>
      </c>
      <c r="I79" s="27">
        <f>IFERROR(100/'Skjema total MA'!F79*G79,0)</f>
        <v>5.2824698594055723</v>
      </c>
      <c r="J79" s="283">
        <f t="shared" si="17"/>
        <v>381411.973</v>
      </c>
      <c r="K79" s="44">
        <f t="shared" si="17"/>
        <v>411000.212</v>
      </c>
      <c r="L79" s="250">
        <f t="shared" si="18"/>
        <v>7.8</v>
      </c>
      <c r="M79" s="27">
        <f>IFERROR(100/'Skjema total MA'!I79*K79,0)</f>
        <v>5.2182627083900295</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c r="C86" s="145"/>
      <c r="D86" s="166"/>
      <c r="E86" s="27"/>
      <c r="F86" s="230"/>
      <c r="G86" s="145"/>
      <c r="H86" s="166"/>
      <c r="I86" s="27"/>
      <c r="J86" s="283"/>
      <c r="K86" s="44"/>
      <c r="L86" s="250"/>
      <c r="M86" s="27"/>
    </row>
    <row r="87" spans="1:13" ht="15.75" x14ac:dyDescent="0.2">
      <c r="A87" s="13" t="s">
        <v>371</v>
      </c>
      <c r="B87" s="345">
        <v>631079.86100000003</v>
      </c>
      <c r="C87" s="345">
        <v>697232.33499999996</v>
      </c>
      <c r="D87" s="171">
        <f t="shared" si="15"/>
        <v>10.5</v>
      </c>
      <c r="E87" s="11">
        <f>IFERROR(100/'Skjema total MA'!C87*C87,0)</f>
        <v>0.1794749913270039</v>
      </c>
      <c r="F87" s="344">
        <v>12018441.109999999</v>
      </c>
      <c r="G87" s="344">
        <v>13555850.852</v>
      </c>
      <c r="H87" s="171">
        <f t="shared" si="16"/>
        <v>12.8</v>
      </c>
      <c r="I87" s="11">
        <f>IFERROR(100/'Skjema total MA'!F87*G87,0)</f>
        <v>5.0089712654683911</v>
      </c>
      <c r="J87" s="301">
        <f t="shared" ref="J87:K111" si="19">SUM(B87,F87)</f>
        <v>12649520.970999999</v>
      </c>
      <c r="K87" s="232">
        <f t="shared" si="19"/>
        <v>14253083.186999999</v>
      </c>
      <c r="L87" s="366">
        <f t="shared" si="18"/>
        <v>12.7</v>
      </c>
      <c r="M87" s="11">
        <f>IFERROR(100/'Skjema total MA'!I87*K87,0)</f>
        <v>2.1624549908865776</v>
      </c>
    </row>
    <row r="88" spans="1:13" x14ac:dyDescent="0.2">
      <c r="A88" s="21" t="s">
        <v>9</v>
      </c>
      <c r="B88" s="230">
        <v>631079.86100000003</v>
      </c>
      <c r="C88" s="145">
        <v>697232.33499999996</v>
      </c>
      <c r="D88" s="166">
        <f t="shared" si="15"/>
        <v>10.5</v>
      </c>
      <c r="E88" s="27">
        <f>IFERROR(100/'Skjema total MA'!C88*C88,0)</f>
        <v>0.18355173240926323</v>
      </c>
      <c r="F88" s="230"/>
      <c r="G88" s="145"/>
      <c r="H88" s="166"/>
      <c r="I88" s="27"/>
      <c r="J88" s="283">
        <f t="shared" si="19"/>
        <v>631079.86100000003</v>
      </c>
      <c r="K88" s="44">
        <f t="shared" si="19"/>
        <v>697232.33499999996</v>
      </c>
      <c r="L88" s="250">
        <f t="shared" si="18"/>
        <v>10.5</v>
      </c>
      <c r="M88" s="27">
        <f>IFERROR(100/'Skjema total MA'!I88*K88,0)</f>
        <v>0.18355173240926323</v>
      </c>
    </row>
    <row r="89" spans="1:13" x14ac:dyDescent="0.2">
      <c r="A89" s="21" t="s">
        <v>10</v>
      </c>
      <c r="B89" s="230"/>
      <c r="C89" s="145"/>
      <c r="D89" s="166"/>
      <c r="E89" s="27"/>
      <c r="F89" s="230">
        <v>12018441.109999999</v>
      </c>
      <c r="G89" s="145">
        <v>13555850.852</v>
      </c>
      <c r="H89" s="166">
        <f t="shared" si="16"/>
        <v>12.8</v>
      </c>
      <c r="I89" s="27">
        <f>IFERROR(100/'Skjema total MA'!F89*G89,0)</f>
        <v>5.0311024831472819</v>
      </c>
      <c r="J89" s="283">
        <f t="shared" si="19"/>
        <v>12018441.109999999</v>
      </c>
      <c r="K89" s="44">
        <f t="shared" si="19"/>
        <v>13555850.852</v>
      </c>
      <c r="L89" s="250">
        <f t="shared" si="18"/>
        <v>12.8</v>
      </c>
      <c r="M89" s="27">
        <f>IFERROR(100/'Skjema total MA'!I89*K89,0)</f>
        <v>4.9795120589991742</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c r="C97" s="145"/>
      <c r="D97" s="166"/>
      <c r="E97" s="27"/>
      <c r="F97" s="230"/>
      <c r="G97" s="145"/>
      <c r="H97" s="166"/>
      <c r="I97" s="27"/>
      <c r="J97" s="283"/>
      <c r="K97" s="44"/>
      <c r="L97" s="250"/>
      <c r="M97" s="27"/>
    </row>
    <row r="98" spans="1:13" ht="15.75" x14ac:dyDescent="0.2">
      <c r="A98" s="21" t="s">
        <v>388</v>
      </c>
      <c r="B98" s="230">
        <v>631079.86100000003</v>
      </c>
      <c r="C98" s="230">
        <v>697232.33499999996</v>
      </c>
      <c r="D98" s="166">
        <f t="shared" si="15"/>
        <v>10.5</v>
      </c>
      <c r="E98" s="27">
        <f>IFERROR(100/'Skjema total MA'!C98*C98,0)</f>
        <v>0.18451057242652469</v>
      </c>
      <c r="F98" s="286">
        <v>12018441.109999999</v>
      </c>
      <c r="G98" s="286">
        <v>13555850.852</v>
      </c>
      <c r="H98" s="166">
        <f t="shared" si="16"/>
        <v>12.8</v>
      </c>
      <c r="I98" s="27">
        <f>IFERROR(100/'Skjema total MA'!F98*G98,0)</f>
        <v>5.0450740252874908</v>
      </c>
      <c r="J98" s="283">
        <f t="shared" si="19"/>
        <v>12649520.970999999</v>
      </c>
      <c r="K98" s="44">
        <f t="shared" si="19"/>
        <v>14253083.186999999</v>
      </c>
      <c r="L98" s="250">
        <f t="shared" si="18"/>
        <v>12.7</v>
      </c>
      <c r="M98" s="27">
        <f>IFERROR(100/'Skjema total MA'!I98*K98,0)</f>
        <v>2.2043912459858799</v>
      </c>
    </row>
    <row r="99" spans="1:13" x14ac:dyDescent="0.2">
      <c r="A99" s="21" t="s">
        <v>9</v>
      </c>
      <c r="B99" s="286">
        <v>631079.86100000003</v>
      </c>
      <c r="C99" s="287">
        <v>697232.33499999996</v>
      </c>
      <c r="D99" s="166">
        <f t="shared" si="15"/>
        <v>10.5</v>
      </c>
      <c r="E99" s="27">
        <f>IFERROR(100/'Skjema total MA'!C99*C99,0)</f>
        <v>0.18588376397661405</v>
      </c>
      <c r="F99" s="230"/>
      <c r="G99" s="145"/>
      <c r="H99" s="166"/>
      <c r="I99" s="27"/>
      <c r="J99" s="283">
        <f t="shared" si="19"/>
        <v>631079.86100000003</v>
      </c>
      <c r="K99" s="44">
        <f t="shared" si="19"/>
        <v>697232.33499999996</v>
      </c>
      <c r="L99" s="250">
        <f t="shared" si="18"/>
        <v>10.5</v>
      </c>
      <c r="M99" s="27">
        <f>IFERROR(100/'Skjema total MA'!I99*K99,0)</f>
        <v>0.18588376397661405</v>
      </c>
    </row>
    <row r="100" spans="1:13" x14ac:dyDescent="0.2">
      <c r="A100" s="21" t="s">
        <v>10</v>
      </c>
      <c r="B100" s="286"/>
      <c r="C100" s="287"/>
      <c r="D100" s="166"/>
      <c r="E100" s="27"/>
      <c r="F100" s="230">
        <v>12018441.109999999</v>
      </c>
      <c r="G100" s="230">
        <v>13555850.852</v>
      </c>
      <c r="H100" s="166">
        <f t="shared" si="16"/>
        <v>12.8</v>
      </c>
      <c r="I100" s="27">
        <f>IFERROR(100/'Skjema total MA'!F100*G100,0)</f>
        <v>5.0450740252874908</v>
      </c>
      <c r="J100" s="283">
        <f t="shared" si="19"/>
        <v>12018441.109999999</v>
      </c>
      <c r="K100" s="44">
        <f t="shared" si="19"/>
        <v>13555850.852</v>
      </c>
      <c r="L100" s="250">
        <f t="shared" si="18"/>
        <v>12.8</v>
      </c>
      <c r="M100" s="27">
        <f>IFERROR(100/'Skjema total MA'!I100*K100,0)</f>
        <v>4.9931981437961452</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c r="C107" s="145"/>
      <c r="D107" s="166"/>
      <c r="E107" s="27"/>
      <c r="F107" s="230"/>
      <c r="G107" s="145"/>
      <c r="H107" s="166"/>
      <c r="I107" s="27"/>
      <c r="J107" s="283"/>
      <c r="K107" s="44"/>
      <c r="L107" s="250"/>
      <c r="M107" s="27"/>
    </row>
    <row r="108" spans="1:13" ht="15.75" x14ac:dyDescent="0.2">
      <c r="A108" s="21" t="s">
        <v>390</v>
      </c>
      <c r="B108" s="230">
        <v>27880.652999999998</v>
      </c>
      <c r="C108" s="230">
        <v>257176.01300000001</v>
      </c>
      <c r="D108" s="166">
        <f t="shared" si="15"/>
        <v>822.4</v>
      </c>
      <c r="E108" s="27">
        <f>IFERROR(100/'Skjema total MA'!C108*C108,0)</f>
        <v>8.1753202692976909E-2</v>
      </c>
      <c r="F108" s="230">
        <v>176470.58600000001</v>
      </c>
      <c r="G108" s="230">
        <v>177642.45499999999</v>
      </c>
      <c r="H108" s="166">
        <f t="shared" si="16"/>
        <v>0.7</v>
      </c>
      <c r="I108" s="27">
        <f>IFERROR(100/'Skjema total MA'!F108*G108,0)</f>
        <v>1.1068081303946662</v>
      </c>
      <c r="J108" s="283">
        <f t="shared" si="19"/>
        <v>204351.239</v>
      </c>
      <c r="K108" s="44">
        <f t="shared" si="19"/>
        <v>434818.46799999999</v>
      </c>
      <c r="L108" s="250">
        <f t="shared" si="18"/>
        <v>112.8</v>
      </c>
      <c r="M108" s="27">
        <f>IFERROR(100/'Skjema total MA'!I108*K108,0)</f>
        <v>0.13151367534287006</v>
      </c>
    </row>
    <row r="109" spans="1:13" ht="15.75" x14ac:dyDescent="0.2">
      <c r="A109" s="21" t="s">
        <v>391</v>
      </c>
      <c r="B109" s="230"/>
      <c r="C109" s="230"/>
      <c r="D109" s="166"/>
      <c r="E109" s="27"/>
      <c r="F109" s="230">
        <v>4258917.62</v>
      </c>
      <c r="G109" s="230">
        <v>4822726.6100000003</v>
      </c>
      <c r="H109" s="166">
        <f t="shared" si="16"/>
        <v>13.2</v>
      </c>
      <c r="I109" s="27">
        <f>IFERROR(100/'Skjema total MA'!F109*G109,0)</f>
        <v>5.4106157767875613</v>
      </c>
      <c r="J109" s="283">
        <f t="shared" si="19"/>
        <v>4258917.62</v>
      </c>
      <c r="K109" s="44">
        <f t="shared" si="19"/>
        <v>4822726.6100000003</v>
      </c>
      <c r="L109" s="250">
        <f t="shared" si="18"/>
        <v>13.2</v>
      </c>
      <c r="M109" s="27">
        <f>IFERROR(100/'Skjema total MA'!I109*K109,0)</f>
        <v>5.3485703198639891</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8194.5480000000007</v>
      </c>
      <c r="C111" s="159">
        <v>2774.009</v>
      </c>
      <c r="D111" s="171">
        <f t="shared" si="15"/>
        <v>-66.099999999999994</v>
      </c>
      <c r="E111" s="11">
        <f>IFERROR(100/'Skjema total MA'!C111*C111,0)</f>
        <v>1.2177332059476331</v>
      </c>
      <c r="F111" s="300">
        <v>222397.883</v>
      </c>
      <c r="G111" s="159">
        <v>119669.287</v>
      </c>
      <c r="H111" s="171">
        <f t="shared" si="16"/>
        <v>-46.2</v>
      </c>
      <c r="I111" s="11">
        <f>IFERROR(100/'Skjema total MA'!F111*G111,0)</f>
        <v>2.7993742361645979</v>
      </c>
      <c r="J111" s="301">
        <f t="shared" si="19"/>
        <v>230592.43100000001</v>
      </c>
      <c r="K111" s="232">
        <f t="shared" si="19"/>
        <v>122443.296</v>
      </c>
      <c r="L111" s="366">
        <f t="shared" si="18"/>
        <v>-46.9</v>
      </c>
      <c r="M111" s="11">
        <f>IFERROR(100/'Skjema total MA'!I111*K111,0)</f>
        <v>2.7193549761777023</v>
      </c>
    </row>
    <row r="112" spans="1:13" x14ac:dyDescent="0.2">
      <c r="A112" s="21" t="s">
        <v>9</v>
      </c>
      <c r="B112" s="230">
        <v>8194.5480000000007</v>
      </c>
      <c r="C112" s="145">
        <v>2774.009</v>
      </c>
      <c r="D112" s="166">
        <f t="shared" si="15"/>
        <v>-66.099999999999994</v>
      </c>
      <c r="E112" s="27">
        <f>IFERROR(100/'Skjema total MA'!C112*C112,0)</f>
        <v>1.3485447552588639</v>
      </c>
      <c r="F112" s="230"/>
      <c r="G112" s="145"/>
      <c r="H112" s="166"/>
      <c r="I112" s="27"/>
      <c r="J112" s="283">
        <f t="shared" ref="J112:K125" si="20">SUM(B112,F112)</f>
        <v>8194.5480000000007</v>
      </c>
      <c r="K112" s="44">
        <f t="shared" si="20"/>
        <v>2774.009</v>
      </c>
      <c r="L112" s="250">
        <f t="shared" si="18"/>
        <v>-66.099999999999994</v>
      </c>
      <c r="M112" s="27">
        <f>IFERROR(100/'Skjema total MA'!I112*K112,0)</f>
        <v>1.3424517969511995</v>
      </c>
    </row>
    <row r="113" spans="1:14" x14ac:dyDescent="0.2">
      <c r="A113" s="21" t="s">
        <v>10</v>
      </c>
      <c r="B113" s="230"/>
      <c r="C113" s="145"/>
      <c r="D113" s="166"/>
      <c r="E113" s="27"/>
      <c r="F113" s="230">
        <v>222397.883</v>
      </c>
      <c r="G113" s="145">
        <v>119669.287</v>
      </c>
      <c r="H113" s="166">
        <f t="shared" si="16"/>
        <v>-46.2</v>
      </c>
      <c r="I113" s="27">
        <f>IFERROR(100/'Skjema total MA'!F113*G113,0)</f>
        <v>2.8178030025160381</v>
      </c>
      <c r="J113" s="283">
        <f t="shared" si="20"/>
        <v>222397.883</v>
      </c>
      <c r="K113" s="44">
        <f t="shared" si="20"/>
        <v>119669.287</v>
      </c>
      <c r="L113" s="250">
        <f t="shared" si="18"/>
        <v>-46.2</v>
      </c>
      <c r="M113" s="27">
        <f>IFERROR(100/'Skjema total MA'!I113*K113,0)</f>
        <v>2.8176253473037733</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c r="C115" s="311"/>
      <c r="D115" s="166"/>
      <c r="E115" s="358"/>
      <c r="F115" s="311"/>
      <c r="G115" s="311"/>
      <c r="H115" s="166"/>
      <c r="I115" s="358"/>
      <c r="J115" s="311"/>
      <c r="K115" s="311"/>
      <c r="L115" s="166"/>
      <c r="M115" s="23"/>
    </row>
    <row r="116" spans="1:14" ht="15.75" x14ac:dyDescent="0.2">
      <c r="A116" s="21" t="s">
        <v>393</v>
      </c>
      <c r="B116" s="230">
        <v>109.667</v>
      </c>
      <c r="C116" s="230">
        <v>0</v>
      </c>
      <c r="D116" s="166">
        <f t="shared" si="15"/>
        <v>-100</v>
      </c>
      <c r="E116" s="27">
        <f>IFERROR(100/'Skjema total MA'!C116*C116,0)</f>
        <v>0</v>
      </c>
      <c r="F116" s="230">
        <v>305.82400000000001</v>
      </c>
      <c r="G116" s="230">
        <v>0</v>
      </c>
      <c r="H116" s="166">
        <f t="shared" si="16"/>
        <v>-100</v>
      </c>
      <c r="I116" s="27">
        <f>IFERROR(100/'Skjema total MA'!F116*G116,0)</f>
        <v>0</v>
      </c>
      <c r="J116" s="283">
        <f t="shared" si="20"/>
        <v>415.49099999999999</v>
      </c>
      <c r="K116" s="44">
        <f t="shared" si="20"/>
        <v>0</v>
      </c>
      <c r="L116" s="250">
        <f t="shared" si="18"/>
        <v>-100</v>
      </c>
      <c r="M116" s="27">
        <f>IFERROR(100/'Skjema total MA'!I116*K116,0)</f>
        <v>0</v>
      </c>
    </row>
    <row r="117" spans="1:14" ht="15.75" x14ac:dyDescent="0.2">
      <c r="A117" s="21" t="s">
        <v>394</v>
      </c>
      <c r="B117" s="230"/>
      <c r="C117" s="230"/>
      <c r="D117" s="166"/>
      <c r="E117" s="27"/>
      <c r="F117" s="230">
        <v>21018.966</v>
      </c>
      <c r="G117" s="230">
        <v>23965.007000000001</v>
      </c>
      <c r="H117" s="166">
        <f t="shared" si="16"/>
        <v>14</v>
      </c>
      <c r="I117" s="27">
        <f>IFERROR(100/'Skjema total MA'!F117*G117,0)</f>
        <v>4.4018146338118873</v>
      </c>
      <c r="J117" s="283">
        <f t="shared" si="20"/>
        <v>21018.966</v>
      </c>
      <c r="K117" s="44">
        <f t="shared" si="20"/>
        <v>23965.007000000001</v>
      </c>
      <c r="L117" s="250">
        <f t="shared" si="18"/>
        <v>14</v>
      </c>
      <c r="M117" s="27">
        <f>IFERROR(100/'Skjema total MA'!I117*K117,0)</f>
        <v>4.4018146338118873</v>
      </c>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6276.17</v>
      </c>
      <c r="C119" s="159">
        <v>4350.8999999999996</v>
      </c>
      <c r="D119" s="171">
        <f t="shared" si="15"/>
        <v>-30.7</v>
      </c>
      <c r="E119" s="11">
        <f>IFERROR(100/'Skjema total MA'!C119*C119,0)</f>
        <v>2.3382613234484513</v>
      </c>
      <c r="F119" s="300">
        <v>275774.30900000001</v>
      </c>
      <c r="G119" s="159">
        <v>140272.53200000001</v>
      </c>
      <c r="H119" s="171">
        <f t="shared" si="16"/>
        <v>-49.1</v>
      </c>
      <c r="I119" s="11">
        <f>IFERROR(100/'Skjema total MA'!F119*G119,0)</f>
        <v>3.210569271377826</v>
      </c>
      <c r="J119" s="301">
        <f t="shared" si="20"/>
        <v>282050.47899999999</v>
      </c>
      <c r="K119" s="232">
        <f t="shared" si="20"/>
        <v>144623.432</v>
      </c>
      <c r="L119" s="366">
        <f t="shared" si="18"/>
        <v>-48.7</v>
      </c>
      <c r="M119" s="11">
        <f>IFERROR(100/'Skjema total MA'!I119*K119,0)</f>
        <v>3.1749362838582011</v>
      </c>
    </row>
    <row r="120" spans="1:14" x14ac:dyDescent="0.2">
      <c r="A120" s="21" t="s">
        <v>9</v>
      </c>
      <c r="B120" s="230">
        <v>6276.17</v>
      </c>
      <c r="C120" s="145">
        <v>4350.8999999999996</v>
      </c>
      <c r="D120" s="166">
        <f t="shared" si="15"/>
        <v>-30.7</v>
      </c>
      <c r="E120" s="27">
        <f>IFERROR(100/'Skjema total MA'!C120*C120,0)</f>
        <v>3.9238097679278008</v>
      </c>
      <c r="F120" s="230"/>
      <c r="G120" s="145"/>
      <c r="H120" s="166"/>
      <c r="I120" s="27"/>
      <c r="J120" s="283">
        <f t="shared" si="20"/>
        <v>6276.17</v>
      </c>
      <c r="K120" s="44">
        <f t="shared" si="20"/>
        <v>4350.8999999999996</v>
      </c>
      <c r="L120" s="250">
        <f t="shared" si="18"/>
        <v>-30.7</v>
      </c>
      <c r="M120" s="27">
        <f>IFERROR(100/'Skjema total MA'!I120*K120,0)</f>
        <v>3.9238097679278008</v>
      </c>
    </row>
    <row r="121" spans="1:14" x14ac:dyDescent="0.2">
      <c r="A121" s="21" t="s">
        <v>10</v>
      </c>
      <c r="B121" s="230"/>
      <c r="C121" s="145"/>
      <c r="D121" s="166"/>
      <c r="E121" s="27"/>
      <c r="F121" s="230">
        <v>275774.30900000001</v>
      </c>
      <c r="G121" s="145">
        <v>140272.53200000001</v>
      </c>
      <c r="H121" s="166">
        <f t="shared" si="16"/>
        <v>-49.1</v>
      </c>
      <c r="I121" s="27">
        <f>IFERROR(100/'Skjema total MA'!F121*G121,0)</f>
        <v>3.210569271377826</v>
      </c>
      <c r="J121" s="283">
        <f t="shared" si="20"/>
        <v>275774.30900000001</v>
      </c>
      <c r="K121" s="44">
        <f t="shared" si="20"/>
        <v>140272.53200000001</v>
      </c>
      <c r="L121" s="250">
        <f t="shared" si="18"/>
        <v>-49.1</v>
      </c>
      <c r="M121" s="27">
        <f>IFERROR(100/'Skjema total MA'!I121*K121,0)</f>
        <v>3.2036474718411005</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c r="C123" s="311"/>
      <c r="D123" s="166"/>
      <c r="E123" s="23"/>
      <c r="F123" s="311"/>
      <c r="G123" s="311"/>
      <c r="H123" s="166"/>
      <c r="I123" s="23"/>
      <c r="J123" s="311"/>
      <c r="K123" s="311"/>
      <c r="L123" s="166"/>
      <c r="M123" s="23"/>
    </row>
    <row r="124" spans="1:14" ht="15.75" x14ac:dyDescent="0.2">
      <c r="A124" s="21" t="s">
        <v>399</v>
      </c>
      <c r="B124" s="230"/>
      <c r="C124" s="230"/>
      <c r="D124" s="166"/>
      <c r="E124" s="27"/>
      <c r="F124" s="230">
        <v>4.3090000000000002</v>
      </c>
      <c r="G124" s="230">
        <v>1.38</v>
      </c>
      <c r="H124" s="166">
        <f t="shared" si="16"/>
        <v>-68</v>
      </c>
      <c r="I124" s="27">
        <f>IFERROR(100/'Skjema total MA'!F124*G124,0)</f>
        <v>4.1780566647421365E-2</v>
      </c>
      <c r="J124" s="283">
        <f t="shared" si="20"/>
        <v>4.3090000000000002</v>
      </c>
      <c r="K124" s="44">
        <f t="shared" si="20"/>
        <v>1.38</v>
      </c>
      <c r="L124" s="250">
        <f t="shared" si="18"/>
        <v>-68</v>
      </c>
      <c r="M124" s="27">
        <f>IFERROR(100/'Skjema total MA'!I124*K124,0)</f>
        <v>6.7150007228357657E-3</v>
      </c>
    </row>
    <row r="125" spans="1:14" ht="15.75" x14ac:dyDescent="0.2">
      <c r="A125" s="21" t="s">
        <v>391</v>
      </c>
      <c r="B125" s="230"/>
      <c r="C125" s="230"/>
      <c r="D125" s="166"/>
      <c r="E125" s="27"/>
      <c r="F125" s="230">
        <v>39192.794000000002</v>
      </c>
      <c r="G125" s="230">
        <v>45924.392999999996</v>
      </c>
      <c r="H125" s="166">
        <f t="shared" si="16"/>
        <v>17.2</v>
      </c>
      <c r="I125" s="27">
        <f>IFERROR(100/'Skjema total MA'!F125*G125,0)</f>
        <v>9.2309094636546973</v>
      </c>
      <c r="J125" s="283">
        <f t="shared" si="20"/>
        <v>39192.794000000002</v>
      </c>
      <c r="K125" s="44">
        <f t="shared" si="20"/>
        <v>45924.392999999996</v>
      </c>
      <c r="L125" s="250">
        <f t="shared" si="18"/>
        <v>17.2</v>
      </c>
      <c r="M125" s="27">
        <f>IFERROR(100/'Skjema total MA'!I125*K125,0)</f>
        <v>9.2286909420119585</v>
      </c>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350"/>
      <c r="F130" s="682"/>
      <c r="G130" s="682"/>
      <c r="H130" s="682"/>
      <c r="I130" s="350"/>
      <c r="J130" s="682"/>
      <c r="K130" s="682"/>
      <c r="L130" s="682"/>
      <c r="M130" s="350"/>
    </row>
    <row r="131" spans="1:14" s="3" customFormat="1" x14ac:dyDescent="0.2">
      <c r="A131" s="144"/>
      <c r="B131" s="683" t="s">
        <v>0</v>
      </c>
      <c r="C131" s="684"/>
      <c r="D131" s="684"/>
      <c r="E131" s="349"/>
      <c r="F131" s="683" t="s">
        <v>1</v>
      </c>
      <c r="G131" s="684"/>
      <c r="H131" s="684"/>
      <c r="I131" s="352"/>
      <c r="J131" s="683" t="s">
        <v>2</v>
      </c>
      <c r="K131" s="684"/>
      <c r="L131" s="684"/>
      <c r="M131" s="352"/>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A50:A52">
    <cfRule type="expression" dxfId="175" priority="8">
      <formula>kvartal &lt; 4</formula>
    </cfRule>
  </conditionalFormatting>
  <conditionalFormatting sqref="A69:A74">
    <cfRule type="expression" dxfId="174" priority="7">
      <formula>kvartal &lt; 4</formula>
    </cfRule>
  </conditionalFormatting>
  <conditionalFormatting sqref="A80:A85">
    <cfRule type="expression" dxfId="173" priority="6">
      <formula>kvartal &lt; 4</formula>
    </cfRule>
  </conditionalFormatting>
  <conditionalFormatting sqref="A90:A95">
    <cfRule type="expression" dxfId="172" priority="5">
      <formula>kvartal &lt; 4</formula>
    </cfRule>
  </conditionalFormatting>
  <conditionalFormatting sqref="A101:A106">
    <cfRule type="expression" dxfId="171" priority="4">
      <formula>kvartal &lt; 4</formula>
    </cfRule>
  </conditionalFormatting>
  <conditionalFormatting sqref="A115">
    <cfRule type="expression" dxfId="170" priority="3">
      <formula>kvartal &lt; 4</formula>
    </cfRule>
  </conditionalFormatting>
  <conditionalFormatting sqref="A123">
    <cfRule type="expression" dxfId="169" priority="2">
      <formula>kvartal &lt; 4</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120" zoomScaleNormal="120" workbookViewId="0">
      <selection activeCell="C1" sqref="C1"/>
    </sheetView>
  </sheetViews>
  <sheetFormatPr baseColWidth="10" defaultColWidth="11.42578125" defaultRowHeight="12.75" x14ac:dyDescent="0.2"/>
  <cols>
    <col min="1" max="1" width="41.5703125" style="149" customWidth="1"/>
    <col min="2" max="2" width="10.85546875" style="149" customWidth="1"/>
    <col min="3" max="3" width="11" style="149" customWidth="1"/>
    <col min="4" max="5" width="8.7109375" style="149" customWidth="1"/>
    <col min="6" max="7" width="10.85546875" style="149" customWidth="1"/>
    <col min="8" max="9" width="8.7109375" style="149" customWidth="1"/>
    <col min="10" max="11" width="10.85546875" style="149" customWidth="1"/>
    <col min="12" max="13" width="8.7109375" style="149" customWidth="1"/>
    <col min="14" max="14" width="11.42578125" style="149"/>
    <col min="15" max="16384" width="11.42578125" style="1"/>
  </cols>
  <sheetData>
    <row r="1" spans="1:17" x14ac:dyDescent="0.2">
      <c r="A1" s="172" t="s">
        <v>142</v>
      </c>
      <c r="B1" s="648"/>
      <c r="C1" s="244" t="s">
        <v>129</v>
      </c>
      <c r="D1" s="26"/>
      <c r="E1" s="26"/>
      <c r="F1" s="26"/>
      <c r="G1" s="26"/>
      <c r="H1" s="26"/>
      <c r="I1" s="26"/>
      <c r="J1" s="26"/>
      <c r="K1" s="26"/>
      <c r="L1" s="26"/>
      <c r="M1" s="26"/>
    </row>
    <row r="2" spans="1:17" ht="15.75" x14ac:dyDescent="0.25">
      <c r="A2" s="165" t="s">
        <v>28</v>
      </c>
      <c r="B2" s="687"/>
      <c r="C2" s="687"/>
      <c r="D2" s="687"/>
      <c r="E2" s="291"/>
      <c r="F2" s="687"/>
      <c r="G2" s="687"/>
      <c r="H2" s="687"/>
      <c r="I2" s="291"/>
      <c r="J2" s="687"/>
      <c r="K2" s="687"/>
      <c r="L2" s="687"/>
      <c r="M2" s="291"/>
    </row>
    <row r="3" spans="1:17" ht="15.75" x14ac:dyDescent="0.25">
      <c r="A3" s="163"/>
      <c r="B3" s="291"/>
      <c r="C3" s="291"/>
      <c r="D3" s="291"/>
      <c r="E3" s="291"/>
      <c r="F3" s="291"/>
      <c r="G3" s="291"/>
      <c r="H3" s="291"/>
      <c r="I3" s="291"/>
      <c r="J3" s="291"/>
      <c r="K3" s="291"/>
      <c r="L3" s="291"/>
      <c r="M3" s="291"/>
    </row>
    <row r="4" spans="1:17" x14ac:dyDescent="0.2">
      <c r="A4" s="144"/>
      <c r="B4" s="683" t="s">
        <v>0</v>
      </c>
      <c r="C4" s="684"/>
      <c r="D4" s="684"/>
      <c r="E4" s="293"/>
      <c r="F4" s="683" t="s">
        <v>1</v>
      </c>
      <c r="G4" s="684"/>
      <c r="H4" s="684"/>
      <c r="I4" s="296"/>
      <c r="J4" s="683" t="s">
        <v>2</v>
      </c>
      <c r="K4" s="684"/>
      <c r="L4" s="684"/>
      <c r="M4" s="296"/>
    </row>
    <row r="5" spans="1:17" x14ac:dyDescent="0.2">
      <c r="A5" s="158"/>
      <c r="B5" s="152" t="s">
        <v>416</v>
      </c>
      <c r="C5" s="152" t="s">
        <v>417</v>
      </c>
      <c r="D5" s="241" t="s">
        <v>3</v>
      </c>
      <c r="E5" s="297" t="s">
        <v>29</v>
      </c>
      <c r="F5" s="152" t="s">
        <v>416</v>
      </c>
      <c r="G5" s="152" t="s">
        <v>417</v>
      </c>
      <c r="H5" s="241" t="s">
        <v>3</v>
      </c>
      <c r="I5" s="162" t="s">
        <v>29</v>
      </c>
      <c r="J5" s="152" t="s">
        <v>416</v>
      </c>
      <c r="K5" s="152" t="s">
        <v>417</v>
      </c>
      <c r="L5" s="241" t="s">
        <v>3</v>
      </c>
      <c r="M5" s="162" t="s">
        <v>29</v>
      </c>
    </row>
    <row r="6" spans="1:17" x14ac:dyDescent="0.2">
      <c r="A6" s="649"/>
      <c r="B6" s="156"/>
      <c r="C6" s="156"/>
      <c r="D6" s="242" t="s">
        <v>4</v>
      </c>
      <c r="E6" s="156" t="s">
        <v>30</v>
      </c>
      <c r="F6" s="161"/>
      <c r="G6" s="161"/>
      <c r="H6" s="241" t="s">
        <v>4</v>
      </c>
      <c r="I6" s="156" t="s">
        <v>30</v>
      </c>
      <c r="J6" s="161"/>
      <c r="K6" s="161"/>
      <c r="L6" s="241" t="s">
        <v>4</v>
      </c>
      <c r="M6" s="156" t="s">
        <v>30</v>
      </c>
    </row>
    <row r="7" spans="1:17" ht="15.75" x14ac:dyDescent="0.2">
      <c r="A7" s="14" t="s">
        <v>23</v>
      </c>
      <c r="B7" s="298">
        <v>190512</v>
      </c>
      <c r="C7" s="299">
        <v>191419</v>
      </c>
      <c r="D7" s="342">
        <f>IF(B7=0, "    ---- ", IF(ABS(ROUND(100/B7*C7-100,1))&lt;999,ROUND(100/B7*C7-100,1),IF(ROUND(100/B7*C7-100,1)&gt;999,999,-999)))</f>
        <v>0.5</v>
      </c>
      <c r="E7" s="11">
        <f>IFERROR(100/'Skjema total MA'!C7*C7,0)</f>
        <v>11.980363852451317</v>
      </c>
      <c r="F7" s="298">
        <v>152756</v>
      </c>
      <c r="G7" s="299">
        <v>137096</v>
      </c>
      <c r="H7" s="342">
        <f>IF(F7=0, "    ---- ", IF(ABS(ROUND(100/F7*G7-100,1))&lt;999,ROUND(100/F7*G7-100,1),IF(ROUND(100/F7*G7-100,1)&gt;999,999,-999)))</f>
        <v>-10.3</v>
      </c>
      <c r="I7" s="160">
        <f>IFERROR(100/'Skjema total MA'!F7*G7,0)</f>
        <v>5.0957296578829112</v>
      </c>
      <c r="J7" s="300">
        <f t="shared" ref="J7:K12" si="0">SUM(B7,F7)</f>
        <v>343268</v>
      </c>
      <c r="K7" s="301">
        <f t="shared" si="0"/>
        <v>328515</v>
      </c>
      <c r="L7" s="365">
        <f>IF(J7=0, "    ---- ", IF(ABS(ROUND(100/J7*K7-100,1))&lt;999,ROUND(100/J7*K7-100,1),IF(ROUND(100/J7*K7-100,1)&gt;999,999,-999)))</f>
        <v>-4.3</v>
      </c>
      <c r="M7" s="11">
        <f>IFERROR(100/'Skjema total MA'!I7*K7,0)</f>
        <v>7.660938038580543</v>
      </c>
    </row>
    <row r="8" spans="1:17" ht="15.75" x14ac:dyDescent="0.2">
      <c r="A8" s="21" t="s">
        <v>25</v>
      </c>
      <c r="B8" s="277">
        <v>133794</v>
      </c>
      <c r="C8" s="278">
        <v>35252.823750000003</v>
      </c>
      <c r="D8" s="166">
        <f t="shared" ref="D8:D12" si="1">IF(B8=0, "    ---- ", IF(ABS(ROUND(100/B8*C8-100,1))&lt;999,ROUND(100/B8*C8-100,1),IF(ROUND(100/B8*C8-100,1)&gt;999,999,-999)))</f>
        <v>-73.7</v>
      </c>
      <c r="E8" s="27">
        <f>IFERROR(100/'Skjema total MA'!C8*C8,0)</f>
        <v>3.5833134136239253</v>
      </c>
      <c r="F8" s="281"/>
      <c r="G8" s="282"/>
      <c r="H8" s="166"/>
      <c r="I8" s="175"/>
      <c r="J8" s="230">
        <f t="shared" si="0"/>
        <v>133794</v>
      </c>
      <c r="K8" s="283">
        <f t="shared" si="0"/>
        <v>35252.823750000003</v>
      </c>
      <c r="L8" s="250">
        <f t="shared" ref="L8:L12" si="2">IF(J8=0, "    ---- ", IF(ABS(ROUND(100/J8*K8-100,1))&lt;999,ROUND(100/J8*K8-100,1),IF(ROUND(100/J8*K8-100,1)&gt;999,999,-999)))</f>
        <v>-73.7</v>
      </c>
      <c r="M8" s="27">
        <f>IFERROR(100/'Skjema total MA'!I8*K8,0)</f>
        <v>3.5833134136239253</v>
      </c>
    </row>
    <row r="9" spans="1:17" ht="15.75" x14ac:dyDescent="0.2">
      <c r="A9" s="21" t="s">
        <v>24</v>
      </c>
      <c r="B9" s="277">
        <v>56718</v>
      </c>
      <c r="C9" s="278">
        <v>13610.165000000001</v>
      </c>
      <c r="D9" s="166">
        <f t="shared" si="1"/>
        <v>-76</v>
      </c>
      <c r="E9" s="27">
        <f>IFERROR(100/'Skjema total MA'!C9*C9,0)</f>
        <v>3.6968851088402959</v>
      </c>
      <c r="F9" s="281"/>
      <c r="G9" s="282"/>
      <c r="H9" s="166"/>
      <c r="I9" s="175"/>
      <c r="J9" s="230">
        <f t="shared" si="0"/>
        <v>56718</v>
      </c>
      <c r="K9" s="283">
        <f t="shared" si="0"/>
        <v>13610.165000000001</v>
      </c>
      <c r="L9" s="250">
        <f t="shared" si="2"/>
        <v>-76</v>
      </c>
      <c r="M9" s="27">
        <f>IFERROR(100/'Skjema total MA'!I9*K9,0)</f>
        <v>3.6968851088402959</v>
      </c>
    </row>
    <row r="10" spans="1:17" ht="15.75" x14ac:dyDescent="0.2">
      <c r="A10" s="13" t="s">
        <v>371</v>
      </c>
      <c r="B10" s="302">
        <v>15278478</v>
      </c>
      <c r="C10" s="303">
        <v>13950113</v>
      </c>
      <c r="D10" s="171">
        <f t="shared" si="1"/>
        <v>-8.6999999999999993</v>
      </c>
      <c r="E10" s="11">
        <f>IFERROR(100/'Skjema total MA'!C10*C10,0)</f>
        <v>68.909150208150891</v>
      </c>
      <c r="F10" s="302">
        <v>5730168</v>
      </c>
      <c r="G10" s="303">
        <v>5735210.1809999999</v>
      </c>
      <c r="H10" s="171">
        <f t="shared" ref="H10:H12" si="3">IF(F10=0, "    ---- ", IF(ABS(ROUND(100/F10*G10-100,1))&lt;999,ROUND(100/F10*G10-100,1),IF(ROUND(100/F10*G10-100,1)&gt;999,999,-999)))</f>
        <v>0.1</v>
      </c>
      <c r="I10" s="160">
        <f>IFERROR(100/'Skjema total MA'!F10*G10,0)</f>
        <v>12.797406727288889</v>
      </c>
      <c r="J10" s="300">
        <f t="shared" si="0"/>
        <v>21008646</v>
      </c>
      <c r="K10" s="301">
        <f t="shared" si="0"/>
        <v>19685323.181000002</v>
      </c>
      <c r="L10" s="366">
        <f t="shared" si="2"/>
        <v>-6.3</v>
      </c>
      <c r="M10" s="11">
        <f>IFERROR(100/'Skjema total MA'!I10*K10,0)</f>
        <v>30.257360068523163</v>
      </c>
      <c r="Q10" s="149"/>
    </row>
    <row r="11" spans="1:17" s="43" customFormat="1" ht="15.75" x14ac:dyDescent="0.2">
      <c r="A11" s="13" t="s">
        <v>372</v>
      </c>
      <c r="B11" s="302">
        <v>2968</v>
      </c>
      <c r="C11" s="303">
        <v>5332</v>
      </c>
      <c r="D11" s="171">
        <f t="shared" si="1"/>
        <v>79.599999999999994</v>
      </c>
      <c r="E11" s="11">
        <f>IFERROR(100/'Skjema total MA'!C11*C11,0)</f>
        <v>100</v>
      </c>
      <c r="F11" s="302">
        <v>7815</v>
      </c>
      <c r="G11" s="303">
        <v>4766</v>
      </c>
      <c r="H11" s="171">
        <f t="shared" si="3"/>
        <v>-39</v>
      </c>
      <c r="I11" s="160">
        <f>IFERROR(100/'Skjema total MA'!F11*G11,0)</f>
        <v>5.1336204440361293</v>
      </c>
      <c r="J11" s="300">
        <f t="shared" si="0"/>
        <v>10783</v>
      </c>
      <c r="K11" s="301">
        <f t="shared" si="0"/>
        <v>10098</v>
      </c>
      <c r="L11" s="366">
        <f t="shared" si="2"/>
        <v>-6.4</v>
      </c>
      <c r="M11" s="11">
        <f>IFERROR(100/'Skjema total MA'!I11*K11,0)</f>
        <v>10.286137224854958</v>
      </c>
      <c r="N11" s="143"/>
    </row>
    <row r="12" spans="1:17" s="43" customFormat="1" ht="15.75" x14ac:dyDescent="0.2">
      <c r="A12" s="41" t="s">
        <v>373</v>
      </c>
      <c r="B12" s="304">
        <v>-21</v>
      </c>
      <c r="C12" s="305">
        <v>2053</v>
      </c>
      <c r="D12" s="169">
        <f t="shared" si="1"/>
        <v>-999</v>
      </c>
      <c r="E12" s="36">
        <f>IFERROR(100/'Skjema total MA'!C12*C12,0)</f>
        <v>100</v>
      </c>
      <c r="F12" s="304">
        <v>16182</v>
      </c>
      <c r="G12" s="305">
        <v>11339</v>
      </c>
      <c r="H12" s="169">
        <f t="shared" si="3"/>
        <v>-29.9</v>
      </c>
      <c r="I12" s="169">
        <f>IFERROR(100/'Skjema total MA'!F12*G12,0)</f>
        <v>27.122352278907222</v>
      </c>
      <c r="J12" s="306">
        <f t="shared" si="0"/>
        <v>16161</v>
      </c>
      <c r="K12" s="307">
        <f t="shared" si="0"/>
        <v>13392</v>
      </c>
      <c r="L12" s="367">
        <f t="shared" si="2"/>
        <v>-17.100000000000001</v>
      </c>
      <c r="M12" s="36">
        <f>IFERROR(100/'Skjema total MA'!I12*K12,0)</f>
        <v>30.53362306598277</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281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278</v>
      </c>
      <c r="B17" s="157"/>
      <c r="C17" s="157"/>
      <c r="D17" s="151"/>
      <c r="E17" s="151"/>
      <c r="F17" s="157"/>
      <c r="G17" s="157"/>
      <c r="H17" s="157"/>
      <c r="I17" s="157"/>
      <c r="J17" s="157"/>
      <c r="K17" s="157"/>
      <c r="L17" s="157"/>
      <c r="M17" s="157"/>
    </row>
    <row r="18" spans="1:14" ht="15.75" x14ac:dyDescent="0.25">
      <c r="B18" s="682"/>
      <c r="C18" s="682"/>
      <c r="D18" s="682"/>
      <c r="E18" s="291"/>
      <c r="F18" s="682"/>
      <c r="G18" s="682"/>
      <c r="H18" s="682"/>
      <c r="I18" s="291"/>
      <c r="J18" s="682"/>
      <c r="K18" s="682"/>
      <c r="L18" s="682"/>
      <c r="M18" s="291"/>
    </row>
    <row r="19" spans="1:14" x14ac:dyDescent="0.2">
      <c r="A19" s="144"/>
      <c r="B19" s="683" t="s">
        <v>0</v>
      </c>
      <c r="C19" s="684"/>
      <c r="D19" s="684"/>
      <c r="E19" s="293"/>
      <c r="F19" s="683" t="s">
        <v>1</v>
      </c>
      <c r="G19" s="684"/>
      <c r="H19" s="684"/>
      <c r="I19" s="296"/>
      <c r="J19" s="683" t="s">
        <v>2</v>
      </c>
      <c r="K19" s="684"/>
      <c r="L19" s="684"/>
      <c r="M19" s="296"/>
    </row>
    <row r="20" spans="1:14" x14ac:dyDescent="0.2">
      <c r="A20" s="140" t="s">
        <v>5</v>
      </c>
      <c r="B20" s="152" t="s">
        <v>416</v>
      </c>
      <c r="C20" s="152" t="s">
        <v>417</v>
      </c>
      <c r="D20" s="162" t="s">
        <v>3</v>
      </c>
      <c r="E20" s="297" t="s">
        <v>29</v>
      </c>
      <c r="F20" s="152" t="s">
        <v>416</v>
      </c>
      <c r="G20" s="152" t="s">
        <v>417</v>
      </c>
      <c r="H20" s="162" t="s">
        <v>3</v>
      </c>
      <c r="I20" s="162" t="s">
        <v>29</v>
      </c>
      <c r="J20" s="152" t="s">
        <v>416</v>
      </c>
      <c r="K20" s="152" t="s">
        <v>417</v>
      </c>
      <c r="L20" s="162" t="s">
        <v>3</v>
      </c>
      <c r="M20" s="162" t="s">
        <v>29</v>
      </c>
    </row>
    <row r="21" spans="1:14" x14ac:dyDescent="0.2">
      <c r="A21" s="650"/>
      <c r="B21" s="156"/>
      <c r="C21" s="156"/>
      <c r="D21" s="242" t="s">
        <v>4</v>
      </c>
      <c r="E21" s="156" t="s">
        <v>30</v>
      </c>
      <c r="F21" s="161"/>
      <c r="G21" s="161"/>
      <c r="H21" s="241" t="s">
        <v>4</v>
      </c>
      <c r="I21" s="156" t="s">
        <v>30</v>
      </c>
      <c r="J21" s="161"/>
      <c r="K21" s="161"/>
      <c r="L21" s="156" t="s">
        <v>4</v>
      </c>
      <c r="M21" s="156" t="s">
        <v>30</v>
      </c>
    </row>
    <row r="22" spans="1:14" ht="15.75" x14ac:dyDescent="0.2">
      <c r="A22" s="14" t="s">
        <v>23</v>
      </c>
      <c r="B22" s="302">
        <v>79321</v>
      </c>
      <c r="C22" s="302">
        <v>117323</v>
      </c>
      <c r="D22" s="342">
        <f t="shared" ref="D22:D38" si="4">IF(B22=0, "    ---- ", IF(ABS(ROUND(100/B22*C22-100,1))&lt;999,ROUND(100/B22*C22-100,1),IF(ROUND(100/B22*C22-100,1)&gt;999,999,-999)))</f>
        <v>47.9</v>
      </c>
      <c r="E22" s="11">
        <f>IFERROR(100/'Skjema total MA'!C22*C22,0)</f>
        <v>17.01944166075516</v>
      </c>
      <c r="F22" s="310">
        <v>21993</v>
      </c>
      <c r="G22" s="310">
        <v>17668</v>
      </c>
      <c r="H22" s="342">
        <f t="shared" ref="H22:H35" si="5">IF(F22=0, "    ---- ", IF(ABS(ROUND(100/F22*G22-100,1))&lt;999,ROUND(100/F22*G22-100,1),IF(ROUND(100/F22*G22-100,1)&gt;999,999,-999)))</f>
        <v>-19.7</v>
      </c>
      <c r="I22" s="11">
        <f>IFERROR(100/'Skjema total MA'!F22*G22,0)</f>
        <v>5.7143332144610905</v>
      </c>
      <c r="J22" s="308">
        <f t="shared" ref="J22:K35" si="6">SUM(B22,F22)</f>
        <v>101314</v>
      </c>
      <c r="K22" s="308">
        <f t="shared" si="6"/>
        <v>134991</v>
      </c>
      <c r="L22" s="365">
        <f t="shared" ref="L22:L38" si="7">IF(J22=0, "    ---- ", IF(ABS(ROUND(100/J22*K22-100,1))&lt;999,ROUND(100/J22*K22-100,1),IF(ROUND(100/J22*K22-100,1)&gt;999,999,-999)))</f>
        <v>33.200000000000003</v>
      </c>
      <c r="M22" s="24">
        <f>IFERROR(100/'Skjema total MA'!I22*K22,0)</f>
        <v>13.518913750631212</v>
      </c>
    </row>
    <row r="23" spans="1:14" ht="15.75" x14ac:dyDescent="0.2">
      <c r="A23" s="546" t="s">
        <v>374</v>
      </c>
      <c r="B23" s="277">
        <v>74728</v>
      </c>
      <c r="C23" s="277">
        <v>100326</v>
      </c>
      <c r="D23" s="166">
        <f t="shared" si="4"/>
        <v>34.299999999999997</v>
      </c>
      <c r="E23" s="11">
        <f>IFERROR(100/'Skjema total MA'!C23*C23,0)</f>
        <v>19.079568889606286</v>
      </c>
      <c r="F23" s="285">
        <v>18797.054773305401</v>
      </c>
      <c r="G23" s="285">
        <v>14751</v>
      </c>
      <c r="H23" s="166">
        <f t="shared" si="5"/>
        <v>-21.5</v>
      </c>
      <c r="I23" s="358">
        <f>IFERROR(100/'Skjema total MA'!F23*G23,0)</f>
        <v>48.429159691815158</v>
      </c>
      <c r="J23" s="285">
        <f t="shared" ref="J23:J25" si="8">SUM(B23,F23)</f>
        <v>93525.054773305397</v>
      </c>
      <c r="K23" s="285">
        <f t="shared" ref="K23:K25" si="9">SUM(C23,G23)</f>
        <v>115077</v>
      </c>
      <c r="L23" s="166">
        <f t="shared" si="7"/>
        <v>23</v>
      </c>
      <c r="M23" s="23">
        <f>IFERROR(100/'Skjema total MA'!I23*K23,0)</f>
        <v>20.686571439507652</v>
      </c>
    </row>
    <row r="24" spans="1:14" ht="15.75" x14ac:dyDescent="0.2">
      <c r="A24" s="546" t="s">
        <v>375</v>
      </c>
      <c r="B24" s="277">
        <v>0</v>
      </c>
      <c r="C24" s="277">
        <v>6032</v>
      </c>
      <c r="D24" s="166" t="str">
        <f t="shared" si="4"/>
        <v xml:space="preserve">    ---- </v>
      </c>
      <c r="E24" s="11">
        <f>IFERROR(100/'Skjema total MA'!C24*C24,0)</f>
        <v>60.628671747461333</v>
      </c>
      <c r="F24" s="285">
        <v>110.573814155319</v>
      </c>
      <c r="G24" s="285">
        <v>38</v>
      </c>
      <c r="H24" s="166">
        <f t="shared" si="5"/>
        <v>-65.599999999999994</v>
      </c>
      <c r="I24" s="358">
        <f>IFERROR(100/'Skjema total MA'!F24*G24,0)</f>
        <v>108.57142857142861</v>
      </c>
      <c r="J24" s="285">
        <f t="shared" si="8"/>
        <v>110.573814155319</v>
      </c>
      <c r="K24" s="285">
        <f t="shared" si="9"/>
        <v>6070</v>
      </c>
      <c r="L24" s="166">
        <f t="shared" si="7"/>
        <v>999</v>
      </c>
      <c r="M24" s="23">
        <f>IFERROR(100/'Skjema total MA'!I24*K24,0)</f>
        <v>60.796738822051545</v>
      </c>
    </row>
    <row r="25" spans="1:14" ht="15.75" x14ac:dyDescent="0.2">
      <c r="A25" s="546" t="s">
        <v>376</v>
      </c>
      <c r="B25" s="277">
        <v>4592</v>
      </c>
      <c r="C25" s="277">
        <v>10965</v>
      </c>
      <c r="D25" s="166">
        <f t="shared" si="4"/>
        <v>138.80000000000001</v>
      </c>
      <c r="E25" s="11">
        <f>IFERROR(100/'Skjema total MA'!C25*C25,0)</f>
        <v>95.223621363438994</v>
      </c>
      <c r="F25" s="285">
        <v>3085.3714125392798</v>
      </c>
      <c r="G25" s="285">
        <v>2879</v>
      </c>
      <c r="H25" s="166">
        <f t="shared" si="5"/>
        <v>-6.7</v>
      </c>
      <c r="I25" s="358">
        <f>IFERROR(100/'Skjema total MA'!F25*G25,0)</f>
        <v>44.092896347541881</v>
      </c>
      <c r="J25" s="285">
        <f t="shared" si="8"/>
        <v>7677.3714125392798</v>
      </c>
      <c r="K25" s="285">
        <f t="shared" si="9"/>
        <v>13844</v>
      </c>
      <c r="L25" s="166">
        <f t="shared" si="7"/>
        <v>80.3</v>
      </c>
      <c r="M25" s="23">
        <f>IFERROR(100/'Skjema total MA'!I25*K25,0)</f>
        <v>76.721879026019593</v>
      </c>
    </row>
    <row r="26" spans="1:14" ht="15.75" x14ac:dyDescent="0.2">
      <c r="A26" s="546" t="s">
        <v>377</v>
      </c>
      <c r="B26" s="277"/>
      <c r="C26" s="277"/>
      <c r="D26" s="166"/>
      <c r="E26" s="11"/>
      <c r="F26" s="285"/>
      <c r="G26" s="277"/>
      <c r="H26" s="166"/>
      <c r="I26" s="358"/>
      <c r="J26" s="285"/>
      <c r="K26" s="277"/>
      <c r="L26" s="166"/>
      <c r="M26" s="23"/>
    </row>
    <row r="27" spans="1:14" x14ac:dyDescent="0.2">
      <c r="A27" s="546" t="s">
        <v>11</v>
      </c>
      <c r="B27" s="277"/>
      <c r="C27" s="277"/>
      <c r="D27" s="166"/>
      <c r="E27" s="11"/>
      <c r="F27" s="285"/>
      <c r="G27" s="285"/>
      <c r="H27" s="166"/>
      <c r="I27" s="358"/>
      <c r="J27" s="285"/>
      <c r="K27" s="285"/>
      <c r="L27" s="166"/>
      <c r="M27" s="23"/>
    </row>
    <row r="28" spans="1:14" ht="15.75" x14ac:dyDescent="0.2">
      <c r="A28" s="49" t="s">
        <v>282</v>
      </c>
      <c r="B28" s="44">
        <v>197613</v>
      </c>
      <c r="C28" s="283">
        <v>51151.328999999998</v>
      </c>
      <c r="D28" s="166">
        <f t="shared" si="4"/>
        <v>-74.099999999999994</v>
      </c>
      <c r="E28" s="11">
        <f>IFERROR(100/'Skjema total MA'!C28*C28,0)</f>
        <v>7.9279966547305447</v>
      </c>
      <c r="F28" s="230"/>
      <c r="G28" s="283"/>
      <c r="H28" s="166"/>
      <c r="I28" s="27"/>
      <c r="J28" s="44">
        <f t="shared" si="6"/>
        <v>197613</v>
      </c>
      <c r="K28" s="44">
        <f t="shared" si="6"/>
        <v>51151.328999999998</v>
      </c>
      <c r="L28" s="250">
        <f t="shared" si="7"/>
        <v>-74.099999999999994</v>
      </c>
      <c r="M28" s="23">
        <f>IFERROR(100/'Skjema total MA'!I28*K28,0)</f>
        <v>7.9279966547305447</v>
      </c>
    </row>
    <row r="29" spans="1:14" s="3" customFormat="1" ht="15.75" x14ac:dyDescent="0.2">
      <c r="A29" s="13" t="s">
        <v>371</v>
      </c>
      <c r="B29" s="232">
        <v>27366508</v>
      </c>
      <c r="C29" s="232">
        <v>25877705</v>
      </c>
      <c r="D29" s="171">
        <f t="shared" si="4"/>
        <v>-5.4</v>
      </c>
      <c r="E29" s="11">
        <f>IFERROR(100/'Skjema total MA'!C29*C29,0)</f>
        <v>53.996167858329279</v>
      </c>
      <c r="F29" s="300">
        <v>5569600</v>
      </c>
      <c r="G29" s="300">
        <v>5424781.9919999996</v>
      </c>
      <c r="H29" s="171">
        <f t="shared" si="5"/>
        <v>-2.6</v>
      </c>
      <c r="I29" s="11">
        <f>IFERROR(100/'Skjema total MA'!F29*G29,0)</f>
        <v>26.713811294372348</v>
      </c>
      <c r="J29" s="232">
        <f t="shared" si="6"/>
        <v>32936108</v>
      </c>
      <c r="K29" s="232">
        <f t="shared" si="6"/>
        <v>31302486.991999999</v>
      </c>
      <c r="L29" s="366">
        <f t="shared" si="7"/>
        <v>-5</v>
      </c>
      <c r="M29" s="24">
        <f>IFERROR(100/'Skjema total MA'!I29*K29,0)</f>
        <v>45.876476399931008</v>
      </c>
      <c r="N29" s="148"/>
    </row>
    <row r="30" spans="1:14" s="3" customFormat="1" ht="15.75" x14ac:dyDescent="0.2">
      <c r="A30" s="546" t="s">
        <v>374</v>
      </c>
      <c r="B30" s="277">
        <v>5909146.5507965796</v>
      </c>
      <c r="C30" s="277">
        <v>5587675</v>
      </c>
      <c r="D30" s="166">
        <f t="shared" si="4"/>
        <v>-5.4</v>
      </c>
      <c r="E30" s="11">
        <f>IFERROR(100/'Skjema total MA'!C30*C30,0)</f>
        <v>48.525034815674459</v>
      </c>
      <c r="F30" s="285">
        <v>1838118.8439161</v>
      </c>
      <c r="G30" s="285">
        <v>1879767.73</v>
      </c>
      <c r="H30" s="166">
        <f t="shared" si="5"/>
        <v>2.2999999999999998</v>
      </c>
      <c r="I30" s="358">
        <f>IFERROR(100/'Skjema total MA'!F30*G30,0)</f>
        <v>44.718569897540426</v>
      </c>
      <c r="J30" s="285">
        <f t="shared" ref="J30:J32" si="10">SUM(B30,F30)</f>
        <v>7747265.3947126791</v>
      </c>
      <c r="K30" s="285">
        <f t="shared" ref="K30:K32" si="11">SUM(C30,G30)</f>
        <v>7467442.7300000004</v>
      </c>
      <c r="L30" s="166">
        <f t="shared" si="7"/>
        <v>-3.6</v>
      </c>
      <c r="M30" s="23">
        <f>IFERROR(100/'Skjema total MA'!I30*K30,0)</f>
        <v>47.507089062626527</v>
      </c>
      <c r="N30" s="148"/>
    </row>
    <row r="31" spans="1:14" s="3" customFormat="1" ht="15.75" x14ac:dyDescent="0.2">
      <c r="A31" s="546" t="s">
        <v>375</v>
      </c>
      <c r="B31" s="277">
        <v>20418900.620353501</v>
      </c>
      <c r="C31" s="277">
        <v>19308064</v>
      </c>
      <c r="D31" s="166">
        <f t="shared" si="4"/>
        <v>-5.4</v>
      </c>
      <c r="E31" s="11">
        <f>IFERROR(100/'Skjema total MA'!C31*C31,0)</f>
        <v>58.032661245718245</v>
      </c>
      <c r="F31" s="285">
        <v>3365589.03816042</v>
      </c>
      <c r="G31" s="285">
        <v>3147977.4350000001</v>
      </c>
      <c r="H31" s="166">
        <f t="shared" si="5"/>
        <v>-6.5</v>
      </c>
      <c r="I31" s="358">
        <f>IFERROR(100/'Skjema total MA'!F31*G31,0)</f>
        <v>37.698112950147134</v>
      </c>
      <c r="J31" s="285">
        <f t="shared" si="10"/>
        <v>23784489.658513922</v>
      </c>
      <c r="K31" s="285">
        <f t="shared" si="11"/>
        <v>22456041.434999999</v>
      </c>
      <c r="L31" s="166">
        <f t="shared" si="7"/>
        <v>-5.6</v>
      </c>
      <c r="M31" s="23">
        <f>IFERROR(100/'Skjema total MA'!I31*K31,0)</f>
        <v>53.952957877621373</v>
      </c>
      <c r="N31" s="148"/>
    </row>
    <row r="32" spans="1:14" ht="15.75" x14ac:dyDescent="0.2">
      <c r="A32" s="546" t="s">
        <v>376</v>
      </c>
      <c r="B32" s="277">
        <v>1038460.8288499099</v>
      </c>
      <c r="C32" s="277">
        <v>981966</v>
      </c>
      <c r="D32" s="166">
        <f t="shared" si="4"/>
        <v>-5.4</v>
      </c>
      <c r="E32" s="11">
        <f>IFERROR(100/'Skjema total MA'!C32*C32,0)</f>
        <v>76.307520630747788</v>
      </c>
      <c r="F32" s="285">
        <v>365892.11792348197</v>
      </c>
      <c r="G32" s="285">
        <v>397036.82699999999</v>
      </c>
      <c r="H32" s="166">
        <f t="shared" si="5"/>
        <v>8.5</v>
      </c>
      <c r="I32" s="358">
        <f>IFERROR(100/'Skjema total MA'!F32*G32,0)</f>
        <v>9.5834366684035945</v>
      </c>
      <c r="J32" s="285">
        <f t="shared" si="10"/>
        <v>1404352.9467733919</v>
      </c>
      <c r="K32" s="285">
        <f t="shared" si="11"/>
        <v>1379002.827</v>
      </c>
      <c r="L32" s="166">
        <f t="shared" si="7"/>
        <v>-1.8</v>
      </c>
      <c r="M32" s="23">
        <f>IFERROR(100/'Skjema total MA'!I32*K32,0)</f>
        <v>25.396927485792371</v>
      </c>
    </row>
    <row r="33" spans="1:14" ht="15.75" x14ac:dyDescent="0.2">
      <c r="A33" s="546" t="s">
        <v>377</v>
      </c>
      <c r="B33" s="277"/>
      <c r="C33" s="277"/>
      <c r="D33" s="166"/>
      <c r="E33" s="11"/>
      <c r="F33" s="285"/>
      <c r="G33" s="285"/>
      <c r="H33" s="166"/>
      <c r="I33" s="358"/>
      <c r="J33" s="285"/>
      <c r="K33" s="285"/>
      <c r="L33" s="166"/>
      <c r="M33" s="23"/>
    </row>
    <row r="34" spans="1:14" ht="15.75" x14ac:dyDescent="0.2">
      <c r="A34" s="13" t="s">
        <v>372</v>
      </c>
      <c r="B34" s="232">
        <v>5188</v>
      </c>
      <c r="C34" s="301">
        <v>4196</v>
      </c>
      <c r="D34" s="171">
        <f t="shared" si="4"/>
        <v>-19.100000000000001</v>
      </c>
      <c r="E34" s="11">
        <f>IFERROR(100/'Skjema total MA'!C34*C34,0)</f>
        <v>70.04715996828179</v>
      </c>
      <c r="F34" s="300">
        <v>-11912</v>
      </c>
      <c r="G34" s="301">
        <v>-686</v>
      </c>
      <c r="H34" s="171">
        <f t="shared" si="5"/>
        <v>-94.2</v>
      </c>
      <c r="I34" s="11">
        <f>IFERROR(100/'Skjema total MA'!F34*G34,0)</f>
        <v>-5.1157184156096864</v>
      </c>
      <c r="J34" s="232">
        <f t="shared" si="6"/>
        <v>-6724</v>
      </c>
      <c r="K34" s="232">
        <f t="shared" si="6"/>
        <v>3510</v>
      </c>
      <c r="L34" s="366">
        <f t="shared" si="7"/>
        <v>-152.19999999999999</v>
      </c>
      <c r="M34" s="24">
        <f>IFERROR(100/'Skjema total MA'!I34*K34,0)</f>
        <v>18.092875573643127</v>
      </c>
    </row>
    <row r="35" spans="1:14" ht="15.75" x14ac:dyDescent="0.2">
      <c r="A35" s="13" t="s">
        <v>373</v>
      </c>
      <c r="B35" s="232">
        <v>-10549</v>
      </c>
      <c r="C35" s="301">
        <v>-7871</v>
      </c>
      <c r="D35" s="171">
        <f t="shared" si="4"/>
        <v>-25.4</v>
      </c>
      <c r="E35" s="11">
        <f>IFERROR(100/'Skjema total MA'!C35*C35,0)</f>
        <v>104.60267699766348</v>
      </c>
      <c r="F35" s="300">
        <v>11305</v>
      </c>
      <c r="G35" s="301">
        <v>2204</v>
      </c>
      <c r="H35" s="171">
        <f t="shared" si="5"/>
        <v>-80.5</v>
      </c>
      <c r="I35" s="11">
        <f>IFERROR(100/'Skjema total MA'!F35*G35,0)</f>
        <v>9.7831858432102088</v>
      </c>
      <c r="J35" s="232">
        <f t="shared" si="6"/>
        <v>756</v>
      </c>
      <c r="K35" s="232">
        <f t="shared" si="6"/>
        <v>-5667</v>
      </c>
      <c r="L35" s="366">
        <f t="shared" si="7"/>
        <v>-849.6</v>
      </c>
      <c r="M35" s="24">
        <f>IFERROR(100/'Skjema total MA'!I35*K35,0)</f>
        <v>-37.770470157854788</v>
      </c>
    </row>
    <row r="36" spans="1:14" ht="15.75" x14ac:dyDescent="0.2">
      <c r="A36" s="12" t="s">
        <v>290</v>
      </c>
      <c r="B36" s="232">
        <v>771</v>
      </c>
      <c r="C36" s="301">
        <v>991</v>
      </c>
      <c r="D36" s="171">
        <f t="shared" si="4"/>
        <v>28.5</v>
      </c>
      <c r="E36" s="11">
        <f>100/'Skjema total MA'!C36*C36</f>
        <v>96.612423324247274</v>
      </c>
      <c r="F36" s="311"/>
      <c r="G36" s="312"/>
      <c r="H36" s="171"/>
      <c r="I36" s="372"/>
      <c r="J36" s="232">
        <f t="shared" ref="J36:J38" si="12">SUM(B36,F36)</f>
        <v>771</v>
      </c>
      <c r="K36" s="232">
        <f t="shared" ref="K36:K38" si="13">SUM(C36,G36)</f>
        <v>991</v>
      </c>
      <c r="L36" s="366">
        <f t="shared" si="7"/>
        <v>28.5</v>
      </c>
      <c r="M36" s="24">
        <f>IFERROR(100/'Skjema total MA'!I36*K36,0)</f>
        <v>96.612423324247274</v>
      </c>
    </row>
    <row r="37" spans="1:14" ht="15.75" x14ac:dyDescent="0.2">
      <c r="A37" s="12" t="s">
        <v>379</v>
      </c>
      <c r="B37" s="232">
        <v>3444373</v>
      </c>
      <c r="C37" s="301">
        <v>3282141.2</v>
      </c>
      <c r="D37" s="171">
        <f t="shared" si="4"/>
        <v>-4.7</v>
      </c>
      <c r="E37" s="11">
        <f>100/'Skjema total MA'!C37*C37</f>
        <v>87.51877349587653</v>
      </c>
      <c r="F37" s="311"/>
      <c r="G37" s="313"/>
      <c r="H37" s="171"/>
      <c r="I37" s="372"/>
      <c r="J37" s="232">
        <f t="shared" si="12"/>
        <v>3444373</v>
      </c>
      <c r="K37" s="232">
        <f t="shared" si="13"/>
        <v>3282141.2</v>
      </c>
      <c r="L37" s="366">
        <f t="shared" si="7"/>
        <v>-4.7</v>
      </c>
      <c r="M37" s="24">
        <f>IFERROR(100/'Skjema total MA'!I37*K37,0)</f>
        <v>87.51877349587653</v>
      </c>
    </row>
    <row r="38" spans="1:14" ht="15.75" x14ac:dyDescent="0.2">
      <c r="A38" s="12" t="s">
        <v>380</v>
      </c>
      <c r="B38" s="232">
        <v>611</v>
      </c>
      <c r="C38" s="301">
        <v>0</v>
      </c>
      <c r="D38" s="171">
        <f t="shared" si="4"/>
        <v>-100</v>
      </c>
      <c r="E38" s="24">
        <f>IFERROR(100/'Skjema total MA'!C37*C38,0)</f>
        <v>0</v>
      </c>
      <c r="F38" s="311"/>
      <c r="G38" s="312"/>
      <c r="H38" s="171"/>
      <c r="I38" s="372"/>
      <c r="J38" s="232">
        <f t="shared" si="12"/>
        <v>611</v>
      </c>
      <c r="K38" s="232">
        <f t="shared" si="13"/>
        <v>0</v>
      </c>
      <c r="L38" s="366">
        <f t="shared" si="7"/>
        <v>-100</v>
      </c>
      <c r="M38" s="24">
        <f>IFERROR(100/'Skjema total MA'!I38*K38,0)</f>
        <v>0</v>
      </c>
    </row>
    <row r="39" spans="1:14" ht="15.75" x14ac:dyDescent="0.2">
      <c r="A39" s="18" t="s">
        <v>381</v>
      </c>
      <c r="B39" s="272"/>
      <c r="C39" s="307"/>
      <c r="D39" s="169"/>
      <c r="E39" s="36"/>
      <c r="F39" s="314"/>
      <c r="G39" s="315"/>
      <c r="H39" s="169"/>
      <c r="I39" s="36"/>
      <c r="J39" s="232"/>
      <c r="K39" s="232"/>
      <c r="L39" s="367"/>
      <c r="M39" s="36"/>
    </row>
    <row r="40" spans="1:14" ht="15.75" x14ac:dyDescent="0.25">
      <c r="A40" s="47"/>
      <c r="B40" s="249"/>
      <c r="C40" s="249"/>
      <c r="D40" s="686"/>
      <c r="E40" s="686"/>
      <c r="F40" s="686"/>
      <c r="G40" s="686"/>
      <c r="H40" s="686"/>
      <c r="I40" s="686"/>
      <c r="J40" s="686"/>
      <c r="K40" s="686"/>
      <c r="L40" s="686"/>
      <c r="M40" s="294"/>
    </row>
    <row r="41" spans="1:14" x14ac:dyDescent="0.2">
      <c r="A41" s="155"/>
    </row>
    <row r="42" spans="1:14" ht="15.75" x14ac:dyDescent="0.25">
      <c r="A42" s="147" t="s">
        <v>279</v>
      </c>
      <c r="B42" s="687"/>
      <c r="C42" s="687"/>
      <c r="D42" s="687"/>
      <c r="E42" s="291"/>
      <c r="F42" s="688"/>
      <c r="G42" s="688"/>
      <c r="H42" s="688"/>
      <c r="I42" s="294"/>
      <c r="J42" s="688"/>
      <c r="K42" s="688"/>
      <c r="L42" s="688"/>
      <c r="M42" s="294"/>
    </row>
    <row r="43" spans="1:14" ht="15.75" x14ac:dyDescent="0.25">
      <c r="A43" s="163"/>
      <c r="B43" s="295"/>
      <c r="C43" s="295"/>
      <c r="D43" s="295"/>
      <c r="E43" s="295"/>
      <c r="F43" s="294"/>
      <c r="G43" s="294"/>
      <c r="H43" s="294"/>
      <c r="I43" s="294"/>
      <c r="J43" s="294"/>
      <c r="K43" s="294"/>
      <c r="L43" s="294"/>
      <c r="M43" s="294"/>
    </row>
    <row r="44" spans="1:14" ht="15.75" x14ac:dyDescent="0.25">
      <c r="A44" s="243"/>
      <c r="B44" s="683" t="s">
        <v>0</v>
      </c>
      <c r="C44" s="684"/>
      <c r="D44" s="684"/>
      <c r="E44" s="239"/>
      <c r="F44" s="294"/>
      <c r="G44" s="294"/>
      <c r="H44" s="294"/>
      <c r="I44" s="294"/>
      <c r="J44" s="294"/>
      <c r="K44" s="294"/>
      <c r="L44" s="294"/>
      <c r="M44" s="294"/>
    </row>
    <row r="45" spans="1:14" s="3" customFormat="1" x14ac:dyDescent="0.2">
      <c r="A45" s="140"/>
      <c r="B45" s="152" t="s">
        <v>416</v>
      </c>
      <c r="C45" s="152" t="s">
        <v>417</v>
      </c>
      <c r="D45" s="162" t="s">
        <v>3</v>
      </c>
      <c r="E45" s="162" t="s">
        <v>29</v>
      </c>
      <c r="F45" s="174"/>
      <c r="G45" s="174"/>
      <c r="H45" s="173"/>
      <c r="I45" s="173"/>
      <c r="J45" s="174"/>
      <c r="K45" s="174"/>
      <c r="L45" s="173"/>
      <c r="M45" s="173"/>
      <c r="N45" s="148"/>
    </row>
    <row r="46" spans="1:14" s="3" customFormat="1" x14ac:dyDescent="0.2">
      <c r="A46" s="650"/>
      <c r="B46" s="240"/>
      <c r="C46" s="240"/>
      <c r="D46" s="241" t="s">
        <v>4</v>
      </c>
      <c r="E46" s="156" t="s">
        <v>30</v>
      </c>
      <c r="F46" s="173"/>
      <c r="G46" s="173"/>
      <c r="H46" s="173"/>
      <c r="I46" s="173"/>
      <c r="J46" s="173"/>
      <c r="K46" s="173"/>
      <c r="L46" s="173"/>
      <c r="M46" s="173"/>
      <c r="N46" s="148"/>
    </row>
    <row r="47" spans="1:14" s="3" customFormat="1" ht="15.75" x14ac:dyDescent="0.2">
      <c r="A47" s="14" t="s">
        <v>23</v>
      </c>
      <c r="B47" s="302">
        <v>288689</v>
      </c>
      <c r="C47" s="303">
        <v>306461</v>
      </c>
      <c r="D47" s="365">
        <f t="shared" ref="D47:D57" si="14">IF(B47=0, "    ---- ", IF(ABS(ROUND(100/B47*C47-100,1))&lt;999,ROUND(100/B47*C47-100,1),IF(ROUND(100/B47*C47-100,1)&gt;999,999,-999)))</f>
        <v>6.2</v>
      </c>
      <c r="E47" s="11">
        <f>IFERROR(100/'Skjema total MA'!C47*C47,0)</f>
        <v>12.246668995109728</v>
      </c>
      <c r="F47" s="145"/>
      <c r="G47" s="33"/>
      <c r="H47" s="159"/>
      <c r="I47" s="159"/>
      <c r="J47" s="37"/>
      <c r="K47" s="37"/>
      <c r="L47" s="159"/>
      <c r="M47" s="159"/>
      <c r="N47" s="148"/>
    </row>
    <row r="48" spans="1:14" s="3" customFormat="1" ht="15.75" x14ac:dyDescent="0.2">
      <c r="A48" s="38" t="s">
        <v>382</v>
      </c>
      <c r="B48" s="277">
        <v>200424</v>
      </c>
      <c r="C48" s="278">
        <v>204734</v>
      </c>
      <c r="D48" s="250">
        <f t="shared" si="14"/>
        <v>2.2000000000000002</v>
      </c>
      <c r="E48" s="27">
        <f>IFERROR(100/'Skjema total MA'!C48*C48,0)</f>
        <v>15.295521986785593</v>
      </c>
      <c r="F48" s="145"/>
      <c r="G48" s="33"/>
      <c r="H48" s="145"/>
      <c r="I48" s="145"/>
      <c r="J48" s="33"/>
      <c r="K48" s="33"/>
      <c r="L48" s="159"/>
      <c r="M48" s="159"/>
      <c r="N48" s="148"/>
    </row>
    <row r="49" spans="1:14" s="3" customFormat="1" ht="15.75" x14ac:dyDescent="0.2">
      <c r="A49" s="38" t="s">
        <v>383</v>
      </c>
      <c r="B49" s="44">
        <v>88265</v>
      </c>
      <c r="C49" s="283">
        <v>101727</v>
      </c>
      <c r="D49" s="250">
        <f>IF(B49=0, "    ---- ", IF(ABS(ROUND(100/B49*C49-100,1))&lt;999,ROUND(100/B49*C49-100,1),IF(ROUND(100/B49*C49-100,1)&gt;999,999,-999)))</f>
        <v>15.3</v>
      </c>
      <c r="E49" s="27">
        <f>IFERROR(100/'Skjema total MA'!C49*C49,0)</f>
        <v>8.7403308952219909</v>
      </c>
      <c r="F49" s="145"/>
      <c r="G49" s="33"/>
      <c r="H49" s="145"/>
      <c r="I49" s="145"/>
      <c r="J49" s="37"/>
      <c r="K49" s="37"/>
      <c r="L49" s="159"/>
      <c r="M49" s="159"/>
      <c r="N49" s="148"/>
    </row>
    <row r="50" spans="1:14" s="3" customFormat="1" x14ac:dyDescent="0.2">
      <c r="A50" s="288" t="s">
        <v>6</v>
      </c>
      <c r="B50" s="311" t="s">
        <v>414</v>
      </c>
      <c r="C50" s="311" t="s">
        <v>414</v>
      </c>
      <c r="D50" s="250"/>
      <c r="E50" s="23"/>
      <c r="F50" s="145"/>
      <c r="G50" s="33"/>
      <c r="H50" s="145"/>
      <c r="I50" s="145"/>
      <c r="J50" s="33"/>
      <c r="K50" s="33"/>
      <c r="L50" s="159"/>
      <c r="M50" s="159"/>
      <c r="N50" s="148"/>
    </row>
    <row r="51" spans="1:14" s="3" customFormat="1" x14ac:dyDescent="0.2">
      <c r="A51" s="288" t="s">
        <v>7</v>
      </c>
      <c r="B51" s="311" t="s">
        <v>414</v>
      </c>
      <c r="C51" s="311" t="s">
        <v>414</v>
      </c>
      <c r="D51" s="250"/>
      <c r="E51" s="23"/>
      <c r="F51" s="145"/>
      <c r="G51" s="33"/>
      <c r="H51" s="145"/>
      <c r="I51" s="145"/>
      <c r="J51" s="33"/>
      <c r="K51" s="33"/>
      <c r="L51" s="159"/>
      <c r="M51" s="159"/>
      <c r="N51" s="148"/>
    </row>
    <row r="52" spans="1:14" s="3" customFormat="1" x14ac:dyDescent="0.2">
      <c r="A52" s="288" t="s">
        <v>8</v>
      </c>
      <c r="B52" s="311" t="s">
        <v>414</v>
      </c>
      <c r="C52" s="311" t="s">
        <v>414</v>
      </c>
      <c r="D52" s="250"/>
      <c r="E52" s="23"/>
      <c r="F52" s="145"/>
      <c r="G52" s="33"/>
      <c r="H52" s="145"/>
      <c r="I52" s="145"/>
      <c r="J52" s="33"/>
      <c r="K52" s="33"/>
      <c r="L52" s="159"/>
      <c r="M52" s="159"/>
      <c r="N52" s="148"/>
    </row>
    <row r="53" spans="1:14" s="3" customFormat="1" ht="15.75" x14ac:dyDescent="0.2">
      <c r="A53" s="39" t="s">
        <v>384</v>
      </c>
      <c r="B53" s="302">
        <v>4843</v>
      </c>
      <c r="C53" s="303">
        <v>32931</v>
      </c>
      <c r="D53" s="366">
        <f t="shared" si="14"/>
        <v>580</v>
      </c>
      <c r="E53" s="11">
        <f>IFERROR(100/'Skjema total MA'!C53*C53,0)</f>
        <v>22.101188463540691</v>
      </c>
      <c r="F53" s="145"/>
      <c r="G53" s="33"/>
      <c r="H53" s="145"/>
      <c r="I53" s="145"/>
      <c r="J53" s="33"/>
      <c r="K53" s="33"/>
      <c r="L53" s="159"/>
      <c r="M53" s="159"/>
      <c r="N53" s="148"/>
    </row>
    <row r="54" spans="1:14" s="3" customFormat="1" ht="15.75" x14ac:dyDescent="0.2">
      <c r="A54" s="38" t="s">
        <v>382</v>
      </c>
      <c r="B54" s="277">
        <v>4843</v>
      </c>
      <c r="C54" s="278">
        <v>32931</v>
      </c>
      <c r="D54" s="250">
        <f t="shared" si="14"/>
        <v>580</v>
      </c>
      <c r="E54" s="27">
        <f>IFERROR(100/'Skjema total MA'!C54*C54,0)</f>
        <v>52.079206699463079</v>
      </c>
      <c r="F54" s="145"/>
      <c r="G54" s="33"/>
      <c r="H54" s="145"/>
      <c r="I54" s="145"/>
      <c r="J54" s="33"/>
      <c r="K54" s="33"/>
      <c r="L54" s="159"/>
      <c r="M54" s="159"/>
      <c r="N54" s="148"/>
    </row>
    <row r="55" spans="1:14" s="3" customFormat="1" ht="15.75" x14ac:dyDescent="0.2">
      <c r="A55" s="38" t="s">
        <v>383</v>
      </c>
      <c r="B55" s="277"/>
      <c r="C55" s="278"/>
      <c r="D55" s="250"/>
      <c r="E55" s="27"/>
      <c r="F55" s="145"/>
      <c r="G55" s="33"/>
      <c r="H55" s="145"/>
      <c r="I55" s="145"/>
      <c r="J55" s="33"/>
      <c r="K55" s="33"/>
      <c r="L55" s="159"/>
      <c r="M55" s="159"/>
      <c r="N55" s="148"/>
    </row>
    <row r="56" spans="1:14" s="3" customFormat="1" ht="15.75" x14ac:dyDescent="0.2">
      <c r="A56" s="39" t="s">
        <v>385</v>
      </c>
      <c r="B56" s="302">
        <v>8364</v>
      </c>
      <c r="C56" s="303">
        <v>4513</v>
      </c>
      <c r="D56" s="366">
        <f t="shared" si="14"/>
        <v>-46</v>
      </c>
      <c r="E56" s="11">
        <f>IFERROR(100/'Skjema total MA'!C56*C56,0)</f>
        <v>3.7271549783661904</v>
      </c>
      <c r="F56" s="145"/>
      <c r="G56" s="33"/>
      <c r="H56" s="145"/>
      <c r="I56" s="145"/>
      <c r="J56" s="33"/>
      <c r="K56" s="33"/>
      <c r="L56" s="159"/>
      <c r="M56" s="159"/>
      <c r="N56" s="148"/>
    </row>
    <row r="57" spans="1:14" s="3" customFormat="1" ht="15.75" x14ac:dyDescent="0.2">
      <c r="A57" s="38" t="s">
        <v>382</v>
      </c>
      <c r="B57" s="277">
        <v>8364</v>
      </c>
      <c r="C57" s="278">
        <v>4513</v>
      </c>
      <c r="D57" s="250">
        <f t="shared" si="14"/>
        <v>-46</v>
      </c>
      <c r="E57" s="27">
        <f>IFERROR(100/'Skjema total MA'!C57*C57,0)</f>
        <v>8.2809770562071545</v>
      </c>
      <c r="F57" s="145"/>
      <c r="G57" s="33"/>
      <c r="H57" s="145"/>
      <c r="I57" s="145"/>
      <c r="J57" s="33"/>
      <c r="K57" s="33"/>
      <c r="L57" s="159"/>
      <c r="M57" s="159"/>
      <c r="N57" s="148"/>
    </row>
    <row r="58" spans="1:14" s="3" customFormat="1" ht="15.75" x14ac:dyDescent="0.2">
      <c r="A58" s="46" t="s">
        <v>383</v>
      </c>
      <c r="B58" s="279"/>
      <c r="C58" s="280"/>
      <c r="D58" s="251"/>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280</v>
      </c>
      <c r="C61" s="26"/>
      <c r="D61" s="26"/>
      <c r="E61" s="26"/>
      <c r="F61" s="26"/>
      <c r="G61" s="26"/>
      <c r="H61" s="26"/>
      <c r="I61" s="26"/>
      <c r="J61" s="26"/>
      <c r="K61" s="26"/>
      <c r="L61" s="26"/>
      <c r="M61" s="26"/>
    </row>
    <row r="62" spans="1:14" ht="15.75" x14ac:dyDescent="0.25">
      <c r="B62" s="682"/>
      <c r="C62" s="682"/>
      <c r="D62" s="682"/>
      <c r="E62" s="291"/>
      <c r="F62" s="682"/>
      <c r="G62" s="682"/>
      <c r="H62" s="682"/>
      <c r="I62" s="291"/>
      <c r="J62" s="682"/>
      <c r="K62" s="682"/>
      <c r="L62" s="682"/>
      <c r="M62" s="291"/>
    </row>
    <row r="63" spans="1:14" x14ac:dyDescent="0.2">
      <c r="A63" s="144"/>
      <c r="B63" s="683" t="s">
        <v>0</v>
      </c>
      <c r="C63" s="684"/>
      <c r="D63" s="685"/>
      <c r="E63" s="292"/>
      <c r="F63" s="684" t="s">
        <v>1</v>
      </c>
      <c r="G63" s="684"/>
      <c r="H63" s="684"/>
      <c r="I63" s="296"/>
      <c r="J63" s="683" t="s">
        <v>2</v>
      </c>
      <c r="K63" s="684"/>
      <c r="L63" s="684"/>
      <c r="M63" s="296"/>
    </row>
    <row r="64" spans="1:14" x14ac:dyDescent="0.2">
      <c r="A64" s="140"/>
      <c r="B64" s="152" t="s">
        <v>416</v>
      </c>
      <c r="C64" s="152" t="s">
        <v>417</v>
      </c>
      <c r="D64" s="241" t="s">
        <v>3</v>
      </c>
      <c r="E64" s="297" t="s">
        <v>29</v>
      </c>
      <c r="F64" s="152" t="s">
        <v>416</v>
      </c>
      <c r="G64" s="152" t="s">
        <v>417</v>
      </c>
      <c r="H64" s="241" t="s">
        <v>3</v>
      </c>
      <c r="I64" s="297" t="s">
        <v>29</v>
      </c>
      <c r="J64" s="152" t="s">
        <v>416</v>
      </c>
      <c r="K64" s="152" t="s">
        <v>417</v>
      </c>
      <c r="L64" s="241" t="s">
        <v>3</v>
      </c>
      <c r="M64" s="162" t="s">
        <v>29</v>
      </c>
    </row>
    <row r="65" spans="1:14" x14ac:dyDescent="0.2">
      <c r="A65" s="650"/>
      <c r="B65" s="156"/>
      <c r="C65" s="156"/>
      <c r="D65" s="242" t="s">
        <v>4</v>
      </c>
      <c r="E65" s="156" t="s">
        <v>30</v>
      </c>
      <c r="F65" s="161"/>
      <c r="G65" s="161"/>
      <c r="H65" s="241" t="s">
        <v>4</v>
      </c>
      <c r="I65" s="156" t="s">
        <v>30</v>
      </c>
      <c r="J65" s="161"/>
      <c r="K65" s="203"/>
      <c r="L65" s="156" t="s">
        <v>4</v>
      </c>
      <c r="M65" s="156" t="s">
        <v>30</v>
      </c>
    </row>
    <row r="66" spans="1:14" ht="15.75" x14ac:dyDescent="0.2">
      <c r="A66" s="14" t="s">
        <v>23</v>
      </c>
      <c r="B66" s="345">
        <v>1213735</v>
      </c>
      <c r="C66" s="345">
        <v>1104209.8</v>
      </c>
      <c r="D66" s="342">
        <f t="shared" ref="D66:D111" si="15">IF(B66=0, "    ---- ", IF(ABS(ROUND(100/B66*C66-100,1))&lt;999,ROUND(100/B66*C66-100,1),IF(ROUND(100/B66*C66-100,1)&gt;999,999,-999)))</f>
        <v>-9</v>
      </c>
      <c r="E66" s="11">
        <f>IFERROR(100/'Skjema total MA'!C66*C66,0)</f>
        <v>31.431247260657152</v>
      </c>
      <c r="F66" s="344">
        <v>1758582</v>
      </c>
      <c r="G66" s="344">
        <v>2253298</v>
      </c>
      <c r="H66" s="342">
        <f t="shared" ref="H66:H111" si="16">IF(F66=0, "    ---- ", IF(ABS(ROUND(100/F66*G66-100,1))&lt;999,ROUND(100/F66*G66-100,1),IF(ROUND(100/F66*G66-100,1)&gt;999,999,-999)))</f>
        <v>28.1</v>
      </c>
      <c r="I66" s="11">
        <f>IFERROR(100/'Skjema total MA'!F66*G66,0)</f>
        <v>28.570461091229124</v>
      </c>
      <c r="J66" s="301">
        <f t="shared" ref="J66:K86" si="17">SUM(B66,F66)</f>
        <v>2972317</v>
      </c>
      <c r="K66" s="308">
        <f t="shared" si="17"/>
        <v>3357507.8</v>
      </c>
      <c r="L66" s="366">
        <f t="shared" ref="L66:L111" si="18">IF(J66=0, "    ---- ", IF(ABS(ROUND(100/J66*K66-100,1))&lt;999,ROUND(100/J66*K66-100,1),IF(ROUND(100/J66*K66-100,1)&gt;999,999,-999)))</f>
        <v>13</v>
      </c>
      <c r="M66" s="11">
        <f>IFERROR(100/'Skjema total MA'!I66*K66,0)</f>
        <v>29.452066240074178</v>
      </c>
    </row>
    <row r="67" spans="1:14" x14ac:dyDescent="0.2">
      <c r="A67" s="21" t="s">
        <v>9</v>
      </c>
      <c r="B67" s="44">
        <v>1205427</v>
      </c>
      <c r="C67" s="145">
        <v>1026815</v>
      </c>
      <c r="D67" s="166">
        <f t="shared" si="15"/>
        <v>-14.8</v>
      </c>
      <c r="E67" s="27">
        <f>IFERROR(100/'Skjema total MA'!C67*C67,0)</f>
        <v>36.310123615926763</v>
      </c>
      <c r="F67" s="230"/>
      <c r="G67" s="145"/>
      <c r="H67" s="166"/>
      <c r="I67" s="27"/>
      <c r="J67" s="283">
        <f t="shared" si="17"/>
        <v>1205427</v>
      </c>
      <c r="K67" s="44">
        <f t="shared" si="17"/>
        <v>1026815</v>
      </c>
      <c r="L67" s="250">
        <f t="shared" si="18"/>
        <v>-14.8</v>
      </c>
      <c r="M67" s="27">
        <f>IFERROR(100/'Skjema total MA'!I67*K67,0)</f>
        <v>36.310123615926763</v>
      </c>
    </row>
    <row r="68" spans="1:14" x14ac:dyDescent="0.2">
      <c r="A68" s="21" t="s">
        <v>10</v>
      </c>
      <c r="B68" s="286"/>
      <c r="C68" s="287"/>
      <c r="D68" s="166"/>
      <c r="E68" s="27"/>
      <c r="F68" s="286">
        <v>1758582</v>
      </c>
      <c r="G68" s="287">
        <v>2253298</v>
      </c>
      <c r="H68" s="166">
        <f t="shared" si="16"/>
        <v>28.1</v>
      </c>
      <c r="I68" s="27">
        <f>IFERROR(100/'Skjema total MA'!F68*G68,0)</f>
        <v>28.948060723734702</v>
      </c>
      <c r="J68" s="283">
        <f t="shared" si="17"/>
        <v>1758582</v>
      </c>
      <c r="K68" s="44">
        <f t="shared" si="17"/>
        <v>2253298</v>
      </c>
      <c r="L68" s="250">
        <f t="shared" si="18"/>
        <v>28.1</v>
      </c>
      <c r="M68" s="27">
        <f>IFERROR(100/'Skjema total MA'!I68*K68,0)</f>
        <v>28.591667797027746</v>
      </c>
    </row>
    <row r="69" spans="1:14" ht="15.75" x14ac:dyDescent="0.2">
      <c r="A69" s="288" t="s">
        <v>386</v>
      </c>
      <c r="B69" s="311" t="s">
        <v>414</v>
      </c>
      <c r="C69" s="311" t="s">
        <v>414</v>
      </c>
      <c r="D69" s="166"/>
      <c r="E69" s="23"/>
      <c r="F69" s="311"/>
      <c r="G69" s="311"/>
      <c r="H69" s="166"/>
      <c r="I69" s="23"/>
      <c r="J69" s="311"/>
      <c r="K69" s="311"/>
      <c r="L69" s="166"/>
      <c r="M69" s="23"/>
    </row>
    <row r="70" spans="1:14" x14ac:dyDescent="0.2">
      <c r="A70" s="288" t="s">
        <v>12</v>
      </c>
      <c r="B70" s="311"/>
      <c r="C70" s="311"/>
      <c r="D70" s="166"/>
      <c r="E70" s="23"/>
      <c r="F70" s="311"/>
      <c r="G70" s="311"/>
      <c r="H70" s="166"/>
      <c r="I70" s="23"/>
      <c r="J70" s="311"/>
      <c r="K70" s="311"/>
      <c r="L70" s="166"/>
      <c r="M70" s="23"/>
    </row>
    <row r="71" spans="1:14" x14ac:dyDescent="0.2">
      <c r="A71" s="288" t="s">
        <v>13</v>
      </c>
      <c r="B71" s="311"/>
      <c r="C71" s="311"/>
      <c r="D71" s="166"/>
      <c r="E71" s="23"/>
      <c r="F71" s="311"/>
      <c r="G71" s="311"/>
      <c r="H71" s="166"/>
      <c r="I71" s="23"/>
      <c r="J71" s="311"/>
      <c r="K71" s="311"/>
      <c r="L71" s="166"/>
      <c r="M71" s="23"/>
    </row>
    <row r="72" spans="1:14" ht="15.75" x14ac:dyDescent="0.2">
      <c r="A72" s="288" t="s">
        <v>387</v>
      </c>
      <c r="B72" s="311" t="s">
        <v>414</v>
      </c>
      <c r="C72" s="311" t="s">
        <v>414</v>
      </c>
      <c r="D72" s="166"/>
      <c r="E72" s="23"/>
      <c r="F72" s="311"/>
      <c r="G72" s="311"/>
      <c r="H72" s="166"/>
      <c r="I72" s="23"/>
      <c r="J72" s="311"/>
      <c r="K72" s="311"/>
      <c r="L72" s="166"/>
      <c r="M72" s="23"/>
    </row>
    <row r="73" spans="1:14" x14ac:dyDescent="0.2">
      <c r="A73" s="288" t="s">
        <v>12</v>
      </c>
      <c r="B73" s="311"/>
      <c r="C73" s="311"/>
      <c r="D73" s="166"/>
      <c r="E73" s="23"/>
      <c r="F73" s="311"/>
      <c r="G73" s="311"/>
      <c r="H73" s="166"/>
      <c r="I73" s="23"/>
      <c r="J73" s="311"/>
      <c r="K73" s="311"/>
      <c r="L73" s="166"/>
      <c r="M73" s="23"/>
    </row>
    <row r="74" spans="1:14" s="3" customFormat="1" x14ac:dyDescent="0.2">
      <c r="A74" s="288" t="s">
        <v>13</v>
      </c>
      <c r="B74" s="311"/>
      <c r="C74" s="311"/>
      <c r="D74" s="166"/>
      <c r="E74" s="23"/>
      <c r="F74" s="311"/>
      <c r="G74" s="311"/>
      <c r="H74" s="166"/>
      <c r="I74" s="23"/>
      <c r="J74" s="311"/>
      <c r="K74" s="311"/>
      <c r="L74" s="166"/>
      <c r="M74" s="23"/>
      <c r="N74" s="148"/>
    </row>
    <row r="75" spans="1:14" s="3" customFormat="1" x14ac:dyDescent="0.2">
      <c r="A75" s="21" t="s">
        <v>356</v>
      </c>
      <c r="B75" s="230"/>
      <c r="C75" s="145"/>
      <c r="D75" s="166"/>
      <c r="E75" s="27"/>
      <c r="F75" s="230"/>
      <c r="G75" s="145"/>
      <c r="H75" s="166"/>
      <c r="I75" s="27"/>
      <c r="J75" s="283"/>
      <c r="K75" s="44"/>
      <c r="L75" s="250"/>
      <c r="M75" s="27"/>
      <c r="N75" s="148"/>
    </row>
    <row r="76" spans="1:14" s="3" customFormat="1" x14ac:dyDescent="0.2">
      <c r="A76" s="21" t="s">
        <v>355</v>
      </c>
      <c r="B76" s="230">
        <v>8308</v>
      </c>
      <c r="C76" s="145">
        <v>77394.8</v>
      </c>
      <c r="D76" s="166">
        <f t="shared" ref="D76" si="19">IF(B76=0, "    ---- ", IF(ABS(ROUND(100/B76*C76-100,1))&lt;999,ROUND(100/B76*C76-100,1),IF(ROUND(100/B76*C76-100,1)&gt;999,999,-999)))</f>
        <v>831.6</v>
      </c>
      <c r="E76" s="27">
        <f>IFERROR(100/'Skjema total MA'!C77*C76,0)</f>
        <v>2.6996971322056282</v>
      </c>
      <c r="F76" s="230"/>
      <c r="G76" s="145"/>
      <c r="H76" s="166"/>
      <c r="I76" s="27"/>
      <c r="J76" s="283">
        <f t="shared" ref="J76" si="20">SUM(B76,F76)</f>
        <v>8308</v>
      </c>
      <c r="K76" s="44">
        <f t="shared" ref="K76" si="21">SUM(C76,G76)</f>
        <v>77394.8</v>
      </c>
      <c r="L76" s="250">
        <f t="shared" ref="L76" si="22">IF(J76=0, "    ---- ", IF(ABS(ROUND(100/J76*K76-100,1))&lt;999,ROUND(100/J76*K76-100,1),IF(ROUND(100/J76*K76-100,1)&gt;999,999,-999)))</f>
        <v>831.6</v>
      </c>
      <c r="M76" s="27">
        <f>IFERROR(100/'Skjema total MA'!I77*K76,0)</f>
        <v>0.7268993615758611</v>
      </c>
      <c r="N76" s="148"/>
    </row>
    <row r="77" spans="1:14" ht="15.75" x14ac:dyDescent="0.2">
      <c r="A77" s="21" t="s">
        <v>388</v>
      </c>
      <c r="B77" s="230">
        <v>1190544</v>
      </c>
      <c r="C77" s="230">
        <v>1026796</v>
      </c>
      <c r="D77" s="166">
        <f t="shared" si="15"/>
        <v>-13.8</v>
      </c>
      <c r="E77" s="27">
        <f>IFERROR(100/'Skjema total MA'!C77*C77,0)</f>
        <v>35.816853542617977</v>
      </c>
      <c r="F77" s="230">
        <v>1758582</v>
      </c>
      <c r="G77" s="145">
        <v>2253298</v>
      </c>
      <c r="H77" s="166">
        <f t="shared" si="16"/>
        <v>28.1</v>
      </c>
      <c r="I77" s="27">
        <f>IFERROR(100/'Skjema total MA'!F77*G77,0)</f>
        <v>28.961003964783494</v>
      </c>
      <c r="J77" s="283">
        <f t="shared" si="17"/>
        <v>2949126</v>
      </c>
      <c r="K77" s="44">
        <f t="shared" si="17"/>
        <v>3280094</v>
      </c>
      <c r="L77" s="250">
        <f t="shared" si="18"/>
        <v>11.2</v>
      </c>
      <c r="M77" s="27">
        <f>IFERROR(100/'Skjema total MA'!I77*K77,0)</f>
        <v>30.806956468765502</v>
      </c>
    </row>
    <row r="78" spans="1:14" x14ac:dyDescent="0.2">
      <c r="A78" s="21" t="s">
        <v>9</v>
      </c>
      <c r="B78" s="230">
        <v>1190544</v>
      </c>
      <c r="C78" s="145">
        <v>1026796</v>
      </c>
      <c r="D78" s="166">
        <f t="shared" si="15"/>
        <v>-13.8</v>
      </c>
      <c r="E78" s="27">
        <f>IFERROR(100/'Skjema total MA'!C78*C78,0)</f>
        <v>37.054234968668482</v>
      </c>
      <c r="F78" s="230"/>
      <c r="G78" s="145"/>
      <c r="H78" s="166"/>
      <c r="I78" s="27"/>
      <c r="J78" s="283">
        <f t="shared" si="17"/>
        <v>1190544</v>
      </c>
      <c r="K78" s="44">
        <f t="shared" si="17"/>
        <v>1026796</v>
      </c>
      <c r="L78" s="250">
        <f t="shared" si="18"/>
        <v>-13.8</v>
      </c>
      <c r="M78" s="27">
        <f>IFERROR(100/'Skjema total MA'!I78*K78,0)</f>
        <v>37.054234968668482</v>
      </c>
    </row>
    <row r="79" spans="1:14" x14ac:dyDescent="0.2">
      <c r="A79" s="21" t="s">
        <v>10</v>
      </c>
      <c r="B79" s="286"/>
      <c r="C79" s="287"/>
      <c r="D79" s="166"/>
      <c r="E79" s="27"/>
      <c r="F79" s="286">
        <v>1758582</v>
      </c>
      <c r="G79" s="287">
        <v>2253298</v>
      </c>
      <c r="H79" s="166">
        <f t="shared" si="16"/>
        <v>28.1</v>
      </c>
      <c r="I79" s="27">
        <f>IFERROR(100/'Skjema total MA'!F79*G79,0)</f>
        <v>28.961003964783494</v>
      </c>
      <c r="J79" s="283">
        <f t="shared" si="17"/>
        <v>1758582</v>
      </c>
      <c r="K79" s="44">
        <f t="shared" si="17"/>
        <v>2253298</v>
      </c>
      <c r="L79" s="250">
        <f t="shared" si="18"/>
        <v>28.1</v>
      </c>
      <c r="M79" s="27">
        <f>IFERROR(100/'Skjema total MA'!I79*K79,0)</f>
        <v>28.608989925021834</v>
      </c>
    </row>
    <row r="80" spans="1:14" ht="15.75" x14ac:dyDescent="0.2">
      <c r="A80" s="288" t="s">
        <v>386</v>
      </c>
      <c r="B80" s="311" t="s">
        <v>414</v>
      </c>
      <c r="C80" s="311" t="s">
        <v>414</v>
      </c>
      <c r="D80" s="166"/>
      <c r="E80" s="23"/>
      <c r="F80" s="311"/>
      <c r="G80" s="311"/>
      <c r="H80" s="166"/>
      <c r="I80" s="23"/>
      <c r="J80" s="311"/>
      <c r="K80" s="311"/>
      <c r="L80" s="166"/>
      <c r="M80" s="23"/>
    </row>
    <row r="81" spans="1:13" x14ac:dyDescent="0.2">
      <c r="A81" s="288" t="s">
        <v>12</v>
      </c>
      <c r="B81" s="311"/>
      <c r="C81" s="311"/>
      <c r="D81" s="166"/>
      <c r="E81" s="23"/>
      <c r="F81" s="311"/>
      <c r="G81" s="311"/>
      <c r="H81" s="166"/>
      <c r="I81" s="23"/>
      <c r="J81" s="311"/>
      <c r="K81" s="311"/>
      <c r="L81" s="166"/>
      <c r="M81" s="23"/>
    </row>
    <row r="82" spans="1:13" x14ac:dyDescent="0.2">
      <c r="A82" s="288" t="s">
        <v>13</v>
      </c>
      <c r="B82" s="311"/>
      <c r="C82" s="311"/>
      <c r="D82" s="166"/>
      <c r="E82" s="23"/>
      <c r="F82" s="311"/>
      <c r="G82" s="311"/>
      <c r="H82" s="166"/>
      <c r="I82" s="23"/>
      <c r="J82" s="311"/>
      <c r="K82" s="311"/>
      <c r="L82" s="166"/>
      <c r="M82" s="23"/>
    </row>
    <row r="83" spans="1:13" ht="15.75" x14ac:dyDescent="0.2">
      <c r="A83" s="288" t="s">
        <v>387</v>
      </c>
      <c r="B83" s="311" t="s">
        <v>414</v>
      </c>
      <c r="C83" s="311" t="s">
        <v>414</v>
      </c>
      <c r="D83" s="166"/>
      <c r="E83" s="23"/>
      <c r="F83" s="311"/>
      <c r="G83" s="311"/>
      <c r="H83" s="166"/>
      <c r="I83" s="23"/>
      <c r="J83" s="311"/>
      <c r="K83" s="311"/>
      <c r="L83" s="166"/>
      <c r="M83" s="23"/>
    </row>
    <row r="84" spans="1:13" x14ac:dyDescent="0.2">
      <c r="A84" s="288" t="s">
        <v>12</v>
      </c>
      <c r="B84" s="311"/>
      <c r="C84" s="311"/>
      <c r="D84" s="166"/>
      <c r="E84" s="23"/>
      <c r="F84" s="311"/>
      <c r="G84" s="311"/>
      <c r="H84" s="166"/>
      <c r="I84" s="23"/>
      <c r="J84" s="311"/>
      <c r="K84" s="311"/>
      <c r="L84" s="166"/>
      <c r="M84" s="23"/>
    </row>
    <row r="85" spans="1:13" x14ac:dyDescent="0.2">
      <c r="A85" s="288" t="s">
        <v>13</v>
      </c>
      <c r="B85" s="311"/>
      <c r="C85" s="311"/>
      <c r="D85" s="166"/>
      <c r="E85" s="23"/>
      <c r="F85" s="311"/>
      <c r="G85" s="311"/>
      <c r="H85" s="166"/>
      <c r="I85" s="23"/>
      <c r="J85" s="311"/>
      <c r="K85" s="311"/>
      <c r="L85" s="166"/>
      <c r="M85" s="23"/>
    </row>
    <row r="86" spans="1:13" ht="15.75" x14ac:dyDescent="0.2">
      <c r="A86" s="21" t="s">
        <v>389</v>
      </c>
      <c r="B86" s="230">
        <v>14883</v>
      </c>
      <c r="C86" s="145">
        <v>19.11</v>
      </c>
      <c r="D86" s="166">
        <f t="shared" si="15"/>
        <v>-99.9</v>
      </c>
      <c r="E86" s="27">
        <f>IFERROR(100/'Skjema total MA'!C86*C86,0)</f>
        <v>3.2872674944170205E-2</v>
      </c>
      <c r="F86" s="230"/>
      <c r="G86" s="145"/>
      <c r="H86" s="166"/>
      <c r="I86" s="27"/>
      <c r="J86" s="283">
        <f t="shared" si="17"/>
        <v>14883</v>
      </c>
      <c r="K86" s="44">
        <f t="shared" si="17"/>
        <v>19.11</v>
      </c>
      <c r="L86" s="250">
        <f t="shared" si="18"/>
        <v>-99.9</v>
      </c>
      <c r="M86" s="27">
        <f>IFERROR(100/'Skjema total MA'!I86*K86,0)</f>
        <v>3.101659345940164E-2</v>
      </c>
    </row>
    <row r="87" spans="1:13" ht="15.75" x14ac:dyDescent="0.2">
      <c r="A87" s="13" t="s">
        <v>371</v>
      </c>
      <c r="B87" s="345">
        <v>156994879.5</v>
      </c>
      <c r="C87" s="345">
        <v>157233581.072</v>
      </c>
      <c r="D87" s="171">
        <f t="shared" si="15"/>
        <v>0.2</v>
      </c>
      <c r="E87" s="11">
        <f>IFERROR(100/'Skjema total MA'!C87*C87,0)</f>
        <v>40.473589910615615</v>
      </c>
      <c r="F87" s="344">
        <v>63330486</v>
      </c>
      <c r="G87" s="344">
        <v>74032436.452000007</v>
      </c>
      <c r="H87" s="171">
        <f t="shared" si="16"/>
        <v>16.899999999999999</v>
      </c>
      <c r="I87" s="11">
        <f>IFERROR(100/'Skjema total MA'!F87*G87,0)</f>
        <v>27.355446068954929</v>
      </c>
      <c r="J87" s="301">
        <f t="shared" ref="J87:K111" si="23">SUM(B87,F87)</f>
        <v>220325365.5</v>
      </c>
      <c r="K87" s="232">
        <f t="shared" si="23"/>
        <v>231266017.52399999</v>
      </c>
      <c r="L87" s="366">
        <f t="shared" si="18"/>
        <v>5</v>
      </c>
      <c r="M87" s="11">
        <f>IFERROR(100/'Skjema total MA'!I87*K87,0)</f>
        <v>35.087310391436681</v>
      </c>
    </row>
    <row r="88" spans="1:13" x14ac:dyDescent="0.2">
      <c r="A88" s="21" t="s">
        <v>9</v>
      </c>
      <c r="B88" s="230">
        <v>156665966</v>
      </c>
      <c r="C88" s="145">
        <v>157108366.40000001</v>
      </c>
      <c r="D88" s="166">
        <f t="shared" si="15"/>
        <v>0.3</v>
      </c>
      <c r="E88" s="27">
        <f>IFERROR(100/'Skjema total MA'!C88*C88,0)</f>
        <v>41.359976267751961</v>
      </c>
      <c r="F88" s="230"/>
      <c r="G88" s="145"/>
      <c r="H88" s="166"/>
      <c r="I88" s="27"/>
      <c r="J88" s="283">
        <f t="shared" si="23"/>
        <v>156665966</v>
      </c>
      <c r="K88" s="44">
        <f t="shared" si="23"/>
        <v>157108366.40000001</v>
      </c>
      <c r="L88" s="250">
        <f t="shared" si="18"/>
        <v>0.3</v>
      </c>
      <c r="M88" s="27">
        <f>IFERROR(100/'Skjema total MA'!I88*K88,0)</f>
        <v>41.359976267751961</v>
      </c>
    </row>
    <row r="89" spans="1:13" x14ac:dyDescent="0.2">
      <c r="A89" s="21" t="s">
        <v>10</v>
      </c>
      <c r="B89" s="230">
        <v>102388</v>
      </c>
      <c r="C89" s="145">
        <v>96343</v>
      </c>
      <c r="D89" s="166">
        <f t="shared" si="15"/>
        <v>-5.9</v>
      </c>
      <c r="E89" s="27">
        <f>IFERROR(100/'Skjema total MA'!C89*C89,0)</f>
        <v>3.4512326604624661</v>
      </c>
      <c r="F89" s="230">
        <v>63330486</v>
      </c>
      <c r="G89" s="145">
        <v>74032436.452000007</v>
      </c>
      <c r="H89" s="166">
        <f t="shared" si="16"/>
        <v>16.899999999999999</v>
      </c>
      <c r="I89" s="27">
        <f>IFERROR(100/'Skjema total MA'!F89*G89,0)</f>
        <v>27.476311072878762</v>
      </c>
      <c r="J89" s="283">
        <f t="shared" si="23"/>
        <v>63432874</v>
      </c>
      <c r="K89" s="44">
        <f t="shared" si="23"/>
        <v>74128779.452000007</v>
      </c>
      <c r="L89" s="250">
        <f t="shared" si="18"/>
        <v>16.899999999999999</v>
      </c>
      <c r="M89" s="27">
        <f>IFERROR(100/'Skjema total MA'!I89*K89,0)</f>
        <v>27.229950759281504</v>
      </c>
    </row>
    <row r="90" spans="1:13" ht="15.75" x14ac:dyDescent="0.2">
      <c r="A90" s="288" t="s">
        <v>386</v>
      </c>
      <c r="B90" s="311" t="s">
        <v>414</v>
      </c>
      <c r="C90" s="311" t="s">
        <v>414</v>
      </c>
      <c r="D90" s="166"/>
      <c r="E90" s="23"/>
      <c r="F90" s="311"/>
      <c r="G90" s="311"/>
      <c r="H90" s="166"/>
      <c r="I90" s="23"/>
      <c r="J90" s="311"/>
      <c r="K90" s="311"/>
      <c r="L90" s="166"/>
      <c r="M90" s="23"/>
    </row>
    <row r="91" spans="1:13" x14ac:dyDescent="0.2">
      <c r="A91" s="288" t="s">
        <v>12</v>
      </c>
      <c r="B91" s="311"/>
      <c r="C91" s="311"/>
      <c r="D91" s="166"/>
      <c r="E91" s="23"/>
      <c r="F91" s="311"/>
      <c r="G91" s="311"/>
      <c r="H91" s="166"/>
      <c r="I91" s="23"/>
      <c r="J91" s="311"/>
      <c r="K91" s="311"/>
      <c r="L91" s="166"/>
      <c r="M91" s="23"/>
    </row>
    <row r="92" spans="1:13" x14ac:dyDescent="0.2">
      <c r="A92" s="288" t="s">
        <v>13</v>
      </c>
      <c r="B92" s="311"/>
      <c r="C92" s="311"/>
      <c r="D92" s="166"/>
      <c r="E92" s="23"/>
      <c r="F92" s="311"/>
      <c r="G92" s="311"/>
      <c r="H92" s="166"/>
      <c r="I92" s="23"/>
      <c r="J92" s="311"/>
      <c r="K92" s="311"/>
      <c r="L92" s="166"/>
      <c r="M92" s="23"/>
    </row>
    <row r="93" spans="1:13" ht="15.75" x14ac:dyDescent="0.2">
      <c r="A93" s="288" t="s">
        <v>387</v>
      </c>
      <c r="B93" s="311" t="s">
        <v>414</v>
      </c>
      <c r="C93" s="311" t="s">
        <v>414</v>
      </c>
      <c r="D93" s="166"/>
      <c r="E93" s="23"/>
      <c r="F93" s="311"/>
      <c r="G93" s="311"/>
      <c r="H93" s="166"/>
      <c r="I93" s="23"/>
      <c r="J93" s="311"/>
      <c r="K93" s="311"/>
      <c r="L93" s="166"/>
      <c r="M93" s="23"/>
    </row>
    <row r="94" spans="1:13" x14ac:dyDescent="0.2">
      <c r="A94" s="288" t="s">
        <v>12</v>
      </c>
      <c r="B94" s="311"/>
      <c r="C94" s="311"/>
      <c r="D94" s="166"/>
      <c r="E94" s="23"/>
      <c r="F94" s="311"/>
      <c r="G94" s="311"/>
      <c r="H94" s="166"/>
      <c r="I94" s="23"/>
      <c r="J94" s="311"/>
      <c r="K94" s="311"/>
      <c r="L94" s="166"/>
      <c r="M94" s="23"/>
    </row>
    <row r="95" spans="1:13" x14ac:dyDescent="0.2">
      <c r="A95" s="288" t="s">
        <v>13</v>
      </c>
      <c r="B95" s="311"/>
      <c r="C95" s="311"/>
      <c r="D95" s="166"/>
      <c r="E95" s="23"/>
      <c r="F95" s="311"/>
      <c r="G95" s="311"/>
      <c r="H95" s="166"/>
      <c r="I95" s="23"/>
      <c r="J95" s="311"/>
      <c r="K95" s="311"/>
      <c r="L95" s="166"/>
      <c r="M95" s="23"/>
    </row>
    <row r="96" spans="1:13" x14ac:dyDescent="0.2">
      <c r="A96" s="21" t="s">
        <v>354</v>
      </c>
      <c r="B96" s="230"/>
      <c r="C96" s="145"/>
      <c r="D96" s="166"/>
      <c r="E96" s="27"/>
      <c r="F96" s="230"/>
      <c r="G96" s="145"/>
      <c r="H96" s="166"/>
      <c r="I96" s="27"/>
      <c r="J96" s="283"/>
      <c r="K96" s="44"/>
      <c r="L96" s="250"/>
      <c r="M96" s="27"/>
    </row>
    <row r="97" spans="1:13" x14ac:dyDescent="0.2">
      <c r="A97" s="21" t="s">
        <v>353</v>
      </c>
      <c r="B97" s="230">
        <v>226525.5</v>
      </c>
      <c r="C97" s="145">
        <v>28871.671999999999</v>
      </c>
      <c r="D97" s="166">
        <f t="shared" ref="D97" si="24">IF(B97=0, "    ---- ", IF(ABS(ROUND(100/B97*C97-100,1))&lt;999,ROUND(100/B97*C97-100,1),IF(ROUND(100/B97*C97-100,1)&gt;999,999,-999)))</f>
        <v>-87.3</v>
      </c>
      <c r="E97" s="27">
        <f>IFERROR(100/'Skjema total MA'!C98*C97,0)</f>
        <v>7.6403925351954099E-3</v>
      </c>
      <c r="F97" s="230"/>
      <c r="G97" s="145"/>
      <c r="H97" s="166"/>
      <c r="I97" s="27"/>
      <c r="J97" s="283">
        <f t="shared" ref="J97" si="25">SUM(B97,F97)</f>
        <v>226525.5</v>
      </c>
      <c r="K97" s="44">
        <f t="shared" ref="K97" si="26">SUM(C97,G97)</f>
        <v>28871.671999999999</v>
      </c>
      <c r="L97" s="250">
        <f t="shared" ref="L97" si="27">IF(J97=0, "    ---- ", IF(ABS(ROUND(100/J97*K97-100,1))&lt;999,ROUND(100/J97*K97-100,1),IF(ROUND(100/J97*K97-100,1)&gt;999,999,-999)))</f>
        <v>-87.3</v>
      </c>
      <c r="M97" s="27">
        <f>IFERROR(100/'Skjema total MA'!I98*K97,0)</f>
        <v>4.4653118331495247E-3</v>
      </c>
    </row>
    <row r="98" spans="1:13" ht="15.75" x14ac:dyDescent="0.2">
      <c r="A98" s="21" t="s">
        <v>388</v>
      </c>
      <c r="B98" s="230">
        <v>155355007</v>
      </c>
      <c r="C98" s="230">
        <v>155805951</v>
      </c>
      <c r="D98" s="166">
        <f t="shared" si="15"/>
        <v>0.3</v>
      </c>
      <c r="E98" s="27">
        <f>IFERROR(100/'Skjema total MA'!C98*C98,0)</f>
        <v>41.231371184856279</v>
      </c>
      <c r="F98" s="286">
        <v>63202304</v>
      </c>
      <c r="G98" s="286">
        <v>73919990.356000006</v>
      </c>
      <c r="H98" s="166">
        <f t="shared" si="16"/>
        <v>17</v>
      </c>
      <c r="I98" s="27">
        <f>IFERROR(100/'Skjema total MA'!F98*G98,0)</f>
        <v>27.510764714524424</v>
      </c>
      <c r="J98" s="283">
        <f t="shared" si="23"/>
        <v>218557311</v>
      </c>
      <c r="K98" s="44">
        <f t="shared" si="23"/>
        <v>229725941.35600001</v>
      </c>
      <c r="L98" s="250">
        <f t="shared" si="18"/>
        <v>5.0999999999999996</v>
      </c>
      <c r="M98" s="27">
        <f>IFERROR(100/'Skjema total MA'!I98*K98,0)</f>
        <v>35.529565600439092</v>
      </c>
    </row>
    <row r="99" spans="1:13" x14ac:dyDescent="0.2">
      <c r="A99" s="21" t="s">
        <v>9</v>
      </c>
      <c r="B99" s="286">
        <v>155252619</v>
      </c>
      <c r="C99" s="287">
        <v>155709608</v>
      </c>
      <c r="D99" s="166">
        <f t="shared" si="15"/>
        <v>0.3</v>
      </c>
      <c r="E99" s="27">
        <f>IFERROR(100/'Skjema total MA'!C99*C99,0)</f>
        <v>41.512544053716468</v>
      </c>
      <c r="F99" s="230"/>
      <c r="G99" s="145"/>
      <c r="H99" s="166"/>
      <c r="I99" s="27"/>
      <c r="J99" s="283">
        <f t="shared" si="23"/>
        <v>155252619</v>
      </c>
      <c r="K99" s="44">
        <f t="shared" si="23"/>
        <v>155709608</v>
      </c>
      <c r="L99" s="250">
        <f t="shared" si="18"/>
        <v>0.3</v>
      </c>
      <c r="M99" s="27">
        <f>IFERROR(100/'Skjema total MA'!I99*K99,0)</f>
        <v>41.512544053716468</v>
      </c>
    </row>
    <row r="100" spans="1:13" x14ac:dyDescent="0.2">
      <c r="A100" s="21" t="s">
        <v>10</v>
      </c>
      <c r="B100" s="286">
        <v>102388</v>
      </c>
      <c r="C100" s="287">
        <v>96343</v>
      </c>
      <c r="D100" s="166">
        <f t="shared" si="15"/>
        <v>-5.9</v>
      </c>
      <c r="E100" s="27">
        <f>IFERROR(100/'Skjema total MA'!C100*C100,0)</f>
        <v>3.4512326595169842</v>
      </c>
      <c r="F100" s="230">
        <v>63202304</v>
      </c>
      <c r="G100" s="230">
        <v>73919990.356000006</v>
      </c>
      <c r="H100" s="166">
        <f t="shared" si="16"/>
        <v>17</v>
      </c>
      <c r="I100" s="27">
        <f>IFERROR(100/'Skjema total MA'!F100*G100,0)</f>
        <v>27.510764714524424</v>
      </c>
      <c r="J100" s="283">
        <f t="shared" si="23"/>
        <v>63304692</v>
      </c>
      <c r="K100" s="44">
        <f t="shared" si="23"/>
        <v>74016333.356000006</v>
      </c>
      <c r="L100" s="250">
        <f t="shared" si="18"/>
        <v>16.899999999999999</v>
      </c>
      <c r="M100" s="27">
        <f>IFERROR(100/'Skjema total MA'!I100*K100,0)</f>
        <v>27.263373015737276</v>
      </c>
    </row>
    <row r="101" spans="1:13" ht="15.75" x14ac:dyDescent="0.2">
      <c r="A101" s="288" t="s">
        <v>386</v>
      </c>
      <c r="B101" s="311" t="s">
        <v>414</v>
      </c>
      <c r="C101" s="311" t="s">
        <v>414</v>
      </c>
      <c r="D101" s="166"/>
      <c r="E101" s="23"/>
      <c r="F101" s="311"/>
      <c r="G101" s="311"/>
      <c r="H101" s="166"/>
      <c r="I101" s="23"/>
      <c r="J101" s="311"/>
      <c r="K101" s="311"/>
      <c r="L101" s="166"/>
      <c r="M101" s="23"/>
    </row>
    <row r="102" spans="1:13" x14ac:dyDescent="0.2">
      <c r="A102" s="288" t="s">
        <v>12</v>
      </c>
      <c r="B102" s="311"/>
      <c r="C102" s="311"/>
      <c r="D102" s="166"/>
      <c r="E102" s="23"/>
      <c r="F102" s="311"/>
      <c r="G102" s="311"/>
      <c r="H102" s="166"/>
      <c r="I102" s="23"/>
      <c r="J102" s="311"/>
      <c r="K102" s="311"/>
      <c r="L102" s="166"/>
      <c r="M102" s="23"/>
    </row>
    <row r="103" spans="1:13" x14ac:dyDescent="0.2">
      <c r="A103" s="288" t="s">
        <v>13</v>
      </c>
      <c r="B103" s="311"/>
      <c r="C103" s="311"/>
      <c r="D103" s="166"/>
      <c r="E103" s="23"/>
      <c r="F103" s="311"/>
      <c r="G103" s="311"/>
      <c r="H103" s="166"/>
      <c r="I103" s="23"/>
      <c r="J103" s="311"/>
      <c r="K103" s="311"/>
      <c r="L103" s="166"/>
      <c r="M103" s="23"/>
    </row>
    <row r="104" spans="1:13" ht="15.75" x14ac:dyDescent="0.2">
      <c r="A104" s="288" t="s">
        <v>387</v>
      </c>
      <c r="B104" s="311" t="s">
        <v>414</v>
      </c>
      <c r="C104" s="311" t="s">
        <v>414</v>
      </c>
      <c r="D104" s="166"/>
      <c r="E104" s="23"/>
      <c r="F104" s="311"/>
      <c r="G104" s="311"/>
      <c r="H104" s="166"/>
      <c r="I104" s="23"/>
      <c r="J104" s="311"/>
      <c r="K104" s="311"/>
      <c r="L104" s="166"/>
      <c r="M104" s="23"/>
    </row>
    <row r="105" spans="1:13" x14ac:dyDescent="0.2">
      <c r="A105" s="288" t="s">
        <v>12</v>
      </c>
      <c r="B105" s="311"/>
      <c r="C105" s="311"/>
      <c r="D105" s="166"/>
      <c r="E105" s="23"/>
      <c r="F105" s="311"/>
      <c r="G105" s="311"/>
      <c r="H105" s="166"/>
      <c r="I105" s="23"/>
      <c r="J105" s="311"/>
      <c r="K105" s="311"/>
      <c r="L105" s="166"/>
      <c r="M105" s="23"/>
    </row>
    <row r="106" spans="1:13" x14ac:dyDescent="0.2">
      <c r="A106" s="288" t="s">
        <v>13</v>
      </c>
      <c r="B106" s="311"/>
      <c r="C106" s="311"/>
      <c r="D106" s="166"/>
      <c r="E106" s="23"/>
      <c r="F106" s="311"/>
      <c r="G106" s="311"/>
      <c r="H106" s="166"/>
      <c r="I106" s="23"/>
      <c r="J106" s="311"/>
      <c r="K106" s="311"/>
      <c r="L106" s="166"/>
      <c r="M106" s="23"/>
    </row>
    <row r="107" spans="1:13" ht="15.75" x14ac:dyDescent="0.2">
      <c r="A107" s="21" t="s">
        <v>389</v>
      </c>
      <c r="B107" s="230">
        <v>1413347</v>
      </c>
      <c r="C107" s="145">
        <v>1398758.0360000001</v>
      </c>
      <c r="D107" s="166">
        <f t="shared" si="15"/>
        <v>-1</v>
      </c>
      <c r="E107" s="27">
        <f>IFERROR(100/'Skjema total MA'!C107*C107,0)</f>
        <v>29.351522153041561</v>
      </c>
      <c r="F107" s="230">
        <v>128182</v>
      </c>
      <c r="G107" s="145">
        <v>112446.09600000001</v>
      </c>
      <c r="H107" s="166">
        <f t="shared" si="16"/>
        <v>-12.3</v>
      </c>
      <c r="I107" s="27">
        <f>IFERROR(100/'Skjema total MA'!F107*G107,0)</f>
        <v>15.069677624868534</v>
      </c>
      <c r="J107" s="283">
        <f t="shared" si="23"/>
        <v>1541529</v>
      </c>
      <c r="K107" s="44">
        <f t="shared" si="23"/>
        <v>1511204.132</v>
      </c>
      <c r="L107" s="250">
        <f t="shared" si="18"/>
        <v>-2</v>
      </c>
      <c r="M107" s="27">
        <f>IFERROR(100/'Skjema total MA'!I107*K107,0)</f>
        <v>27.418049038445222</v>
      </c>
    </row>
    <row r="108" spans="1:13" ht="15.75" x14ac:dyDescent="0.2">
      <c r="A108" s="21" t="s">
        <v>390</v>
      </c>
      <c r="B108" s="230">
        <v>131157944</v>
      </c>
      <c r="C108" s="230">
        <v>133366841</v>
      </c>
      <c r="D108" s="166">
        <f t="shared" si="15"/>
        <v>1.7</v>
      </c>
      <c r="E108" s="27">
        <f>IFERROR(100/'Skjema total MA'!C108*C108,0)</f>
        <v>42.395736124873444</v>
      </c>
      <c r="F108" s="230">
        <v>310679</v>
      </c>
      <c r="G108" s="230">
        <v>398977.32799999998</v>
      </c>
      <c r="H108" s="166">
        <f t="shared" si="16"/>
        <v>28.4</v>
      </c>
      <c r="I108" s="27">
        <f>IFERROR(100/'Skjema total MA'!F108*G108,0)</f>
        <v>2.4858435472170179</v>
      </c>
      <c r="J108" s="283">
        <f t="shared" si="23"/>
        <v>131468623</v>
      </c>
      <c r="K108" s="44">
        <f t="shared" si="23"/>
        <v>133765818.32799999</v>
      </c>
      <c r="L108" s="250">
        <f t="shared" si="18"/>
        <v>1.7</v>
      </c>
      <c r="M108" s="27">
        <f>IFERROR(100/'Skjema total MA'!I108*K108,0)</f>
        <v>40.458342269772061</v>
      </c>
    </row>
    <row r="109" spans="1:13" ht="15.75" x14ac:dyDescent="0.2">
      <c r="A109" s="21" t="s">
        <v>391</v>
      </c>
      <c r="B109" s="230">
        <v>102388</v>
      </c>
      <c r="C109" s="230">
        <v>96343</v>
      </c>
      <c r="D109" s="166">
        <f t="shared" si="15"/>
        <v>-5.9</v>
      </c>
      <c r="E109" s="27">
        <f>IFERROR(100/'Skjema total MA'!C109*C109,0)</f>
        <v>9.3175544537524573</v>
      </c>
      <c r="F109" s="230">
        <v>19464169</v>
      </c>
      <c r="G109" s="230">
        <v>22867597</v>
      </c>
      <c r="H109" s="166">
        <f t="shared" si="16"/>
        <v>17.5</v>
      </c>
      <c r="I109" s="27">
        <f>IFERROR(100/'Skjema total MA'!F109*G109,0)</f>
        <v>25.655151351285056</v>
      </c>
      <c r="J109" s="283">
        <f t="shared" si="23"/>
        <v>19566557</v>
      </c>
      <c r="K109" s="44">
        <f t="shared" si="23"/>
        <v>22963940</v>
      </c>
      <c r="L109" s="250">
        <f t="shared" si="18"/>
        <v>17.399999999999999</v>
      </c>
      <c r="M109" s="27">
        <f>IFERROR(100/'Skjema total MA'!I109*K109,0)</f>
        <v>25.467802312587953</v>
      </c>
    </row>
    <row r="110" spans="1:13" ht="15.75" x14ac:dyDescent="0.2">
      <c r="A110" s="21" t="s">
        <v>392</v>
      </c>
      <c r="B110" s="230"/>
      <c r="C110" s="230"/>
      <c r="D110" s="166"/>
      <c r="E110" s="27"/>
      <c r="F110" s="230"/>
      <c r="G110" s="230"/>
      <c r="H110" s="166"/>
      <c r="I110" s="27"/>
      <c r="J110" s="283"/>
      <c r="K110" s="44"/>
      <c r="L110" s="250"/>
      <c r="M110" s="27"/>
    </row>
    <row r="111" spans="1:13" ht="15.75" x14ac:dyDescent="0.2">
      <c r="A111" s="13" t="s">
        <v>372</v>
      </c>
      <c r="B111" s="300">
        <v>65193</v>
      </c>
      <c r="C111" s="159">
        <v>52024</v>
      </c>
      <c r="D111" s="171">
        <f t="shared" si="15"/>
        <v>-20.2</v>
      </c>
      <c r="E111" s="11">
        <f>IFERROR(100/'Skjema total MA'!C111*C111,0)</f>
        <v>22.837471798476379</v>
      </c>
      <c r="F111" s="300">
        <v>1069373</v>
      </c>
      <c r="G111" s="159">
        <v>1314130</v>
      </c>
      <c r="H111" s="171">
        <f t="shared" si="16"/>
        <v>22.9</v>
      </c>
      <c r="I111" s="11">
        <f>IFERROR(100/'Skjema total MA'!F111*G111,0)</f>
        <v>30.740900670453424</v>
      </c>
      <c r="J111" s="301">
        <f t="shared" si="23"/>
        <v>1134566</v>
      </c>
      <c r="K111" s="232">
        <f t="shared" si="23"/>
        <v>1366154</v>
      </c>
      <c r="L111" s="366">
        <f t="shared" si="18"/>
        <v>20.399999999999999</v>
      </c>
      <c r="M111" s="11">
        <f>IFERROR(100/'Skjema total MA'!I111*K111,0)</f>
        <v>30.341046014679911</v>
      </c>
    </row>
    <row r="112" spans="1:13" x14ac:dyDescent="0.2">
      <c r="A112" s="21" t="s">
        <v>9</v>
      </c>
      <c r="B112" s="230">
        <v>65193</v>
      </c>
      <c r="C112" s="145">
        <v>52024</v>
      </c>
      <c r="D112" s="166">
        <f t="shared" ref="D112:D124" si="28">IF(B112=0, "    ---- ", IF(ABS(ROUND(100/B112*C112-100,1))&lt;999,ROUND(100/B112*C112-100,1),IF(ROUND(100/B112*C112-100,1)&gt;999,999,-999)))</f>
        <v>-20.2</v>
      </c>
      <c r="E112" s="27">
        <f>IFERROR(100/'Skjema total MA'!C112*C112,0)</f>
        <v>25.290722686042884</v>
      </c>
      <c r="F112" s="230"/>
      <c r="G112" s="145"/>
      <c r="H112" s="166"/>
      <c r="I112" s="27"/>
      <c r="J112" s="283">
        <f t="shared" ref="J112:K124" si="29">SUM(B112,F112)</f>
        <v>65193</v>
      </c>
      <c r="K112" s="44">
        <f t="shared" si="29"/>
        <v>52024</v>
      </c>
      <c r="L112" s="250">
        <f t="shared" ref="L112:L124" si="30">IF(J112=0, "    ---- ", IF(ABS(ROUND(100/J112*K112-100,1))&lt;999,ROUND(100/J112*K112-100,1),IF(ROUND(100/J112*K112-100,1)&gt;999,999,-999)))</f>
        <v>-20.2</v>
      </c>
      <c r="M112" s="27">
        <f>IFERROR(100/'Skjema total MA'!I112*K112,0)</f>
        <v>25.176454829306323</v>
      </c>
    </row>
    <row r="113" spans="1:14" x14ac:dyDescent="0.2">
      <c r="A113" s="21" t="s">
        <v>10</v>
      </c>
      <c r="B113" s="230"/>
      <c r="C113" s="145"/>
      <c r="D113" s="166"/>
      <c r="E113" s="27"/>
      <c r="F113" s="230">
        <v>1069373</v>
      </c>
      <c r="G113" s="145">
        <v>1314130</v>
      </c>
      <c r="H113" s="166">
        <f t="shared" ref="H113:H121" si="31">IF(F113=0, "    ---- ", IF(ABS(ROUND(100/F113*G113-100,1))&lt;999,ROUND(100/F113*G113-100,1),IF(ROUND(100/F113*G113-100,1)&gt;999,999,-999)))</f>
        <v>22.9</v>
      </c>
      <c r="I113" s="27">
        <f>IFERROR(100/'Skjema total MA'!F113*G113,0)</f>
        <v>30.943273353808831</v>
      </c>
      <c r="J113" s="283">
        <f t="shared" si="29"/>
        <v>1069373</v>
      </c>
      <c r="K113" s="44">
        <f t="shared" si="29"/>
        <v>1314130</v>
      </c>
      <c r="L113" s="250">
        <f t="shared" si="30"/>
        <v>22.9</v>
      </c>
      <c r="M113" s="27">
        <f>IFERROR(100/'Skjema total MA'!I113*K113,0)</f>
        <v>30.941322460225802</v>
      </c>
    </row>
    <row r="114" spans="1:14" x14ac:dyDescent="0.2">
      <c r="A114" s="21" t="s">
        <v>26</v>
      </c>
      <c r="B114" s="230"/>
      <c r="C114" s="145"/>
      <c r="D114" s="166"/>
      <c r="E114" s="27"/>
      <c r="F114" s="230"/>
      <c r="G114" s="145"/>
      <c r="H114" s="166"/>
      <c r="I114" s="27"/>
      <c r="J114" s="283"/>
      <c r="K114" s="44"/>
      <c r="L114" s="250"/>
      <c r="M114" s="27"/>
    </row>
    <row r="115" spans="1:14" x14ac:dyDescent="0.2">
      <c r="A115" s="288" t="s">
        <v>15</v>
      </c>
      <c r="B115" s="311" t="s">
        <v>414</v>
      </c>
      <c r="C115" s="311" t="s">
        <v>414</v>
      </c>
      <c r="D115" s="166"/>
      <c r="E115" s="358"/>
      <c r="F115" s="311"/>
      <c r="G115" s="311"/>
      <c r="H115" s="166"/>
      <c r="I115" s="358"/>
      <c r="J115" s="311"/>
      <c r="K115" s="311"/>
      <c r="L115" s="166"/>
      <c r="M115" s="23"/>
    </row>
    <row r="116" spans="1:14" ht="15.75" x14ac:dyDescent="0.2">
      <c r="A116" s="21" t="s">
        <v>393</v>
      </c>
      <c r="B116" s="230">
        <v>22705</v>
      </c>
      <c r="C116" s="230">
        <v>21921</v>
      </c>
      <c r="D116" s="166">
        <f t="shared" si="28"/>
        <v>-3.5</v>
      </c>
      <c r="E116" s="27">
        <f>IFERROR(100/'Skjema total MA'!C116*C116,0)</f>
        <v>65.270790521026299</v>
      </c>
      <c r="F116" s="230"/>
      <c r="G116" s="230"/>
      <c r="H116" s="166"/>
      <c r="I116" s="27"/>
      <c r="J116" s="283">
        <f t="shared" si="29"/>
        <v>22705</v>
      </c>
      <c r="K116" s="44">
        <f t="shared" si="29"/>
        <v>21921</v>
      </c>
      <c r="L116" s="250">
        <f t="shared" si="30"/>
        <v>-3.5</v>
      </c>
      <c r="M116" s="27">
        <f>IFERROR(100/'Skjema total MA'!I116*K116,0)</f>
        <v>63.505398483954551</v>
      </c>
    </row>
    <row r="117" spans="1:14" ht="15.75" x14ac:dyDescent="0.2">
      <c r="A117" s="21" t="s">
        <v>394</v>
      </c>
      <c r="B117" s="230"/>
      <c r="C117" s="230"/>
      <c r="D117" s="166"/>
      <c r="E117" s="27"/>
      <c r="F117" s="230"/>
      <c r="G117" s="230"/>
      <c r="H117" s="166"/>
      <c r="I117" s="27"/>
      <c r="J117" s="283"/>
      <c r="K117" s="44"/>
      <c r="L117" s="250"/>
      <c r="M117" s="27"/>
    </row>
    <row r="118" spans="1:14" ht="15.75" x14ac:dyDescent="0.2">
      <c r="A118" s="21" t="s">
        <v>392</v>
      </c>
      <c r="B118" s="230"/>
      <c r="C118" s="230"/>
      <c r="D118" s="166"/>
      <c r="E118" s="27"/>
      <c r="F118" s="230"/>
      <c r="G118" s="230"/>
      <c r="H118" s="166"/>
      <c r="I118" s="27"/>
      <c r="J118" s="283"/>
      <c r="K118" s="44"/>
      <c r="L118" s="250"/>
      <c r="M118" s="27"/>
    </row>
    <row r="119" spans="1:14" ht="15.75" x14ac:dyDescent="0.2">
      <c r="A119" s="13" t="s">
        <v>373</v>
      </c>
      <c r="B119" s="300">
        <v>51431</v>
      </c>
      <c r="C119" s="159">
        <v>33591</v>
      </c>
      <c r="D119" s="171">
        <f t="shared" si="28"/>
        <v>-34.700000000000003</v>
      </c>
      <c r="E119" s="11">
        <f>IFERROR(100/'Skjema total MA'!C119*C119,0)</f>
        <v>18.052480203166457</v>
      </c>
      <c r="F119" s="300">
        <v>1884478</v>
      </c>
      <c r="G119" s="159">
        <v>793972</v>
      </c>
      <c r="H119" s="171">
        <f t="shared" si="31"/>
        <v>-57.9</v>
      </c>
      <c r="I119" s="11">
        <f>IFERROR(100/'Skjema total MA'!F119*G119,0)</f>
        <v>18.172496562152276</v>
      </c>
      <c r="J119" s="301">
        <f t="shared" si="29"/>
        <v>1935909</v>
      </c>
      <c r="K119" s="232">
        <f t="shared" si="29"/>
        <v>827563</v>
      </c>
      <c r="L119" s="366">
        <f t="shared" si="30"/>
        <v>-57.3</v>
      </c>
      <c r="M119" s="11">
        <f>IFERROR(100/'Skjema total MA'!I119*K119,0)</f>
        <v>18.167594002875997</v>
      </c>
    </row>
    <row r="120" spans="1:14" x14ac:dyDescent="0.2">
      <c r="A120" s="21" t="s">
        <v>9</v>
      </c>
      <c r="B120" s="230">
        <v>51431</v>
      </c>
      <c r="C120" s="145">
        <v>33591</v>
      </c>
      <c r="D120" s="166">
        <f t="shared" si="28"/>
        <v>-34.700000000000003</v>
      </c>
      <c r="E120" s="27">
        <f>IFERROR(100/'Skjema total MA'!C120*C120,0)</f>
        <v>30.293661981305654</v>
      </c>
      <c r="F120" s="230"/>
      <c r="G120" s="145"/>
      <c r="H120" s="166"/>
      <c r="I120" s="27"/>
      <c r="J120" s="283">
        <f t="shared" si="29"/>
        <v>51431</v>
      </c>
      <c r="K120" s="44">
        <f t="shared" si="29"/>
        <v>33591</v>
      </c>
      <c r="L120" s="250">
        <f t="shared" si="30"/>
        <v>-34.700000000000003</v>
      </c>
      <c r="M120" s="27">
        <f>IFERROR(100/'Skjema total MA'!I120*K120,0)</f>
        <v>30.293661981305654</v>
      </c>
    </row>
    <row r="121" spans="1:14" x14ac:dyDescent="0.2">
      <c r="A121" s="21" t="s">
        <v>10</v>
      </c>
      <c r="B121" s="230"/>
      <c r="C121" s="145"/>
      <c r="D121" s="166"/>
      <c r="E121" s="27"/>
      <c r="F121" s="230">
        <v>1884478</v>
      </c>
      <c r="G121" s="145">
        <v>793972</v>
      </c>
      <c r="H121" s="166">
        <f t="shared" si="31"/>
        <v>-57.9</v>
      </c>
      <c r="I121" s="27">
        <f>IFERROR(100/'Skjema total MA'!F121*G121,0)</f>
        <v>18.172496562152276</v>
      </c>
      <c r="J121" s="283">
        <f t="shared" si="29"/>
        <v>1884478</v>
      </c>
      <c r="K121" s="44">
        <f t="shared" si="29"/>
        <v>793972</v>
      </c>
      <c r="L121" s="250">
        <f t="shared" si="30"/>
        <v>-57.9</v>
      </c>
      <c r="M121" s="27">
        <f>IFERROR(100/'Skjema total MA'!I121*K121,0)</f>
        <v>18.133317722621719</v>
      </c>
    </row>
    <row r="122" spans="1:14" x14ac:dyDescent="0.2">
      <c r="A122" s="21" t="s">
        <v>26</v>
      </c>
      <c r="B122" s="230"/>
      <c r="C122" s="145"/>
      <c r="D122" s="166"/>
      <c r="E122" s="27"/>
      <c r="F122" s="230"/>
      <c r="G122" s="145"/>
      <c r="H122" s="166"/>
      <c r="I122" s="27"/>
      <c r="J122" s="283"/>
      <c r="K122" s="44"/>
      <c r="L122" s="250"/>
      <c r="M122" s="27"/>
    </row>
    <row r="123" spans="1:14" x14ac:dyDescent="0.2">
      <c r="A123" s="288" t="s">
        <v>14</v>
      </c>
      <c r="B123" s="311" t="s">
        <v>414</v>
      </c>
      <c r="C123" s="311" t="s">
        <v>414</v>
      </c>
      <c r="D123" s="166"/>
      <c r="E123" s="23"/>
      <c r="F123" s="311"/>
      <c r="G123" s="311"/>
      <c r="H123" s="166"/>
      <c r="I123" s="23"/>
      <c r="J123" s="311"/>
      <c r="K123" s="311"/>
      <c r="L123" s="166"/>
      <c r="M123" s="23"/>
    </row>
    <row r="124" spans="1:14" ht="15.75" x14ac:dyDescent="0.2">
      <c r="A124" s="21" t="s">
        <v>399</v>
      </c>
      <c r="B124" s="230">
        <v>31895</v>
      </c>
      <c r="C124" s="230">
        <v>16511</v>
      </c>
      <c r="D124" s="166">
        <f t="shared" si="28"/>
        <v>-48.2</v>
      </c>
      <c r="E124" s="27">
        <f>IFERROR(100/'Skjema total MA'!C124*C124,0)</f>
        <v>95.726863215467134</v>
      </c>
      <c r="F124" s="230"/>
      <c r="G124" s="230"/>
      <c r="H124" s="166"/>
      <c r="I124" s="27"/>
      <c r="J124" s="283">
        <f t="shared" si="29"/>
        <v>31895</v>
      </c>
      <c r="K124" s="44">
        <f t="shared" si="29"/>
        <v>16511</v>
      </c>
      <c r="L124" s="250">
        <f t="shared" si="30"/>
        <v>-48.2</v>
      </c>
      <c r="M124" s="27">
        <f>IFERROR(100/'Skjema total MA'!I124*K124,0)</f>
        <v>80.341577488943003</v>
      </c>
    </row>
    <row r="125" spans="1:14" ht="15.75" x14ac:dyDescent="0.2">
      <c r="A125" s="21" t="s">
        <v>391</v>
      </c>
      <c r="B125" s="230"/>
      <c r="C125" s="230"/>
      <c r="D125" s="166"/>
      <c r="E125" s="27"/>
      <c r="F125" s="230"/>
      <c r="G125" s="230"/>
      <c r="H125" s="166"/>
      <c r="I125" s="27"/>
      <c r="J125" s="283"/>
      <c r="K125" s="44"/>
      <c r="L125" s="250"/>
      <c r="M125" s="27"/>
    </row>
    <row r="126" spans="1:14" ht="15.75" x14ac:dyDescent="0.2">
      <c r="A126" s="10" t="s">
        <v>392</v>
      </c>
      <c r="B126" s="45"/>
      <c r="C126" s="45"/>
      <c r="D126" s="167"/>
      <c r="E126" s="359"/>
      <c r="F126" s="45"/>
      <c r="G126" s="45"/>
      <c r="H126" s="167"/>
      <c r="I126" s="22"/>
      <c r="J126" s="284"/>
      <c r="K126" s="45"/>
      <c r="L126" s="251"/>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682"/>
      <c r="C130" s="682"/>
      <c r="D130" s="682"/>
      <c r="E130" s="291"/>
      <c r="F130" s="682"/>
      <c r="G130" s="682"/>
      <c r="H130" s="682"/>
      <c r="I130" s="291"/>
      <c r="J130" s="682"/>
      <c r="K130" s="682"/>
      <c r="L130" s="682"/>
      <c r="M130" s="291"/>
    </row>
    <row r="131" spans="1:14" s="3" customFormat="1" x14ac:dyDescent="0.2">
      <c r="A131" s="144"/>
      <c r="B131" s="683" t="s">
        <v>0</v>
      </c>
      <c r="C131" s="684"/>
      <c r="D131" s="684"/>
      <c r="E131" s="293"/>
      <c r="F131" s="683" t="s">
        <v>1</v>
      </c>
      <c r="G131" s="684"/>
      <c r="H131" s="684"/>
      <c r="I131" s="296"/>
      <c r="J131" s="683" t="s">
        <v>2</v>
      </c>
      <c r="K131" s="684"/>
      <c r="L131" s="684"/>
      <c r="M131" s="296"/>
      <c r="N131" s="148"/>
    </row>
    <row r="132" spans="1:14" s="3" customFormat="1" x14ac:dyDescent="0.2">
      <c r="A132" s="140"/>
      <c r="B132" s="152" t="s">
        <v>416</v>
      </c>
      <c r="C132" s="152" t="s">
        <v>417</v>
      </c>
      <c r="D132" s="241" t="s">
        <v>3</v>
      </c>
      <c r="E132" s="297" t="s">
        <v>29</v>
      </c>
      <c r="F132" s="152" t="s">
        <v>416</v>
      </c>
      <c r="G132" s="152" t="s">
        <v>417</v>
      </c>
      <c r="H132" s="203" t="s">
        <v>3</v>
      </c>
      <c r="I132" s="162" t="s">
        <v>29</v>
      </c>
      <c r="J132" s="152" t="s">
        <v>416</v>
      </c>
      <c r="K132" s="152" t="s">
        <v>417</v>
      </c>
      <c r="L132" s="242" t="s">
        <v>3</v>
      </c>
      <c r="M132" s="162" t="s">
        <v>29</v>
      </c>
      <c r="N132" s="148"/>
    </row>
    <row r="133" spans="1:14" s="3" customFormat="1" x14ac:dyDescent="0.2">
      <c r="A133" s="650"/>
      <c r="B133" s="156"/>
      <c r="C133" s="156"/>
      <c r="D133" s="242" t="s">
        <v>4</v>
      </c>
      <c r="E133" s="156" t="s">
        <v>30</v>
      </c>
      <c r="F133" s="161"/>
      <c r="G133" s="161"/>
      <c r="H133" s="203" t="s">
        <v>4</v>
      </c>
      <c r="I133" s="156" t="s">
        <v>30</v>
      </c>
      <c r="J133" s="156"/>
      <c r="K133" s="156"/>
      <c r="L133" s="150" t="s">
        <v>4</v>
      </c>
      <c r="M133" s="156" t="s">
        <v>30</v>
      </c>
      <c r="N133" s="148"/>
    </row>
    <row r="134" spans="1:14" s="3" customFormat="1" ht="15.75" x14ac:dyDescent="0.2">
      <c r="A134" s="14" t="s">
        <v>395</v>
      </c>
      <c r="B134" s="232"/>
      <c r="C134" s="301"/>
      <c r="D134" s="342"/>
      <c r="E134" s="11"/>
      <c r="F134" s="308"/>
      <c r="G134" s="309"/>
      <c r="H134" s="369"/>
      <c r="I134" s="24"/>
      <c r="J134" s="310"/>
      <c r="K134" s="310"/>
      <c r="L134" s="365"/>
      <c r="M134" s="11"/>
      <c r="N134" s="148"/>
    </row>
    <row r="135" spans="1:14" s="3" customFormat="1" ht="15.75" x14ac:dyDescent="0.2">
      <c r="A135" s="13" t="s">
        <v>400</v>
      </c>
      <c r="B135" s="232"/>
      <c r="C135" s="301"/>
      <c r="D135" s="171"/>
      <c r="E135" s="11"/>
      <c r="F135" s="232"/>
      <c r="G135" s="301"/>
      <c r="H135" s="370"/>
      <c r="I135" s="24"/>
      <c r="J135" s="300"/>
      <c r="K135" s="300"/>
      <c r="L135" s="366"/>
      <c r="M135" s="11"/>
      <c r="N135" s="148"/>
    </row>
    <row r="136" spans="1:14" s="3" customFormat="1" ht="15.75" x14ac:dyDescent="0.2">
      <c r="A136" s="13" t="s">
        <v>397</v>
      </c>
      <c r="B136" s="232"/>
      <c r="C136" s="301"/>
      <c r="D136" s="171"/>
      <c r="E136" s="11"/>
      <c r="F136" s="232"/>
      <c r="G136" s="301"/>
      <c r="H136" s="370"/>
      <c r="I136" s="24"/>
      <c r="J136" s="300"/>
      <c r="K136" s="300"/>
      <c r="L136" s="366"/>
      <c r="M136" s="11"/>
      <c r="N136" s="148"/>
    </row>
    <row r="137" spans="1:14" s="3" customFormat="1" ht="15.75" x14ac:dyDescent="0.2">
      <c r="A137" s="41" t="s">
        <v>398</v>
      </c>
      <c r="B137" s="272"/>
      <c r="C137" s="307"/>
      <c r="D137" s="169"/>
      <c r="E137" s="9"/>
      <c r="F137" s="272"/>
      <c r="G137" s="307"/>
      <c r="H137" s="371"/>
      <c r="I137" s="36"/>
      <c r="J137" s="306"/>
      <c r="K137" s="306"/>
      <c r="L137" s="367"/>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A50:A52">
    <cfRule type="expression" dxfId="168" priority="12">
      <formula>kvartal &lt; 4</formula>
    </cfRule>
  </conditionalFormatting>
  <conditionalFormatting sqref="A69:A74">
    <cfRule type="expression" dxfId="167" priority="10">
      <formula>kvartal &lt; 4</formula>
    </cfRule>
  </conditionalFormatting>
  <conditionalFormatting sqref="A80:A85">
    <cfRule type="expression" dxfId="166" priority="9">
      <formula>kvartal &lt; 4</formula>
    </cfRule>
  </conditionalFormatting>
  <conditionalFormatting sqref="A90:A95">
    <cfRule type="expression" dxfId="165" priority="6">
      <formula>kvartal &lt; 4</formula>
    </cfRule>
  </conditionalFormatting>
  <conditionalFormatting sqref="A101:A106">
    <cfRule type="expression" dxfId="164" priority="5">
      <formula>kvartal &lt; 4</formula>
    </cfRule>
  </conditionalFormatting>
  <conditionalFormatting sqref="A115">
    <cfRule type="expression" dxfId="163" priority="4">
      <formula>kvartal &lt; 4</formula>
    </cfRule>
  </conditionalFormatting>
  <conditionalFormatting sqref="A123">
    <cfRule type="expression" dxfId="162" priority="3">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B g D A A B Q S w M E F A A C A A g A r 2 z L T j h t 4 s W o A A A A + Q A A A B I A H A B D b 2 5 m a W c v U G F j a 2 F n Z S 5 4 b W w g o h g A K K A U A A A A A A A A A A A A A A A A A A A A A A A A A A A A h Y 9 N D o I w G E S v Q r q n f 0 S j 5 K M s 3 I q a m B i 3 F S s 0 Q j G 0 W O 7 m w i N 5 B U k U d e d y J m + S N 4 / b H d K + r o K r a q 1 u T I I Y p i h Q J m + O 2 h Q J 6 t w p n K F U w E b m Z 1 m o Y I C N j X u r E 1 Q 6 d 4 k J 8 d 5 j H + G m L Q i n l J F 9 t t z m p a p l q I 1 1 0 u Q K f V b H / y s k Y P e S E R x P G Z 6 w O c c s o g z I 2 E O m z Z f h g z K m Q H 5 K W H S V 6 1 o l z C F c r Y G M E c j 7 h n g C U E s D B B Q A A g A I A K 9 s y 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b M t O K I p H u A 4 A A A A R A A A A E w A c A E Z v c m 1 1 b G F z L 1 N l Y 3 R p b 2 4 x L m 0 g o h g A K K A U A A A A A A A A A A A A A A A A A A A A A A A A A A A A K 0 5 N L s n M z 1 M I h t C G 1 g B Q S w E C L Q A U A A I A C A C v b M t O O G 3 i x a g A A A D 5 A A A A E g A A A A A A A A A A A A A A A A A A A A A A Q 2 9 u Z m l n L 1 B h Y 2 t h Z 2 U u e G 1 s U E s B A i 0 A F A A C A A g A r 2 z L T g / K 6 a u k A A A A 6 Q A A A B M A A A A A A A A A A A A A A A A A 9 A A A A F t D b 2 5 0 Z W 5 0 X 1 R 5 c G V z X S 5 4 b W x Q S w E C L Q A U A A I A C A C v b M t O K I p H u A 4 A A A A R A A A A E w A A A A A A A A A A A A A A A A D l A Q A A R m 9 y b X V s Y X M v U 2 V j d G l v b j E u b V B L B Q Y A A A A A A w A D A M I A A A B A A g 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E F F c + J R i U 6 8 v E 2 W q O X u P g A A A A A C A A A A A A A D Z g A A w A A A A B A A A A C J r I 8 Y Z y O 2 w U t d B l F y r p d X A A A A A A S A A A C g A A A A E A A A A K W + j A y L d 3 / C 0 P 5 D 9 Y S v 9 A N Q A A A A Q B R Z 9 A K I r R v f W E 8 o i D 5 O o W s D V c F h f l + e T g o U s a 6 / T v 9 b g u z 5 y g 4 m t 6 O E L J n Z j y c B K 0 S y j G p i T H O W M I c m 3 h J Y W V u K Z y p 6 t j o F u q / P i M 8 4 I s A U A A A A L B 6 W h y L N 6 o s k Q t m h N a G Z e j g u V P 0 = < / 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2020-123998358-367</_dlc_DocId>
    <_dlc_DocIdUrl xmlns="6edf9311-6556-4af2-85ff-d57844cfe120">
      <Url>https://finansnorge.sharepoint.com/sites/intranett/arkiv/_layouts/15/DocIdRedir.aspx?ID=2020-123998358-367</Url>
      <Description>2020-123998358-367</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74B32113-3CC7-4AB9-92B4-4CED5E9E08C6}"/>
</file>

<file path=customXml/itemProps3.xml><?xml version="1.0" encoding="utf-8"?>
<ds:datastoreItem xmlns:ds="http://schemas.openxmlformats.org/officeDocument/2006/customXml" ds:itemID="{391C9607-4DD3-437C-B129-5B44E0032679}"/>
</file>

<file path=customXml/itemProps4.xml><?xml version="1.0" encoding="utf-8"?>
<ds:datastoreItem xmlns:ds="http://schemas.openxmlformats.org/officeDocument/2006/customXml" ds:itemID="{F3AF11DA-7575-457B-B3DA-FA2017C31C54}"/>
</file>

<file path=customXml/itemProps5.xml><?xml version="1.0" encoding="utf-8"?>
<ds:datastoreItem xmlns:ds="http://schemas.openxmlformats.org/officeDocument/2006/customXml" ds:itemID="{209BE1B6-5DFC-4FC2-8519-C5B6EBB0EF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3</vt:i4>
      </vt:variant>
    </vt:vector>
  </HeadingPairs>
  <TitlesOfParts>
    <vt:vector size="36" baseType="lpstr">
      <vt:lpstr>Forside</vt:lpstr>
      <vt:lpstr>Innhold</vt:lpstr>
      <vt:lpstr>Figurer</vt:lpstr>
      <vt:lpstr>Tabel 1.1</vt:lpstr>
      <vt:lpstr>Tabell 1.2</vt:lpstr>
      <vt:lpstr>Tabell 1.3</vt:lpstr>
      <vt:lpstr>Skjema total MA</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Landkreditt Forsikring</vt:lpstr>
      <vt:lpstr>NEMI Forsikring</vt:lpstr>
      <vt:lpstr>Nordea Liv </vt:lpstr>
      <vt:lpstr>Oslo Pensjonsforsikring</vt:lpstr>
      <vt:lpstr>Protector Forsikring</vt:lpstr>
      <vt:lpstr>SHB Liv</vt:lpstr>
      <vt:lpstr>Sparebank 1</vt:lpstr>
      <vt:lpstr>Storebrand Livsforsikring</vt:lpstr>
      <vt:lpstr>Telenor Forsikring</vt:lpstr>
      <vt:lpstr>Tryg Forsikring</vt:lpstr>
      <vt:lpstr>Tabell 4</vt:lpstr>
      <vt:lpstr>Tabell 6</vt:lpstr>
      <vt:lpstr>Tabell 8</vt:lpstr>
      <vt:lpstr>Noter og kommentarer</vt:lpstr>
      <vt:lpstr>'NEMI 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2020-01-28T12:03:53Z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dd37ac41-faf2-4de3-81cd-2ea3b9a60324</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