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olors6.xml" ContentType="application/vnd.ms-office.chartcolorstyl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style6.xml" ContentType="application/vnd.ms-office.chartstyle+xml"/>
  <Override PartName="/xl/charts/chart6.xml" ContentType="application/vnd.openxmlformats-officedocument.drawingml.chart+xml"/>
  <Override PartName="/xl/charts/colors5.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2.xml" ContentType="application/vnd.ms-office.chartcolorstyle+xml"/>
  <Override PartName="/xl/worksheets/sheet1.xml" ContentType="application/vnd.openxmlformats-officedocument.spreadsheetml.worksheet+xml"/>
  <Override PartName="/xl/charts/chart2.xml" ContentType="application/vnd.openxmlformats-officedocument.drawingml.char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charts/style2.xml" ContentType="application/vnd.ms-office.chartstyle+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onnections.xml" ContentType="application/vnd.openxmlformats-officedocument.spreadsheetml.connection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xl/tables/table4.xml" ContentType="application/vnd.openxmlformats-officedocument.spreadsheetml.table+xml"/>
  <Override PartName="/xl/tables/table3.xml" ContentType="application/vnd.openxmlformats-officedocument.spreadsheetml.table+xml"/>
  <Override PartName="/xl/externalLinks/externalLink1.xml" ContentType="application/vnd.openxmlformats-officedocument.spreadsheetml.externalLink+xml"/>
  <Override PartName="/xl/tables/table1.xml" ContentType="application/vnd.openxmlformats-officedocument.spreadsheetml.table+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O:\SFA\Statistikk og analyse\Livstatistikk\Faste statistikker\MA\2018\Q1\Publisert\"/>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parebank 1" sheetId="33" r:id="rId26"/>
    <sheet name="Storebrand Livsforsikring" sheetId="37" r:id="rId27"/>
    <sheet name="Telenor Forsikring" sheetId="38" r:id="rId28"/>
    <sheet name="Tryg Forsikring" sheetId="39" r:id="rId29"/>
    <sheet name="Tabell 4" sheetId="65" r:id="rId30"/>
    <sheet name="Tabell 6" sheetId="62" r:id="rId31"/>
    <sheet name="Tabell 8" sheetId="66" r:id="rId32"/>
    <sheet name="Noter og kommentarer" sheetId="3" r:id="rId33"/>
    <sheet name="Oppslag" sheetId="12" state="hidden" r:id="rId34"/>
  </sheets>
  <externalReferences>
    <externalReference r:id="rId35"/>
    <externalReference r:id="rId36"/>
  </externalReferences>
  <definedNames>
    <definedName name="Dag" localSheetId="29">#REF!</definedName>
    <definedName name="Dag" localSheetId="31">#REF!</definedName>
    <definedName name="Dag">Oppslag!$B$4</definedName>
    <definedName name="Dager" localSheetId="29">#REF!</definedName>
    <definedName name="Dager" localSheetId="31">#REF!</definedName>
    <definedName name="Dager">Tabell2[#All]</definedName>
    <definedName name="Feilmelding">Oppslag!$B$5</definedName>
    <definedName name="FilNavn">[1]Oppslagstabeller!$N$5</definedName>
    <definedName name="Fjorårstall">#REF!</definedName>
    <definedName name="Koder2a">[2]!Tabell2[#All]</definedName>
    <definedName name="Kvartal" localSheetId="29">[2]Oppslag!$B$2</definedName>
    <definedName name="Kvartal" localSheetId="31">[2]Oppslag!$B$2</definedName>
    <definedName name="kvartal">Oppslag!$B$2</definedName>
    <definedName name="Måned" localSheetId="29">#REF!</definedName>
    <definedName name="Måned" localSheetId="31">#REF!</definedName>
    <definedName name="Måned">Oppslag!$B$3</definedName>
    <definedName name="OppslagsKolonneDataVerdi" localSheetId="29">#REF!</definedName>
    <definedName name="OppslagsKolonneDataVerdi" localSheetId="31">#REF!</definedName>
    <definedName name="OppslagsKolonneDataVerdi">Oppslag!$B$6</definedName>
    <definedName name="OppslagsKolonneSelskapNavn" localSheetId="29">#REF!</definedName>
    <definedName name="OppslagsKolonneSelskapNavn" localSheetId="31">#REF!</definedName>
    <definedName name="OppslagsKolonneSelskapNavn">Oppslag!$B$7</definedName>
    <definedName name="Selskap">[1]Oppslagstabeller!$N$4</definedName>
    <definedName name="SelskapKolonneIndeks">[1]!Tabell3[#All]</definedName>
    <definedName name="SelskapListe" localSheetId="29">#REF!</definedName>
    <definedName name="SelskapListe" localSheetId="31">#REF!</definedName>
    <definedName name="SelskapListe">Tabell1[#All]</definedName>
    <definedName name="Selskapsliste">[1]Oppslagstabeller!$A$1:$G$36</definedName>
    <definedName name="UtfylteTall" localSheetId="29">#REF!</definedName>
    <definedName name="UtfylteTall" localSheetId="31">#REF!</definedName>
    <definedName name="UtfylteTall">#REF!</definedName>
    <definedName name="_xlnm.Print_Area" localSheetId="7">'ACE European Group'!$A$1:$M$137</definedName>
    <definedName name="_xlnm.Print_Area" localSheetId="21">'NEMI Forsikring'!$A$1:$M$137</definedName>
    <definedName name="_xlnm.Print_Area" localSheetId="32">'Noter og kommentarer'!$A$1:$L$43</definedName>
    <definedName name="_xlnm.Print_Area" localSheetId="6">'Skjema total MA'!$A$1:$J$138</definedName>
    <definedName name="_xlnm.Print_Area" localSheetId="31">'Tabell 8'!$A$2:$AH$52</definedName>
    <definedName name="_xlnm.Print_Titles" localSheetId="31">'Tabell 8'!$A:$A</definedName>
    <definedName name="år">Oppslag!$A$2</definedName>
    <definedName name="ÅrFratrekk" localSheetId="29">#REF!</definedName>
    <definedName name="ÅrFratrekk" localSheetId="31">#REF!</definedName>
    <definedName name="ÅrFratrekk">Tabell4[#All]</definedName>
  </definedNames>
  <calcPr calcId="171027"/>
</workbook>
</file>

<file path=xl/calcChain.xml><?xml version="1.0" encoding="utf-8"?>
<calcChain xmlns="http://schemas.openxmlformats.org/spreadsheetml/2006/main">
  <c r="H60" i="9" l="1"/>
  <c r="H61" i="9"/>
  <c r="K33" i="18" l="1"/>
  <c r="L33" i="18"/>
  <c r="K32" i="18"/>
  <c r="K31" i="18"/>
  <c r="K30" i="18"/>
  <c r="L32" i="18"/>
  <c r="L31" i="18"/>
  <c r="L30" i="18"/>
  <c r="H33" i="18"/>
  <c r="H32" i="18"/>
  <c r="H31" i="18"/>
  <c r="H30" i="18"/>
  <c r="I33" i="18"/>
  <c r="I32" i="18"/>
  <c r="I31" i="18"/>
  <c r="I30" i="18"/>
  <c r="G114" i="4" l="1"/>
  <c r="C16" i="58" l="1"/>
  <c r="B8" i="58"/>
  <c r="G24" i="10"/>
  <c r="F24" i="10"/>
  <c r="C24" i="10"/>
  <c r="C25" i="10"/>
  <c r="B24" i="10"/>
  <c r="G14" i="10"/>
  <c r="F14" i="10"/>
  <c r="B14" i="10"/>
  <c r="C14" i="10"/>
  <c r="E35" i="4" l="1"/>
  <c r="F35" i="4"/>
  <c r="E36" i="4"/>
  <c r="F36" i="4"/>
  <c r="E37" i="4"/>
  <c r="F37" i="4"/>
  <c r="E38" i="4"/>
  <c r="F38" i="4"/>
  <c r="E39" i="4"/>
  <c r="F39" i="4"/>
  <c r="F34" i="4"/>
  <c r="E34" i="4"/>
  <c r="F29" i="4"/>
  <c r="E29" i="4"/>
  <c r="E32" i="4"/>
  <c r="F32" i="4"/>
  <c r="E33" i="4"/>
  <c r="F33" i="4"/>
  <c r="F31" i="4"/>
  <c r="E31" i="4"/>
  <c r="F30" i="4"/>
  <c r="E30" i="4"/>
  <c r="E24" i="4"/>
  <c r="F24" i="4"/>
  <c r="E25" i="4"/>
  <c r="F25" i="4"/>
  <c r="E26" i="4"/>
  <c r="F26" i="4"/>
  <c r="E27" i="4"/>
  <c r="F27" i="4"/>
  <c r="E28" i="4"/>
  <c r="F28" i="4"/>
  <c r="F23" i="4"/>
  <c r="E23" i="4"/>
  <c r="F22" i="4"/>
  <c r="E22" i="4"/>
  <c r="E135" i="4"/>
  <c r="G135" i="4" s="1"/>
  <c r="F135" i="4"/>
  <c r="E136" i="4"/>
  <c r="F136" i="4"/>
  <c r="G136" i="4" s="1"/>
  <c r="E137" i="4"/>
  <c r="F137" i="4"/>
  <c r="F134" i="4"/>
  <c r="G134" i="4" s="1"/>
  <c r="E134" i="4"/>
  <c r="D137" i="4"/>
  <c r="L22" i="20"/>
  <c r="E66" i="4"/>
  <c r="F125" i="4"/>
  <c r="E125" i="4"/>
  <c r="F124" i="4"/>
  <c r="E124" i="4"/>
  <c r="F122" i="4"/>
  <c r="E122" i="4"/>
  <c r="F118" i="4"/>
  <c r="E118" i="4"/>
  <c r="F121" i="4"/>
  <c r="E121" i="4"/>
  <c r="F120" i="4"/>
  <c r="E120" i="4"/>
  <c r="F117" i="4"/>
  <c r="E117" i="4"/>
  <c r="F116" i="4"/>
  <c r="E116" i="4"/>
  <c r="F119" i="4"/>
  <c r="E119" i="4"/>
  <c r="F114" i="4"/>
  <c r="E114" i="4"/>
  <c r="F113" i="4"/>
  <c r="E113" i="4"/>
  <c r="F112" i="4"/>
  <c r="E112" i="4"/>
  <c r="F110" i="4"/>
  <c r="E110" i="4"/>
  <c r="F109" i="4"/>
  <c r="E109" i="4"/>
  <c r="F108" i="4"/>
  <c r="E108" i="4"/>
  <c r="F107" i="4"/>
  <c r="E107" i="4"/>
  <c r="E115" i="4"/>
  <c r="F115" i="4"/>
  <c r="F100" i="4"/>
  <c r="E100" i="4"/>
  <c r="F99" i="4"/>
  <c r="E99" i="4"/>
  <c r="F98" i="4"/>
  <c r="E98" i="4"/>
  <c r="F97" i="4"/>
  <c r="E97" i="4"/>
  <c r="F96" i="4"/>
  <c r="E96" i="4"/>
  <c r="F89" i="4"/>
  <c r="E89" i="4"/>
  <c r="F88" i="4"/>
  <c r="E88" i="4"/>
  <c r="F86" i="4"/>
  <c r="E86" i="4"/>
  <c r="F79" i="4"/>
  <c r="E79" i="4"/>
  <c r="E77" i="4"/>
  <c r="F78" i="4"/>
  <c r="E78" i="4"/>
  <c r="F77" i="4"/>
  <c r="F76" i="4"/>
  <c r="E76" i="4"/>
  <c r="F75" i="4"/>
  <c r="E75" i="4"/>
  <c r="E68" i="4"/>
  <c r="F68" i="4"/>
  <c r="F67" i="4"/>
  <c r="E67" i="4"/>
  <c r="F66" i="4"/>
  <c r="E123" i="4"/>
  <c r="E90" i="4"/>
  <c r="L9" i="16"/>
  <c r="L8" i="16"/>
  <c r="L9" i="18"/>
  <c r="L8" i="18"/>
  <c r="L9" i="13"/>
  <c r="L8" i="13"/>
  <c r="L9" i="19"/>
  <c r="L8" i="19"/>
  <c r="L9" i="22"/>
  <c r="L8" i="22"/>
  <c r="L9" i="24"/>
  <c r="L8" i="24"/>
  <c r="L9" i="25"/>
  <c r="L8" i="25"/>
  <c r="L9" i="51"/>
  <c r="L8" i="51"/>
  <c r="L9" i="29"/>
  <c r="L8" i="29"/>
  <c r="L9" i="33"/>
  <c r="L8" i="33"/>
  <c r="L9" i="37"/>
  <c r="L8" i="37"/>
  <c r="L9" i="20"/>
  <c r="L8" i="20"/>
  <c r="D68" i="62" l="1"/>
  <c r="G68" i="62"/>
  <c r="J68" i="62"/>
  <c r="M68" i="62"/>
  <c r="P68" i="62"/>
  <c r="S68" i="62"/>
  <c r="V68" i="62"/>
  <c r="Y68" i="62"/>
  <c r="AB68" i="62"/>
  <c r="AE68" i="62"/>
  <c r="AH68" i="62"/>
  <c r="AK68" i="62"/>
  <c r="AL68" i="62"/>
  <c r="AN68" i="62" s="1"/>
  <c r="AM68" i="62"/>
  <c r="AO68" i="62"/>
  <c r="AQ68" i="62" s="1"/>
  <c r="AP68" i="62"/>
  <c r="K33" i="16" l="1"/>
  <c r="D31" i="13"/>
  <c r="H32" i="20"/>
  <c r="D31" i="24"/>
  <c r="K31" i="24"/>
  <c r="H31" i="35"/>
  <c r="H33" i="35"/>
  <c r="H32" i="33"/>
  <c r="H31" i="37"/>
  <c r="D31" i="29"/>
  <c r="H33" i="29"/>
  <c r="L23" i="23"/>
  <c r="H25" i="33"/>
  <c r="H23" i="37"/>
  <c r="D24" i="29"/>
  <c r="D25" i="29"/>
  <c r="H25" i="29"/>
  <c r="K23" i="35" l="1"/>
  <c r="L23" i="13"/>
  <c r="L23" i="18"/>
  <c r="K26" i="29"/>
  <c r="K24" i="29"/>
  <c r="K26" i="37"/>
  <c r="K26" i="20"/>
  <c r="B24" i="4"/>
  <c r="D24" i="4" s="1"/>
  <c r="K24" i="24"/>
  <c r="K26" i="18"/>
  <c r="K27" i="16"/>
  <c r="C27" i="4"/>
  <c r="C26" i="4"/>
  <c r="C25" i="4"/>
  <c r="C30" i="4"/>
  <c r="L25" i="33"/>
  <c r="L24" i="33"/>
  <c r="J24" i="16"/>
  <c r="B23" i="4"/>
  <c r="K23" i="29"/>
  <c r="K25" i="37"/>
  <c r="H26" i="33"/>
  <c r="K25" i="33"/>
  <c r="K24" i="33"/>
  <c r="D24" i="24"/>
  <c r="L26" i="23"/>
  <c r="L25" i="13"/>
  <c r="K23" i="13"/>
  <c r="B27" i="4"/>
  <c r="B26" i="4"/>
  <c r="B25" i="4"/>
  <c r="C24" i="4"/>
  <c r="K23" i="16"/>
  <c r="C23" i="4"/>
  <c r="H30" i="29"/>
  <c r="H30" i="37"/>
  <c r="H30" i="33"/>
  <c r="H30" i="35"/>
  <c r="K33" i="29"/>
  <c r="L33" i="37"/>
  <c r="K32" i="13"/>
  <c r="C33" i="4"/>
  <c r="K32" i="16"/>
  <c r="C32" i="4"/>
  <c r="C31" i="4"/>
  <c r="B33" i="4"/>
  <c r="B32" i="4"/>
  <c r="D32" i="4" s="1"/>
  <c r="B31" i="4"/>
  <c r="D31" i="4" s="1"/>
  <c r="H24" i="37"/>
  <c r="D23" i="37"/>
  <c r="H26" i="23"/>
  <c r="H25" i="18"/>
  <c r="D30" i="29"/>
  <c r="D30" i="37"/>
  <c r="D30" i="33"/>
  <c r="D30" i="13"/>
  <c r="B30" i="4"/>
  <c r="D30" i="4" s="1"/>
  <c r="K24" i="37"/>
  <c r="L26" i="29"/>
  <c r="L24" i="29"/>
  <c r="L26" i="37"/>
  <c r="L25" i="37"/>
  <c r="K23" i="37"/>
  <c r="K26" i="35"/>
  <c r="J26" i="16"/>
  <c r="K24" i="16"/>
  <c r="D30" i="16"/>
  <c r="K33" i="37"/>
  <c r="K31" i="37"/>
  <c r="K32" i="33"/>
  <c r="K33" i="35"/>
  <c r="L32" i="20"/>
  <c r="K31" i="13"/>
  <c r="J32" i="16"/>
  <c r="L32" i="16" s="1"/>
  <c r="K23" i="20"/>
  <c r="K25" i="13"/>
  <c r="K24" i="13"/>
  <c r="L26" i="18"/>
  <c r="K25" i="16"/>
  <c r="K30" i="33"/>
  <c r="K30" i="35"/>
  <c r="K30" i="13"/>
  <c r="K30" i="16"/>
  <c r="K32" i="29"/>
  <c r="H23" i="33"/>
  <c r="L23" i="33"/>
  <c r="H32" i="37"/>
  <c r="L25" i="29"/>
  <c r="H23" i="29"/>
  <c r="L23" i="29"/>
  <c r="L26" i="33"/>
  <c r="H23" i="23"/>
  <c r="K33" i="33"/>
  <c r="H33" i="33"/>
  <c r="H26" i="37"/>
  <c r="H25" i="37"/>
  <c r="L23" i="37"/>
  <c r="K26" i="33"/>
  <c r="K25" i="23"/>
  <c r="L32" i="29"/>
  <c r="D32" i="29"/>
  <c r="K31" i="35"/>
  <c r="H31" i="13"/>
  <c r="L31" i="13"/>
  <c r="D24" i="37"/>
  <c r="L24" i="37"/>
  <c r="H24" i="33"/>
  <c r="K23" i="33"/>
  <c r="H26" i="35"/>
  <c r="K23" i="23"/>
  <c r="H25" i="20"/>
  <c r="L25" i="20"/>
  <c r="H31" i="29"/>
  <c r="L31" i="29"/>
  <c r="K23" i="18"/>
  <c r="K32" i="37"/>
  <c r="K31" i="33"/>
  <c r="K33" i="20"/>
  <c r="K31" i="16"/>
  <c r="K25" i="29"/>
  <c r="D23" i="29"/>
  <c r="H23" i="35"/>
  <c r="K26" i="23"/>
  <c r="H26" i="20"/>
  <c r="K25" i="20"/>
  <c r="D25" i="13"/>
  <c r="H23" i="13"/>
  <c r="K25" i="18"/>
  <c r="H23" i="18"/>
  <c r="K26" i="16"/>
  <c r="K30" i="29"/>
  <c r="K30" i="37"/>
  <c r="L33" i="33"/>
  <c r="H32" i="13"/>
  <c r="L32" i="13"/>
  <c r="H25" i="23"/>
  <c r="H25" i="13"/>
  <c r="H24" i="13"/>
  <c r="D23" i="13"/>
  <c r="H32" i="29"/>
  <c r="H33" i="37"/>
  <c r="L32" i="37"/>
  <c r="D31" i="37"/>
  <c r="L31" i="37"/>
  <c r="L32" i="33"/>
  <c r="D31" i="33"/>
  <c r="H33" i="20"/>
  <c r="H30" i="13"/>
  <c r="H30" i="16"/>
  <c r="L33" i="29"/>
  <c r="K31" i="29"/>
  <c r="H31" i="33"/>
  <c r="K32" i="20"/>
  <c r="D32" i="13"/>
  <c r="L33" i="35"/>
  <c r="L31" i="35"/>
  <c r="L31" i="33"/>
  <c r="H33" i="16"/>
  <c r="D32" i="16"/>
  <c r="H31" i="16"/>
  <c r="L31" i="24"/>
  <c r="L33" i="20"/>
  <c r="J33" i="16"/>
  <c r="L33" i="16" s="1"/>
  <c r="D33" i="16"/>
  <c r="H32" i="16"/>
  <c r="J31" i="16"/>
  <c r="L31" i="16" s="1"/>
  <c r="D31" i="16"/>
  <c r="L30" i="29"/>
  <c r="L30" i="37"/>
  <c r="L30" i="33"/>
  <c r="L30" i="35"/>
  <c r="L30" i="13"/>
  <c r="J30" i="16"/>
  <c r="L30" i="16" s="1"/>
  <c r="H26" i="29"/>
  <c r="L23" i="35"/>
  <c r="L26" i="35"/>
  <c r="L24" i="24"/>
  <c r="L25" i="23"/>
  <c r="L26" i="20"/>
  <c r="L24" i="13"/>
  <c r="H26" i="18"/>
  <c r="L25" i="18"/>
  <c r="H27" i="16"/>
  <c r="D26" i="16"/>
  <c r="H25" i="16"/>
  <c r="L24" i="16"/>
  <c r="D24" i="16"/>
  <c r="H23" i="16"/>
  <c r="D25" i="20"/>
  <c r="D23" i="20"/>
  <c r="J27" i="16"/>
  <c r="D27" i="16"/>
  <c r="H26" i="16"/>
  <c r="J25" i="16"/>
  <c r="D25" i="16"/>
  <c r="H24" i="16"/>
  <c r="J23" i="16"/>
  <c r="D23" i="16"/>
  <c r="I25" i="4" l="1"/>
  <c r="I32" i="4"/>
  <c r="I31" i="4"/>
  <c r="L27" i="16"/>
  <c r="I24" i="4"/>
  <c r="L25" i="16"/>
  <c r="L26" i="16"/>
  <c r="D25" i="4"/>
  <c r="L23" i="20"/>
  <c r="I27" i="4"/>
  <c r="I23" i="4"/>
  <c r="D23" i="4"/>
  <c r="I30" i="4"/>
  <c r="I26" i="4"/>
  <c r="L23" i="16"/>
  <c r="I33" i="4"/>
  <c r="AK53" i="62"/>
  <c r="AK78" i="62"/>
  <c r="AH78" i="62"/>
  <c r="AH58" i="62"/>
  <c r="AB21" i="62"/>
  <c r="V78" i="62"/>
  <c r="V59" i="62"/>
  <c r="V25" i="62"/>
  <c r="V19" i="62"/>
  <c r="S52" i="62"/>
  <c r="S78" i="62"/>
  <c r="S82" i="62"/>
  <c r="S84" i="62"/>
  <c r="P73" i="62"/>
  <c r="M25" i="62"/>
  <c r="M46" i="62"/>
  <c r="M71" i="62"/>
  <c r="M76" i="62"/>
  <c r="M78" i="62"/>
  <c r="J70" i="62"/>
  <c r="J36" i="62"/>
  <c r="J17" i="62"/>
  <c r="G17" i="62"/>
  <c r="G18" i="62"/>
  <c r="G19" i="62"/>
  <c r="G38" i="62"/>
  <c r="D70" i="62"/>
  <c r="AD29" i="65" l="1"/>
  <c r="AB33" i="65"/>
  <c r="AB27" i="65"/>
  <c r="AB13" i="65"/>
  <c r="AB12" i="65"/>
  <c r="V31" i="65"/>
  <c r="S42" i="65"/>
  <c r="P44" i="65"/>
  <c r="P23" i="65"/>
  <c r="M17" i="65"/>
  <c r="M26" i="65"/>
  <c r="L40" i="65"/>
  <c r="J30" i="65"/>
  <c r="AK61" i="62"/>
  <c r="AB76" i="62"/>
  <c r="AB77" i="62"/>
  <c r="AB78" i="62"/>
  <c r="Y33" i="62"/>
  <c r="V44" i="62"/>
  <c r="Q79" i="62"/>
  <c r="Q91" i="62" s="1"/>
  <c r="AL91" i="62" s="1"/>
  <c r="Q29" i="62"/>
  <c r="Q64" i="62" s="1"/>
  <c r="AO64" i="62" l="1"/>
  <c r="AL64" i="62"/>
  <c r="M34" i="62"/>
  <c r="M40" i="62"/>
  <c r="AF18" i="66"/>
  <c r="AE18" i="66"/>
  <c r="AB18" i="66"/>
  <c r="X18" i="66"/>
  <c r="AG18" i="66" s="1"/>
  <c r="V18" i="66"/>
  <c r="S18" i="66"/>
  <c r="P18" i="66"/>
  <c r="G18" i="66"/>
  <c r="AG16" i="66"/>
  <c r="AF16" i="66"/>
  <c r="AE16" i="66"/>
  <c r="AB16" i="66"/>
  <c r="Y16" i="66"/>
  <c r="V16" i="66"/>
  <c r="S16" i="66"/>
  <c r="P16" i="66"/>
  <c r="M16" i="66"/>
  <c r="G16" i="66"/>
  <c r="D16" i="66"/>
  <c r="AF14" i="66"/>
  <c r="AE14" i="66"/>
  <c r="AB14" i="66"/>
  <c r="X14" i="66"/>
  <c r="V14" i="66"/>
  <c r="S14" i="66"/>
  <c r="P14" i="66"/>
  <c r="M14" i="66"/>
  <c r="J14" i="66"/>
  <c r="G14" i="66"/>
  <c r="AG12" i="66"/>
  <c r="AF12" i="66"/>
  <c r="AE12" i="66"/>
  <c r="AB12" i="66"/>
  <c r="Y12" i="66"/>
  <c r="V12" i="66"/>
  <c r="S12" i="66"/>
  <c r="P12" i="66"/>
  <c r="M12" i="66"/>
  <c r="G12" i="66"/>
  <c r="D12" i="66"/>
  <c r="AG11" i="66"/>
  <c r="AF11" i="66"/>
  <c r="AE11" i="66"/>
  <c r="AB11" i="66"/>
  <c r="Y11" i="66"/>
  <c r="V11" i="66"/>
  <c r="S11" i="66"/>
  <c r="P11" i="66"/>
  <c r="M11" i="66"/>
  <c r="G11" i="66"/>
  <c r="D11" i="66"/>
  <c r="AL45" i="65"/>
  <c r="Y45" i="65"/>
  <c r="AM44" i="65"/>
  <c r="AL44" i="65"/>
  <c r="AK44" i="65"/>
  <c r="G44" i="65"/>
  <c r="AL43" i="65"/>
  <c r="Y43" i="65"/>
  <c r="AM42" i="65"/>
  <c r="AL42" i="65"/>
  <c r="AK42" i="65"/>
  <c r="AH42" i="65"/>
  <c r="AB42" i="65"/>
  <c r="M42" i="65"/>
  <c r="J42" i="65"/>
  <c r="G42" i="65"/>
  <c r="D42" i="65"/>
  <c r="AL41" i="65"/>
  <c r="Y41" i="65"/>
  <c r="AL40" i="65"/>
  <c r="AJ40" i="65"/>
  <c r="AK40" i="65" s="1"/>
  <c r="AG40" i="65"/>
  <c r="AH40" i="65" s="1"/>
  <c r="AD40" i="65"/>
  <c r="AA40" i="65"/>
  <c r="AB40" i="65" s="1"/>
  <c r="Y40" i="65"/>
  <c r="U40" i="65"/>
  <c r="V40" i="65" s="1"/>
  <c r="R40" i="65"/>
  <c r="S40" i="65" s="1"/>
  <c r="O40" i="65"/>
  <c r="P40" i="65" s="1"/>
  <c r="M40" i="65"/>
  <c r="I40" i="65"/>
  <c r="J40" i="65" s="1"/>
  <c r="F40" i="65"/>
  <c r="G40" i="65" s="1"/>
  <c r="D40" i="65"/>
  <c r="C40" i="65"/>
  <c r="AM39" i="65"/>
  <c r="AL39" i="65"/>
  <c r="AK39" i="65"/>
  <c r="AH39" i="65"/>
  <c r="AB39" i="65"/>
  <c r="Y39" i="65"/>
  <c r="V39" i="65"/>
  <c r="S39" i="65"/>
  <c r="M39" i="65"/>
  <c r="G39" i="65"/>
  <c r="AM38" i="65"/>
  <c r="AL38" i="65"/>
  <c r="AK38" i="65"/>
  <c r="AH38" i="65"/>
  <c r="AB38" i="65"/>
  <c r="Y38" i="65"/>
  <c r="V38" i="65"/>
  <c r="S38" i="65"/>
  <c r="J38" i="65"/>
  <c r="G38" i="65"/>
  <c r="AM37" i="65"/>
  <c r="AL37" i="65"/>
  <c r="AK37" i="65"/>
  <c r="AH37" i="65"/>
  <c r="AB37" i="65"/>
  <c r="Y37" i="65"/>
  <c r="V37" i="65"/>
  <c r="S37" i="65"/>
  <c r="P37" i="65"/>
  <c r="M37" i="65"/>
  <c r="J37" i="65"/>
  <c r="G37" i="65"/>
  <c r="D37" i="65"/>
  <c r="AL34" i="65"/>
  <c r="Y34" i="65"/>
  <c r="AM33" i="65"/>
  <c r="AL33" i="65"/>
  <c r="AK33" i="65"/>
  <c r="AH33" i="65"/>
  <c r="Y33" i="65"/>
  <c r="V33" i="65"/>
  <c r="S33" i="65"/>
  <c r="G33" i="65"/>
  <c r="AM32" i="65"/>
  <c r="AL32" i="65"/>
  <c r="AK32" i="65"/>
  <c r="AH32" i="65"/>
  <c r="Y32" i="65"/>
  <c r="V32" i="65"/>
  <c r="S32" i="65"/>
  <c r="P32" i="65"/>
  <c r="M32" i="65"/>
  <c r="J32" i="65"/>
  <c r="G32" i="65"/>
  <c r="D32" i="65"/>
  <c r="AM31" i="65"/>
  <c r="AL31" i="65"/>
  <c r="AK31" i="65"/>
  <c r="AH31" i="65"/>
  <c r="AB31" i="65"/>
  <c r="Y31" i="65"/>
  <c r="S31" i="65"/>
  <c r="M31" i="65"/>
  <c r="G31" i="65"/>
  <c r="D31" i="65"/>
  <c r="AM30" i="65"/>
  <c r="AL30" i="65"/>
  <c r="AK30" i="65"/>
  <c r="AH30" i="65"/>
  <c r="AE30" i="65"/>
  <c r="Y30" i="65"/>
  <c r="V30" i="65"/>
  <c r="S30" i="65"/>
  <c r="M30" i="65"/>
  <c r="G30" i="65"/>
  <c r="D30" i="65"/>
  <c r="AL29" i="65"/>
  <c r="AJ29" i="65"/>
  <c r="AG29" i="65"/>
  <c r="AA29" i="65"/>
  <c r="Y29" i="65"/>
  <c r="U29" i="65"/>
  <c r="R29" i="65"/>
  <c r="O29" i="65"/>
  <c r="L29" i="65"/>
  <c r="I29" i="65"/>
  <c r="F29" i="65"/>
  <c r="AM28" i="65"/>
  <c r="AL28" i="65"/>
  <c r="AK28" i="65"/>
  <c r="Y28" i="65"/>
  <c r="G28" i="65"/>
  <c r="AM27" i="65"/>
  <c r="AL27" i="65"/>
  <c r="AK27" i="65"/>
  <c r="J27" i="65"/>
  <c r="G27" i="65"/>
  <c r="D27" i="65"/>
  <c r="AM26" i="65"/>
  <c r="AL26" i="65"/>
  <c r="AK26" i="65"/>
  <c r="AH26" i="65"/>
  <c r="AB26" i="65"/>
  <c r="Y26" i="65"/>
  <c r="V26" i="65"/>
  <c r="S26" i="65"/>
  <c r="G26" i="65"/>
  <c r="AM25" i="65"/>
  <c r="AL25" i="65"/>
  <c r="AK25" i="65"/>
  <c r="AH25" i="65"/>
  <c r="AB25" i="65"/>
  <c r="Y25" i="65"/>
  <c r="V25" i="65"/>
  <c r="S25" i="65"/>
  <c r="M25" i="65"/>
  <c r="G25" i="65"/>
  <c r="D25" i="65"/>
  <c r="AM24" i="65"/>
  <c r="AL24" i="65"/>
  <c r="AK24" i="65"/>
  <c r="AH24" i="65"/>
  <c r="Y24" i="65"/>
  <c r="M24" i="65"/>
  <c r="G24" i="65"/>
  <c r="AL23" i="65"/>
  <c r="AK23" i="65"/>
  <c r="AH23" i="65"/>
  <c r="AB23" i="65"/>
  <c r="Y23" i="65"/>
  <c r="V23" i="65"/>
  <c r="S23" i="65"/>
  <c r="M23" i="65"/>
  <c r="J23" i="65"/>
  <c r="G23" i="65"/>
  <c r="C23" i="65"/>
  <c r="D23" i="65" s="1"/>
  <c r="AO21" i="65"/>
  <c r="AL21" i="65"/>
  <c r="AG21" i="65"/>
  <c r="AD21" i="65"/>
  <c r="AA21" i="65"/>
  <c r="Y21" i="65"/>
  <c r="U21" i="65"/>
  <c r="R21" i="65"/>
  <c r="O21" i="65"/>
  <c r="L21" i="65"/>
  <c r="I21" i="65"/>
  <c r="F21" i="65"/>
  <c r="AP20" i="65"/>
  <c r="AO20" i="65"/>
  <c r="AM20" i="65"/>
  <c r="AL20" i="65"/>
  <c r="AK20" i="65"/>
  <c r="AH20" i="65"/>
  <c r="AE20" i="65"/>
  <c r="Y20" i="65"/>
  <c r="V20" i="65"/>
  <c r="S20" i="65"/>
  <c r="M20" i="65"/>
  <c r="J20" i="65"/>
  <c r="G20" i="65"/>
  <c r="D20" i="65"/>
  <c r="AO19" i="65"/>
  <c r="AL19" i="65"/>
  <c r="AJ19" i="65"/>
  <c r="AK19" i="65" s="1"/>
  <c r="AH19" i="65"/>
  <c r="AE19" i="65"/>
  <c r="AB19" i="65"/>
  <c r="Y19" i="65"/>
  <c r="V19" i="65"/>
  <c r="S19" i="65"/>
  <c r="P19" i="65"/>
  <c r="M19" i="65"/>
  <c r="J19" i="65"/>
  <c r="G19" i="65"/>
  <c r="C19" i="65"/>
  <c r="AP17" i="65"/>
  <c r="AO17" i="65"/>
  <c r="AM17" i="65"/>
  <c r="AL17" i="65"/>
  <c r="AK17" i="65"/>
  <c r="AH17" i="65"/>
  <c r="AB17" i="65"/>
  <c r="Y17" i="65"/>
  <c r="V17" i="65"/>
  <c r="S17" i="65"/>
  <c r="J17" i="65"/>
  <c r="G17" i="65"/>
  <c r="AP16" i="65"/>
  <c r="AO16" i="65"/>
  <c r="AM16" i="65"/>
  <c r="AL16" i="65"/>
  <c r="AK16" i="65"/>
  <c r="AH16" i="65"/>
  <c r="AE16" i="65"/>
  <c r="Y16" i="65"/>
  <c r="V16" i="65"/>
  <c r="S16" i="65"/>
  <c r="M16" i="65"/>
  <c r="J16" i="65"/>
  <c r="G16" i="65"/>
  <c r="D16" i="65"/>
  <c r="AP15" i="65"/>
  <c r="AO15" i="65"/>
  <c r="AM15" i="65"/>
  <c r="AL15" i="65"/>
  <c r="AK15" i="65"/>
  <c r="AH15" i="65"/>
  <c r="AB15" i="65"/>
  <c r="Y15" i="65"/>
  <c r="V15" i="65"/>
  <c r="S15" i="65"/>
  <c r="M15" i="65"/>
  <c r="J15" i="65"/>
  <c r="G15" i="65"/>
  <c r="D15" i="65"/>
  <c r="AO14" i="65"/>
  <c r="AL14" i="65"/>
  <c r="AJ14" i="65"/>
  <c r="AG14" i="65"/>
  <c r="AD14" i="65"/>
  <c r="AA14" i="65"/>
  <c r="Y14" i="65"/>
  <c r="U14" i="65"/>
  <c r="R14" i="65"/>
  <c r="O14" i="65"/>
  <c r="L14" i="65"/>
  <c r="I14" i="65"/>
  <c r="F14" i="65"/>
  <c r="AP13" i="65"/>
  <c r="AO13" i="65"/>
  <c r="AM13" i="65"/>
  <c r="AL13" i="65"/>
  <c r="AK13" i="65"/>
  <c r="AH13" i="65"/>
  <c r="AE13" i="65"/>
  <c r="Y13" i="65"/>
  <c r="V13" i="65"/>
  <c r="S13" i="65"/>
  <c r="M13" i="65"/>
  <c r="J13" i="65"/>
  <c r="G13" i="65"/>
  <c r="D13" i="65"/>
  <c r="AP12" i="65"/>
  <c r="AO12" i="65"/>
  <c r="AM12" i="65"/>
  <c r="AL12" i="65"/>
  <c r="AK12" i="65"/>
  <c r="AH12" i="65"/>
  <c r="Y12" i="65"/>
  <c r="M12" i="65"/>
  <c r="J12" i="65"/>
  <c r="G12" i="65"/>
  <c r="D12" i="65"/>
  <c r="AO11" i="65"/>
  <c r="AL11" i="65"/>
  <c r="AK11" i="65"/>
  <c r="AH11" i="65"/>
  <c r="AE11" i="65"/>
  <c r="AB11" i="65"/>
  <c r="Y11" i="65"/>
  <c r="V11" i="65"/>
  <c r="S11" i="65"/>
  <c r="P11" i="65"/>
  <c r="M11" i="65"/>
  <c r="J11" i="65"/>
  <c r="G11" i="65"/>
  <c r="C11" i="65"/>
  <c r="AM11" i="65" s="1"/>
  <c r="M14" i="65" l="1"/>
  <c r="AK14" i="65"/>
  <c r="S29" i="65"/>
  <c r="AQ20" i="65"/>
  <c r="AH12" i="66"/>
  <c r="S14" i="65"/>
  <c r="AE14" i="65"/>
  <c r="M29" i="65"/>
  <c r="AQ15" i="65"/>
  <c r="S21" i="65"/>
  <c r="AE21" i="65"/>
  <c r="AN24" i="65"/>
  <c r="I34" i="65"/>
  <c r="AN27" i="65"/>
  <c r="J29" i="65"/>
  <c r="AP19" i="65"/>
  <c r="AQ19" i="65" s="1"/>
  <c r="M21" i="65"/>
  <c r="AH21" i="65"/>
  <c r="AQ13" i="65"/>
  <c r="AN13" i="65"/>
  <c r="AN17" i="65"/>
  <c r="AM19" i="65"/>
  <c r="AN19" i="65" s="1"/>
  <c r="AB29" i="65"/>
  <c r="AN42" i="65"/>
  <c r="AH11" i="66"/>
  <c r="AH18" i="66"/>
  <c r="AN37" i="65"/>
  <c r="AN31" i="65"/>
  <c r="AN32" i="65"/>
  <c r="F34" i="65"/>
  <c r="AQ16" i="65"/>
  <c r="AQ17" i="65"/>
  <c r="G21" i="65"/>
  <c r="AN12" i="65"/>
  <c r="AN15" i="65"/>
  <c r="AN25" i="65"/>
  <c r="P29" i="65"/>
  <c r="AN38" i="65"/>
  <c r="AH16" i="66"/>
  <c r="AJ21" i="65"/>
  <c r="AN26" i="65"/>
  <c r="AQ12" i="65"/>
  <c r="G14" i="65"/>
  <c r="AN20" i="65"/>
  <c r="C21" i="65"/>
  <c r="G29" i="65"/>
  <c r="AN30" i="65"/>
  <c r="AG14" i="66"/>
  <c r="AH14" i="66" s="1"/>
  <c r="AN28" i="65"/>
  <c r="AN44" i="65"/>
  <c r="Y14" i="66"/>
  <c r="Y18" i="66"/>
  <c r="P14" i="65"/>
  <c r="AP11" i="65"/>
  <c r="AQ11" i="65" s="1"/>
  <c r="J14" i="65"/>
  <c r="AA34" i="65"/>
  <c r="AG34" i="65"/>
  <c r="AB21" i="65"/>
  <c r="AK29" i="65"/>
  <c r="R34" i="65"/>
  <c r="AM40" i="65"/>
  <c r="AN40" i="65" s="1"/>
  <c r="I41" i="65"/>
  <c r="D11" i="65"/>
  <c r="AN11" i="65"/>
  <c r="C14" i="65"/>
  <c r="AB14" i="65"/>
  <c r="AH14" i="65"/>
  <c r="J21" i="65"/>
  <c r="P21" i="65"/>
  <c r="V21" i="65"/>
  <c r="V29" i="65"/>
  <c r="L34" i="65"/>
  <c r="U34" i="65"/>
  <c r="AD34" i="65"/>
  <c r="V14" i="65"/>
  <c r="AN16" i="65"/>
  <c r="D19" i="65"/>
  <c r="AM23" i="65"/>
  <c r="AN23" i="65" s="1"/>
  <c r="C29" i="65"/>
  <c r="AH29" i="65"/>
  <c r="AN33" i="65"/>
  <c r="O34" i="65"/>
  <c r="AN39" i="65"/>
  <c r="F41" i="65" l="1"/>
  <c r="AK21" i="65"/>
  <c r="J34" i="65"/>
  <c r="AM21" i="65"/>
  <c r="D21" i="65"/>
  <c r="G34" i="65"/>
  <c r="AJ34" i="65"/>
  <c r="AP21" i="65"/>
  <c r="AE34" i="65"/>
  <c r="AD41" i="65"/>
  <c r="D14" i="65"/>
  <c r="AM14" i="65"/>
  <c r="C34" i="65"/>
  <c r="AP14" i="65"/>
  <c r="L41" i="65"/>
  <c r="M34" i="65"/>
  <c r="AG41" i="65"/>
  <c r="AH34" i="65"/>
  <c r="AJ41" i="65"/>
  <c r="AK34" i="65"/>
  <c r="F43" i="65"/>
  <c r="G41" i="65"/>
  <c r="O41" i="65"/>
  <c r="P34" i="65"/>
  <c r="R41" i="65"/>
  <c r="S34" i="65"/>
  <c r="AA41" i="65"/>
  <c r="AB34" i="65"/>
  <c r="AM29" i="65"/>
  <c r="D29" i="65"/>
  <c r="U41" i="65"/>
  <c r="V34" i="65"/>
  <c r="I43" i="65"/>
  <c r="J41" i="65"/>
  <c r="AN21" i="65" l="1"/>
  <c r="AQ21" i="65"/>
  <c r="I45" i="65"/>
  <c r="J43" i="65"/>
  <c r="O43" i="65"/>
  <c r="P41" i="65"/>
  <c r="AB41" i="65"/>
  <c r="AA43" i="65"/>
  <c r="R43" i="65"/>
  <c r="S41" i="65"/>
  <c r="AH41" i="65"/>
  <c r="AG43" i="65"/>
  <c r="L43" i="65"/>
  <c r="M41" i="65"/>
  <c r="AN14" i="65"/>
  <c r="F45" i="65"/>
  <c r="G43" i="65"/>
  <c r="AQ14" i="65"/>
  <c r="U43" i="65"/>
  <c r="V41" i="65"/>
  <c r="AN29" i="65"/>
  <c r="AE41" i="65"/>
  <c r="AD43" i="65"/>
  <c r="AK41" i="65"/>
  <c r="AJ43" i="65"/>
  <c r="C41" i="65"/>
  <c r="D34" i="65"/>
  <c r="AM34" i="65"/>
  <c r="J45" i="65" l="1"/>
  <c r="C43" i="65"/>
  <c r="D41" i="65"/>
  <c r="AM41" i="65"/>
  <c r="AN41" i="65" s="1"/>
  <c r="AD45" i="65"/>
  <c r="AE43" i="65"/>
  <c r="U45" i="65"/>
  <c r="V43" i="65"/>
  <c r="G45" i="65"/>
  <c r="L45" i="65"/>
  <c r="M43" i="65"/>
  <c r="R45" i="65"/>
  <c r="S43" i="65"/>
  <c r="O45" i="65"/>
  <c r="P43" i="65"/>
  <c r="AN34" i="65"/>
  <c r="AJ45" i="65"/>
  <c r="AK43" i="65"/>
  <c r="AH43" i="65"/>
  <c r="AG45" i="65"/>
  <c r="AB43" i="65"/>
  <c r="AA45" i="65"/>
  <c r="AH45" i="65" l="1"/>
  <c r="C45" i="65"/>
  <c r="AM43" i="65"/>
  <c r="AN43" i="65" s="1"/>
  <c r="D43" i="65"/>
  <c r="AB45" i="65"/>
  <c r="AK45" i="65"/>
  <c r="P45" i="65"/>
  <c r="M45" i="65"/>
  <c r="V45" i="65"/>
  <c r="S45" i="65"/>
  <c r="AE45" i="65"/>
  <c r="AM45" i="65" l="1"/>
  <c r="D45" i="65"/>
  <c r="AN45" i="65" l="1"/>
  <c r="AO91" i="62" l="1"/>
  <c r="AP89" i="62"/>
  <c r="AO89" i="62"/>
  <c r="AM89" i="62"/>
  <c r="AL89" i="62"/>
  <c r="AK89" i="62"/>
  <c r="AH89" i="62"/>
  <c r="AB89" i="62"/>
  <c r="Y89" i="62"/>
  <c r="V89" i="62"/>
  <c r="S89" i="62"/>
  <c r="P89" i="62"/>
  <c r="M89" i="62"/>
  <c r="J89" i="62"/>
  <c r="G89" i="62"/>
  <c r="D89" i="62"/>
  <c r="AP88" i="62"/>
  <c r="AO88" i="62"/>
  <c r="AM88" i="62"/>
  <c r="AL88" i="62"/>
  <c r="AK88" i="62"/>
  <c r="AH88" i="62"/>
  <c r="AE88" i="62"/>
  <c r="AB88" i="62"/>
  <c r="Y88" i="62"/>
  <c r="V88" i="62"/>
  <c r="S88" i="62"/>
  <c r="P88" i="62"/>
  <c r="M88" i="62"/>
  <c r="G88" i="62"/>
  <c r="D88" i="62"/>
  <c r="AP87" i="62"/>
  <c r="AO87" i="62"/>
  <c r="AM87" i="62"/>
  <c r="AL87" i="62"/>
  <c r="AH87" i="62"/>
  <c r="AP86" i="62"/>
  <c r="AO86" i="62"/>
  <c r="AM86" i="62"/>
  <c r="AL86" i="62"/>
  <c r="AK86" i="62"/>
  <c r="AH86" i="62"/>
  <c r="AB86" i="62"/>
  <c r="Y86" i="62"/>
  <c r="V86" i="62"/>
  <c r="S86" i="62"/>
  <c r="M86" i="62"/>
  <c r="J86" i="62"/>
  <c r="G86" i="62"/>
  <c r="D86" i="62"/>
  <c r="AO85" i="62"/>
  <c r="AL85" i="62"/>
  <c r="AJ85" i="62"/>
  <c r="AG85" i="62"/>
  <c r="AH85" i="62" s="1"/>
  <c r="AD85" i="62"/>
  <c r="X85" i="62"/>
  <c r="U85" i="62"/>
  <c r="R85" i="62"/>
  <c r="L85" i="62"/>
  <c r="I85" i="62"/>
  <c r="J85" i="62" s="1"/>
  <c r="F85" i="62"/>
  <c r="C85" i="62"/>
  <c r="AP84" i="62"/>
  <c r="AO84" i="62"/>
  <c r="AM84" i="62"/>
  <c r="AL84" i="62"/>
  <c r="AP83" i="62"/>
  <c r="AO83" i="62"/>
  <c r="AM83" i="62"/>
  <c r="AL83" i="62"/>
  <c r="AH83" i="62"/>
  <c r="V83" i="62"/>
  <c r="S83" i="62"/>
  <c r="M83" i="62"/>
  <c r="G83" i="62"/>
  <c r="D83" i="62"/>
  <c r="AP82" i="62"/>
  <c r="AO82" i="62"/>
  <c r="AM82" i="62"/>
  <c r="AL82" i="62"/>
  <c r="AP81" i="62"/>
  <c r="AO81" i="62"/>
  <c r="AM81" i="62"/>
  <c r="AL81" i="62"/>
  <c r="AK81" i="62"/>
  <c r="AH81" i="62"/>
  <c r="AE81" i="62"/>
  <c r="Y81" i="62"/>
  <c r="V81" i="62"/>
  <c r="S81" i="62"/>
  <c r="M81" i="62"/>
  <c r="J81" i="62"/>
  <c r="G81" i="62"/>
  <c r="D81" i="62"/>
  <c r="AO79" i="62"/>
  <c r="AL79" i="62"/>
  <c r="AJ79" i="62"/>
  <c r="AG79" i="62"/>
  <c r="AD79" i="62"/>
  <c r="AA79" i="62"/>
  <c r="X79" i="62"/>
  <c r="U79" i="62"/>
  <c r="R79" i="62"/>
  <c r="O79" i="62"/>
  <c r="L79" i="62"/>
  <c r="I79" i="62"/>
  <c r="F79" i="62"/>
  <c r="C79" i="62"/>
  <c r="AP78" i="62"/>
  <c r="AO78" i="62"/>
  <c r="AM78" i="62"/>
  <c r="AL78" i="62"/>
  <c r="AP77" i="62"/>
  <c r="AO77" i="62"/>
  <c r="AM77" i="62"/>
  <c r="AL77" i="62"/>
  <c r="AK77" i="62"/>
  <c r="Y77" i="62"/>
  <c r="J77" i="62"/>
  <c r="G77" i="62"/>
  <c r="D77" i="62"/>
  <c r="AP76" i="62"/>
  <c r="AO76" i="62"/>
  <c r="AM76" i="62"/>
  <c r="AL76" i="62"/>
  <c r="AK76" i="62"/>
  <c r="AH76" i="62"/>
  <c r="Y76" i="62"/>
  <c r="V76" i="62"/>
  <c r="S76" i="62"/>
  <c r="G76" i="62"/>
  <c r="D76" i="62"/>
  <c r="AP75" i="62"/>
  <c r="AO75" i="62"/>
  <c r="AM75" i="62"/>
  <c r="AL75" i="62"/>
  <c r="AK75" i="62"/>
  <c r="AH75" i="62"/>
  <c r="AB75" i="62"/>
  <c r="Y75" i="62"/>
  <c r="V75" i="62"/>
  <c r="S75" i="62"/>
  <c r="M75" i="62"/>
  <c r="G75" i="62"/>
  <c r="D75" i="62"/>
  <c r="AP74" i="62"/>
  <c r="AO74" i="62"/>
  <c r="AM74" i="62"/>
  <c r="AL74" i="62"/>
  <c r="AK74" i="62"/>
  <c r="AH74" i="62"/>
  <c r="AB74" i="62"/>
  <c r="Y74" i="62"/>
  <c r="V74" i="62"/>
  <c r="S74" i="62"/>
  <c r="M74" i="62"/>
  <c r="J74" i="62"/>
  <c r="G74" i="62"/>
  <c r="D74" i="62"/>
  <c r="AP73" i="62"/>
  <c r="AO73" i="62"/>
  <c r="AM73" i="62"/>
  <c r="AL73" i="62"/>
  <c r="AK73" i="62"/>
  <c r="AH73" i="62"/>
  <c r="AB73" i="62"/>
  <c r="Y73" i="62"/>
  <c r="V73" i="62"/>
  <c r="S73" i="62"/>
  <c r="M73" i="62"/>
  <c r="J73" i="62"/>
  <c r="G73" i="62"/>
  <c r="D73" i="62"/>
  <c r="AP71" i="62"/>
  <c r="AO71" i="62"/>
  <c r="AM71" i="62"/>
  <c r="AL71" i="62"/>
  <c r="AK71" i="62"/>
  <c r="AH71" i="62"/>
  <c r="AB71" i="62"/>
  <c r="Y71" i="62"/>
  <c r="S71" i="62"/>
  <c r="G71" i="62"/>
  <c r="AP70" i="62"/>
  <c r="AO70" i="62"/>
  <c r="AM70" i="62"/>
  <c r="AL70" i="62"/>
  <c r="AK70" i="62"/>
  <c r="AH70" i="62"/>
  <c r="Y70" i="62"/>
  <c r="V70" i="62"/>
  <c r="S70" i="62"/>
  <c r="G70" i="62"/>
  <c r="AP69" i="62"/>
  <c r="AO69" i="62"/>
  <c r="AM69" i="62"/>
  <c r="AL69" i="62"/>
  <c r="AK69" i="62"/>
  <c r="AH69" i="62"/>
  <c r="AE69" i="62"/>
  <c r="AB69" i="62"/>
  <c r="Y69" i="62"/>
  <c r="V69" i="62"/>
  <c r="S69" i="62"/>
  <c r="P69" i="62"/>
  <c r="M69" i="62"/>
  <c r="J69" i="62"/>
  <c r="G69" i="62"/>
  <c r="D69" i="62"/>
  <c r="AO62" i="62"/>
  <c r="AL62" i="62"/>
  <c r="AP61" i="62"/>
  <c r="AO61" i="62"/>
  <c r="AQ61" i="62" s="1"/>
  <c r="AM61" i="62"/>
  <c r="AL61" i="62"/>
  <c r="AN61" i="62" s="1"/>
  <c r="AO60" i="62"/>
  <c r="AL60" i="62"/>
  <c r="AP59" i="62"/>
  <c r="AO59" i="62"/>
  <c r="AM59" i="62"/>
  <c r="AL59" i="62"/>
  <c r="AH59" i="62"/>
  <c r="Y59" i="62"/>
  <c r="S59" i="62"/>
  <c r="M59" i="62"/>
  <c r="J59" i="62"/>
  <c r="D59" i="62"/>
  <c r="AP58" i="62"/>
  <c r="AO58" i="62"/>
  <c r="AM58" i="62"/>
  <c r="AL58" i="62"/>
  <c r="AK58" i="62"/>
  <c r="S58" i="62"/>
  <c r="AP57" i="62"/>
  <c r="AO57" i="62"/>
  <c r="AM57" i="62"/>
  <c r="AL57" i="62"/>
  <c r="V57" i="62"/>
  <c r="S57" i="62"/>
  <c r="M57" i="62"/>
  <c r="G57" i="62"/>
  <c r="AP56" i="62"/>
  <c r="AO56" i="62"/>
  <c r="AM56" i="62"/>
  <c r="AL56" i="62"/>
  <c r="AK56" i="62"/>
  <c r="AH56" i="62"/>
  <c r="S56" i="62"/>
  <c r="M56" i="62"/>
  <c r="G56" i="62"/>
  <c r="D56" i="62"/>
  <c r="AP55" i="62"/>
  <c r="AO55" i="62"/>
  <c r="AM55" i="62"/>
  <c r="AL55" i="62"/>
  <c r="AK55" i="62"/>
  <c r="AH55" i="62"/>
  <c r="AE55" i="62"/>
  <c r="Y55" i="62"/>
  <c r="V55" i="62"/>
  <c r="S55" i="62"/>
  <c r="M55" i="62"/>
  <c r="J55" i="62"/>
  <c r="G55" i="62"/>
  <c r="D55" i="62"/>
  <c r="AO54" i="62"/>
  <c r="AL54" i="62"/>
  <c r="AJ54" i="62"/>
  <c r="AG54" i="62"/>
  <c r="AD54" i="62"/>
  <c r="X54" i="62"/>
  <c r="U54" i="62"/>
  <c r="R54" i="62"/>
  <c r="L54" i="62"/>
  <c r="I54" i="62"/>
  <c r="F54" i="62"/>
  <c r="C54" i="62"/>
  <c r="C60" i="62" s="1"/>
  <c r="AP53" i="62"/>
  <c r="AO53" i="62"/>
  <c r="AM53" i="62"/>
  <c r="AL53" i="62"/>
  <c r="S53" i="62"/>
  <c r="AP52" i="62"/>
  <c r="AO52" i="62"/>
  <c r="AM52" i="62"/>
  <c r="AL52" i="62"/>
  <c r="AP51" i="62"/>
  <c r="AO51" i="62"/>
  <c r="AM51" i="62"/>
  <c r="AL51" i="62"/>
  <c r="S51" i="62"/>
  <c r="AO50" i="62"/>
  <c r="AL50" i="62"/>
  <c r="AJ50" i="62"/>
  <c r="R50" i="62"/>
  <c r="AP49" i="62"/>
  <c r="AO49" i="62"/>
  <c r="AM49" i="62"/>
  <c r="AL49" i="62"/>
  <c r="AK49" i="62"/>
  <c r="S49" i="62"/>
  <c r="AP48" i="62"/>
  <c r="AO48" i="62"/>
  <c r="AM48" i="62"/>
  <c r="AL48" i="62"/>
  <c r="AN48" i="62" s="1"/>
  <c r="AP46" i="62"/>
  <c r="AO46" i="62"/>
  <c r="AM46" i="62"/>
  <c r="AL46" i="62"/>
  <c r="AH46" i="62"/>
  <c r="Y46" i="62"/>
  <c r="J46" i="62"/>
  <c r="D46" i="62"/>
  <c r="AO45" i="62"/>
  <c r="AL45" i="62"/>
  <c r="AP44" i="62"/>
  <c r="AO44" i="62"/>
  <c r="AM44" i="62"/>
  <c r="AL44" i="62"/>
  <c r="AH44" i="62"/>
  <c r="AB44" i="62"/>
  <c r="Y44" i="62"/>
  <c r="S44" i="62"/>
  <c r="M44" i="62"/>
  <c r="J44" i="62"/>
  <c r="G44" i="62"/>
  <c r="D44" i="62"/>
  <c r="AP43" i="62"/>
  <c r="AO43" i="62"/>
  <c r="AM43" i="62"/>
  <c r="AL43" i="62"/>
  <c r="AK43" i="62"/>
  <c r="AH43" i="62"/>
  <c r="AB43" i="62"/>
  <c r="Y43" i="62"/>
  <c r="S43" i="62"/>
  <c r="G43" i="62"/>
  <c r="D43" i="62"/>
  <c r="AP42" i="62"/>
  <c r="AO42" i="62"/>
  <c r="AM42" i="62"/>
  <c r="AL42" i="62"/>
  <c r="AB42" i="62"/>
  <c r="V42" i="62"/>
  <c r="S42" i="62"/>
  <c r="M42" i="62"/>
  <c r="G42" i="62"/>
  <c r="AP41" i="62"/>
  <c r="AO41" i="62"/>
  <c r="AM41" i="62"/>
  <c r="AL41" i="62"/>
  <c r="AK41" i="62"/>
  <c r="AH41" i="62"/>
  <c r="AB41" i="62"/>
  <c r="Y41" i="62"/>
  <c r="V41" i="62"/>
  <c r="S41" i="62"/>
  <c r="M41" i="62"/>
  <c r="J41" i="62"/>
  <c r="G41" i="62"/>
  <c r="D41" i="62"/>
  <c r="AP40" i="62"/>
  <c r="AO40" i="62"/>
  <c r="AM40" i="62"/>
  <c r="AL40" i="62"/>
  <c r="AK40" i="62"/>
  <c r="AH40" i="62"/>
  <c r="AB40" i="62"/>
  <c r="Y40" i="62"/>
  <c r="V40" i="62"/>
  <c r="S40" i="62"/>
  <c r="J40" i="62"/>
  <c r="G40" i="62"/>
  <c r="D40" i="62"/>
  <c r="AO39" i="62"/>
  <c r="AL39" i="62"/>
  <c r="AJ39" i="62"/>
  <c r="AG39" i="62"/>
  <c r="AA39" i="62"/>
  <c r="X39" i="62"/>
  <c r="U39" i="62"/>
  <c r="R39" i="62"/>
  <c r="L39" i="62"/>
  <c r="I39" i="62"/>
  <c r="F39" i="62"/>
  <c r="C39" i="62"/>
  <c r="AP38" i="62"/>
  <c r="AO38" i="62"/>
  <c r="AM38" i="62"/>
  <c r="AL38" i="62"/>
  <c r="AK38" i="62"/>
  <c r="AH38" i="62"/>
  <c r="AB38" i="62"/>
  <c r="Y38" i="62"/>
  <c r="V38" i="62"/>
  <c r="S38" i="62"/>
  <c r="M38" i="62"/>
  <c r="AP37" i="62"/>
  <c r="AO37" i="62"/>
  <c r="AM37" i="62"/>
  <c r="AL37" i="62"/>
  <c r="AK37" i="62"/>
  <c r="AH37" i="62"/>
  <c r="Y37" i="62"/>
  <c r="S37" i="62"/>
  <c r="M37" i="62"/>
  <c r="G37" i="62"/>
  <c r="AP36" i="62"/>
  <c r="AO36" i="62"/>
  <c r="AM36" i="62"/>
  <c r="AL36" i="62"/>
  <c r="AK36" i="62"/>
  <c r="AH36" i="62"/>
  <c r="AB36" i="62"/>
  <c r="Y36" i="62"/>
  <c r="V36" i="62"/>
  <c r="S36" i="62"/>
  <c r="M36" i="62"/>
  <c r="G36" i="62"/>
  <c r="AO35" i="62"/>
  <c r="AL35" i="62"/>
  <c r="AJ35" i="62"/>
  <c r="AG35" i="62"/>
  <c r="AA35" i="62"/>
  <c r="X35" i="62"/>
  <c r="U35" i="62"/>
  <c r="R35" i="62"/>
  <c r="L35" i="62"/>
  <c r="I35" i="62"/>
  <c r="F35" i="62"/>
  <c r="G35" i="62" s="1"/>
  <c r="AP34" i="62"/>
  <c r="AO34" i="62"/>
  <c r="AM34" i="62"/>
  <c r="AL34" i="62"/>
  <c r="AK34" i="62"/>
  <c r="AH34" i="62"/>
  <c r="AB34" i="62"/>
  <c r="Y34" i="62"/>
  <c r="V34" i="62"/>
  <c r="S34" i="62"/>
  <c r="G34" i="62"/>
  <c r="AP33" i="62"/>
  <c r="AO33" i="62"/>
  <c r="AM33" i="62"/>
  <c r="AL33" i="62"/>
  <c r="AH33" i="62"/>
  <c r="G33" i="62"/>
  <c r="AO29" i="62"/>
  <c r="AL29" i="62"/>
  <c r="AP28" i="62"/>
  <c r="AO28" i="62"/>
  <c r="AM28" i="62"/>
  <c r="AL28" i="62"/>
  <c r="AK28" i="62"/>
  <c r="AH28" i="62"/>
  <c r="AE28" i="62"/>
  <c r="AB28" i="62"/>
  <c r="Y28" i="62"/>
  <c r="V28" i="62"/>
  <c r="S28" i="62"/>
  <c r="P28" i="62"/>
  <c r="M28" i="62"/>
  <c r="J28" i="62"/>
  <c r="G28" i="62"/>
  <c r="D28" i="62"/>
  <c r="AO27" i="62"/>
  <c r="AL27" i="62"/>
  <c r="AP26" i="62"/>
  <c r="AO26" i="62"/>
  <c r="AQ26" i="62" s="1"/>
  <c r="AM26" i="62"/>
  <c r="AL26" i="62"/>
  <c r="AN26" i="62" s="1"/>
  <c r="AP25" i="62"/>
  <c r="AO25" i="62"/>
  <c r="AM25" i="62"/>
  <c r="AL25" i="62"/>
  <c r="AH25" i="62"/>
  <c r="S25" i="62"/>
  <c r="J25" i="62"/>
  <c r="G25" i="62"/>
  <c r="AP24" i="62"/>
  <c r="AO24" i="62"/>
  <c r="AM24" i="62"/>
  <c r="AL24" i="62"/>
  <c r="AK24" i="62"/>
  <c r="AB24" i="62"/>
  <c r="S24" i="62"/>
  <c r="AP23" i="62"/>
  <c r="AO23" i="62"/>
  <c r="AM23" i="62"/>
  <c r="AL23" i="62"/>
  <c r="Y23" i="62"/>
  <c r="V23" i="62"/>
  <c r="S23" i="62"/>
  <c r="G23" i="62"/>
  <c r="AP22" i="62"/>
  <c r="AO22" i="62"/>
  <c r="AM22" i="62"/>
  <c r="AL22" i="62"/>
  <c r="AK22" i="62"/>
  <c r="AH22" i="62"/>
  <c r="AB22" i="62"/>
  <c r="Y22" i="62"/>
  <c r="V22" i="62"/>
  <c r="S22" i="62"/>
  <c r="M22" i="62"/>
  <c r="J22" i="62"/>
  <c r="G22" i="62"/>
  <c r="D22" i="62"/>
  <c r="AP21" i="62"/>
  <c r="AO21" i="62"/>
  <c r="AM21" i="62"/>
  <c r="AL21" i="62"/>
  <c r="AK21" i="62"/>
  <c r="AH21" i="62"/>
  <c r="Y21" i="62"/>
  <c r="V21" i="62"/>
  <c r="S21" i="62"/>
  <c r="M21" i="62"/>
  <c r="J21" i="62"/>
  <c r="G21" i="62"/>
  <c r="D21" i="62"/>
  <c r="AO20" i="62"/>
  <c r="AL20" i="62"/>
  <c r="AJ20" i="62"/>
  <c r="AK20" i="62" s="1"/>
  <c r="AG20" i="62"/>
  <c r="AH20" i="62" s="1"/>
  <c r="AA20" i="62"/>
  <c r="AB20" i="62" s="1"/>
  <c r="X20" i="62"/>
  <c r="Y20" i="62" s="1"/>
  <c r="U20" i="62"/>
  <c r="V20" i="62" s="1"/>
  <c r="R20" i="62"/>
  <c r="S20" i="62" s="1"/>
  <c r="L20" i="62"/>
  <c r="M20" i="62" s="1"/>
  <c r="I20" i="62"/>
  <c r="J20" i="62" s="1"/>
  <c r="F20" i="62"/>
  <c r="G20" i="62" s="1"/>
  <c r="C20" i="62"/>
  <c r="AP19" i="62"/>
  <c r="AO19" i="62"/>
  <c r="AM19" i="62"/>
  <c r="AL19" i="62"/>
  <c r="AK19" i="62"/>
  <c r="AH19" i="62"/>
  <c r="AB19" i="62"/>
  <c r="S19" i="62"/>
  <c r="AP18" i="62"/>
  <c r="AO18" i="62"/>
  <c r="AM18" i="62"/>
  <c r="AL18" i="62"/>
  <c r="AH18" i="62"/>
  <c r="S18" i="62"/>
  <c r="AP17" i="62"/>
  <c r="AO17" i="62"/>
  <c r="AM17" i="62"/>
  <c r="AL17" i="62"/>
  <c r="AH17" i="62"/>
  <c r="AB17" i="62"/>
  <c r="S17" i="62"/>
  <c r="AO16" i="62"/>
  <c r="AL16" i="62"/>
  <c r="AJ16" i="62"/>
  <c r="AG16" i="62"/>
  <c r="AH16" i="62" s="1"/>
  <c r="AA16" i="62"/>
  <c r="AA27" i="62" s="1"/>
  <c r="U16" i="62"/>
  <c r="V16" i="62" s="1"/>
  <c r="R16" i="62"/>
  <c r="R27" i="62" s="1"/>
  <c r="R29" i="62" s="1"/>
  <c r="L27" i="62"/>
  <c r="I16" i="62"/>
  <c r="J16" i="62" s="1"/>
  <c r="F16" i="62"/>
  <c r="G16" i="62" s="1"/>
  <c r="C27" i="62"/>
  <c r="AP15" i="62"/>
  <c r="AO15" i="62"/>
  <c r="AM15" i="62"/>
  <c r="AL15" i="62"/>
  <c r="AK15" i="62"/>
  <c r="AH15" i="62"/>
  <c r="AB15" i="62"/>
  <c r="S15" i="62"/>
  <c r="G15" i="62"/>
  <c r="AP14" i="62"/>
  <c r="AO14" i="62"/>
  <c r="AM14" i="62"/>
  <c r="AL14" i="62"/>
  <c r="AH14" i="62"/>
  <c r="S14" i="62"/>
  <c r="AQ73" i="62" l="1"/>
  <c r="I91" i="62"/>
  <c r="U91" i="62"/>
  <c r="AQ24" i="62"/>
  <c r="AN52" i="62"/>
  <c r="AA45" i="62"/>
  <c r="B11" i="58"/>
  <c r="F11" i="58"/>
  <c r="C11" i="58"/>
  <c r="B12" i="58"/>
  <c r="F12" i="58"/>
  <c r="AJ27" i="62"/>
  <c r="AJ29" i="62" s="1"/>
  <c r="F14" i="58"/>
  <c r="B14" i="58"/>
  <c r="AQ21" i="62"/>
  <c r="C9" i="58"/>
  <c r="C22" i="58"/>
  <c r="B21" i="58"/>
  <c r="F21" i="58"/>
  <c r="C17" i="58"/>
  <c r="AQ46" i="62"/>
  <c r="C27" i="58"/>
  <c r="AK50" i="62"/>
  <c r="C29" i="58"/>
  <c r="C25" i="58"/>
  <c r="C14" i="58"/>
  <c r="F20" i="58"/>
  <c r="B20" i="58"/>
  <c r="J35" i="62"/>
  <c r="B18" i="58"/>
  <c r="F18" i="58"/>
  <c r="C21" i="58"/>
  <c r="B28" i="58"/>
  <c r="F28" i="58"/>
  <c r="F10" i="58"/>
  <c r="B10" i="58"/>
  <c r="F13" i="58"/>
  <c r="B13" i="58"/>
  <c r="F19" i="58"/>
  <c r="B19" i="58"/>
  <c r="C20" i="58"/>
  <c r="C18" i="58"/>
  <c r="C28" i="58"/>
  <c r="F30" i="58"/>
  <c r="B30" i="58"/>
  <c r="F26" i="58"/>
  <c r="B26" i="58"/>
  <c r="C12" i="58"/>
  <c r="C10" i="58"/>
  <c r="C13" i="58"/>
  <c r="F9" i="58"/>
  <c r="B9" i="58"/>
  <c r="AN25" i="62"/>
  <c r="C19" i="58"/>
  <c r="B22" i="58"/>
  <c r="F22" i="58"/>
  <c r="AN38" i="62"/>
  <c r="B17" i="58"/>
  <c r="F17" i="58"/>
  <c r="B27" i="58"/>
  <c r="F27" i="58"/>
  <c r="C30" i="58"/>
  <c r="C26" i="58"/>
  <c r="F29" i="58"/>
  <c r="B29" i="58"/>
  <c r="F25" i="58"/>
  <c r="B25" i="58"/>
  <c r="AN77" i="62"/>
  <c r="AN81" i="62"/>
  <c r="AQ53" i="62"/>
  <c r="AQ17" i="62"/>
  <c r="AQ37" i="62"/>
  <c r="X27" i="62"/>
  <c r="X29" i="62" s="1"/>
  <c r="V85" i="62"/>
  <c r="AQ38" i="62"/>
  <c r="S54" i="62"/>
  <c r="AN53" i="62"/>
  <c r="AQ51" i="62"/>
  <c r="AQ52" i="62"/>
  <c r="AQ25" i="62"/>
  <c r="AN14" i="62"/>
  <c r="AQ82" i="62"/>
  <c r="AQ71" i="62"/>
  <c r="AQ34" i="62"/>
  <c r="AQ23" i="62"/>
  <c r="AN87" i="62"/>
  <c r="AQ89" i="62"/>
  <c r="AN75" i="62"/>
  <c r="AQ57" i="62"/>
  <c r="AN55" i="62"/>
  <c r="AN46" i="62"/>
  <c r="AN40" i="62"/>
  <c r="AQ41" i="62"/>
  <c r="AN42" i="62"/>
  <c r="AN44" i="62"/>
  <c r="AQ36" i="62"/>
  <c r="AQ22" i="62"/>
  <c r="AQ86" i="62"/>
  <c r="AQ87" i="62"/>
  <c r="AQ78" i="62"/>
  <c r="AQ74" i="62"/>
  <c r="AQ58" i="62"/>
  <c r="D39" i="62"/>
  <c r="AQ28" i="62"/>
  <c r="O29" i="62"/>
  <c r="AN22" i="62"/>
  <c r="AN24" i="62"/>
  <c r="AB35" i="62"/>
  <c r="AK35" i="62"/>
  <c r="AH39" i="62"/>
  <c r="AG91" i="62"/>
  <c r="AH91" i="62" s="1"/>
  <c r="AN15" i="62"/>
  <c r="F27" i="62"/>
  <c r="F29" i="62" s="1"/>
  <c r="AQ18" i="62"/>
  <c r="AN21" i="62"/>
  <c r="V35" i="62"/>
  <c r="AB39" i="62"/>
  <c r="U60" i="62"/>
  <c r="AN70" i="62"/>
  <c r="AN73" i="62"/>
  <c r="AQ77" i="62"/>
  <c r="AJ91" i="62"/>
  <c r="AK91" i="62" s="1"/>
  <c r="AN84" i="62"/>
  <c r="AQ14" i="62"/>
  <c r="AQ15" i="62"/>
  <c r="AN18" i="62"/>
  <c r="AN19" i="62"/>
  <c r="AN33" i="62"/>
  <c r="AN34" i="62"/>
  <c r="J39" i="62"/>
  <c r="Y54" i="62"/>
  <c r="AN57" i="62"/>
  <c r="AN59" i="62"/>
  <c r="AQ69" i="62"/>
  <c r="AQ70" i="62"/>
  <c r="AQ76" i="62"/>
  <c r="AN78" i="62"/>
  <c r="AA91" i="62"/>
  <c r="AB91" i="62" s="1"/>
  <c r="AN86" i="62"/>
  <c r="AQ88" i="62"/>
  <c r="AQ19" i="62"/>
  <c r="AN23" i="62"/>
  <c r="AQ40" i="62"/>
  <c r="AN41" i="62"/>
  <c r="AQ42" i="62"/>
  <c r="AQ44" i="62"/>
  <c r="AN51" i="62"/>
  <c r="AN58" i="62"/>
  <c r="AN69" i="62"/>
  <c r="AN71" i="62"/>
  <c r="AN76" i="62"/>
  <c r="D79" i="62"/>
  <c r="J79" i="62"/>
  <c r="P79" i="62"/>
  <c r="V79" i="62"/>
  <c r="AB79" i="62"/>
  <c r="AN82" i="62"/>
  <c r="AN83" i="62"/>
  <c r="L91" i="62"/>
  <c r="I27" i="62"/>
  <c r="I29" i="62" s="1"/>
  <c r="S16" i="62"/>
  <c r="AB16" i="62"/>
  <c r="AK16" i="62"/>
  <c r="AN17" i="62"/>
  <c r="AP20" i="62"/>
  <c r="AQ20" i="62" s="1"/>
  <c r="G39" i="62"/>
  <c r="M39" i="62"/>
  <c r="V39" i="62"/>
  <c r="AK39" i="62"/>
  <c r="AN43" i="62"/>
  <c r="AN49" i="62"/>
  <c r="AQ55" i="62"/>
  <c r="AQ59" i="62"/>
  <c r="AN74" i="62"/>
  <c r="AQ75" i="62"/>
  <c r="G79" i="62"/>
  <c r="M79" i="62"/>
  <c r="S79" i="62"/>
  <c r="Y79" i="62"/>
  <c r="X91" i="62"/>
  <c r="R91" i="62"/>
  <c r="U27" i="62"/>
  <c r="V27" i="62" s="1"/>
  <c r="AD29" i="62"/>
  <c r="AN28" i="62"/>
  <c r="AQ33" i="62"/>
  <c r="AN36" i="62"/>
  <c r="AN37" i="62"/>
  <c r="AQ43" i="62"/>
  <c r="AQ49" i="62"/>
  <c r="V54" i="62"/>
  <c r="AN56" i="62"/>
  <c r="L60" i="62"/>
  <c r="C91" i="62"/>
  <c r="D91" i="62" s="1"/>
  <c r="AQ81" i="62"/>
  <c r="AQ83" i="62"/>
  <c r="AQ84" i="62"/>
  <c r="S85" i="62"/>
  <c r="Y85" i="62"/>
  <c r="AN88" i="62"/>
  <c r="AN89" i="62"/>
  <c r="F91" i="62"/>
  <c r="G91" i="62" s="1"/>
  <c r="AD91" i="62"/>
  <c r="D27" i="62"/>
  <c r="C29" i="62"/>
  <c r="L29" i="62"/>
  <c r="M27" i="62"/>
  <c r="AB27" i="62"/>
  <c r="AA29" i="62"/>
  <c r="S29" i="62"/>
  <c r="AM20" i="62"/>
  <c r="AN20" i="62" s="1"/>
  <c r="V60" i="62"/>
  <c r="J54" i="62"/>
  <c r="AK54" i="62"/>
  <c r="D20" i="62"/>
  <c r="S27" i="62"/>
  <c r="AG27" i="62"/>
  <c r="L45" i="62"/>
  <c r="S35" i="62"/>
  <c r="Y35" i="62"/>
  <c r="AG45" i="62"/>
  <c r="R60" i="62"/>
  <c r="S50" i="62"/>
  <c r="F60" i="62"/>
  <c r="AG60" i="62"/>
  <c r="AK85" i="62"/>
  <c r="AP35" i="62"/>
  <c r="S39" i="62"/>
  <c r="Y39" i="62"/>
  <c r="AP39" i="62"/>
  <c r="I45" i="62"/>
  <c r="R45" i="62"/>
  <c r="AJ45" i="62"/>
  <c r="AP50" i="62"/>
  <c r="AQ56" i="62"/>
  <c r="AP85" i="62"/>
  <c r="D85" i="62"/>
  <c r="AM85" i="62"/>
  <c r="AE85" i="62"/>
  <c r="X45" i="62"/>
  <c r="AP16" i="62"/>
  <c r="AQ16" i="62" s="1"/>
  <c r="AM16" i="62"/>
  <c r="AN16" i="62" s="1"/>
  <c r="F45" i="62"/>
  <c r="M35" i="62"/>
  <c r="AH35" i="62"/>
  <c r="AM35" i="62"/>
  <c r="AM39" i="62"/>
  <c r="C45" i="62"/>
  <c r="U45" i="62"/>
  <c r="AQ48" i="62"/>
  <c r="D60" i="62"/>
  <c r="AP54" i="62"/>
  <c r="D54" i="62"/>
  <c r="AM54" i="62"/>
  <c r="AE54" i="62"/>
  <c r="J91" i="62"/>
  <c r="AK79" i="62"/>
  <c r="AM50" i="62"/>
  <c r="G54" i="62"/>
  <c r="M54" i="62"/>
  <c r="AH54" i="62"/>
  <c r="X60" i="62"/>
  <c r="AH79" i="62"/>
  <c r="AM79" i="62"/>
  <c r="G85" i="62"/>
  <c r="M85" i="62"/>
  <c r="I60" i="62"/>
  <c r="AD60" i="62"/>
  <c r="AJ60" i="62"/>
  <c r="AP79" i="62"/>
  <c r="O91" i="62"/>
  <c r="P29" i="62" l="1"/>
  <c r="O64" i="62"/>
  <c r="P64" i="62" s="1"/>
  <c r="G29" i="62"/>
  <c r="Y29" i="62"/>
  <c r="G27" i="62"/>
  <c r="AK27" i="62"/>
  <c r="AE29" i="62"/>
  <c r="J27" i="62"/>
  <c r="V91" i="62"/>
  <c r="AB45" i="62"/>
  <c r="M60" i="62"/>
  <c r="AE91" i="62"/>
  <c r="Y91" i="62"/>
  <c r="Y27" i="62"/>
  <c r="U29" i="62"/>
  <c r="S91" i="62"/>
  <c r="M91" i="62"/>
  <c r="AM91" i="62"/>
  <c r="AQ79" i="62"/>
  <c r="AQ85" i="62"/>
  <c r="J60" i="62"/>
  <c r="AH60" i="62"/>
  <c r="AK60" i="62"/>
  <c r="AE60" i="62"/>
  <c r="AN79" i="62"/>
  <c r="AQ54" i="62"/>
  <c r="AQ50" i="62"/>
  <c r="AP45" i="62"/>
  <c r="C62" i="62"/>
  <c r="C64" i="62" s="1"/>
  <c r="D45" i="62"/>
  <c r="AM45" i="62"/>
  <c r="J45" i="62"/>
  <c r="I62" i="62"/>
  <c r="I64" i="62" s="1"/>
  <c r="J64" i="62" s="1"/>
  <c r="S60" i="62"/>
  <c r="AN35" i="62"/>
  <c r="AH27" i="62"/>
  <c r="AG29" i="62"/>
  <c r="D29" i="62"/>
  <c r="AP60" i="62"/>
  <c r="AQ35" i="62"/>
  <c r="F62" i="62"/>
  <c r="F64" i="62" s="1"/>
  <c r="G64" i="62" s="1"/>
  <c r="G45" i="62"/>
  <c r="AJ62" i="62"/>
  <c r="AJ64" i="62" s="1"/>
  <c r="AK64" i="62" s="1"/>
  <c r="AK45" i="62"/>
  <c r="G60" i="62"/>
  <c r="AG62" i="62"/>
  <c r="AH45" i="62"/>
  <c r="L62" i="62"/>
  <c r="L64" i="62" s="1"/>
  <c r="M64" i="62" s="1"/>
  <c r="M45" i="62"/>
  <c r="J29" i="62"/>
  <c r="AK29" i="62"/>
  <c r="AM27" i="62"/>
  <c r="AN27" i="62" s="1"/>
  <c r="AA62" i="62"/>
  <c r="AA64" i="62" s="1"/>
  <c r="AB64" i="62" s="1"/>
  <c r="P91" i="62"/>
  <c r="AN50" i="62"/>
  <c r="AN54" i="62"/>
  <c r="AN39" i="62"/>
  <c r="AN85" i="62"/>
  <c r="M29" i="62"/>
  <c r="Y60" i="62"/>
  <c r="AP91" i="62"/>
  <c r="AM60" i="62"/>
  <c r="U62" i="62"/>
  <c r="V45" i="62"/>
  <c r="X62" i="62"/>
  <c r="X64" i="62" s="1"/>
  <c r="Y64" i="62" s="1"/>
  <c r="Y45" i="62"/>
  <c r="R62" i="62"/>
  <c r="R64" i="62" s="1"/>
  <c r="S64" i="62" s="1"/>
  <c r="S45" i="62"/>
  <c r="AD62" i="62"/>
  <c r="AD64" i="62" s="1"/>
  <c r="AE64" i="62" s="1"/>
  <c r="AB29" i="62"/>
  <c r="AQ39" i="62"/>
  <c r="AP27" i="62"/>
  <c r="AQ27" i="62" s="1"/>
  <c r="D64" i="62" l="1"/>
  <c r="AG64" i="62"/>
  <c r="AH64" i="62" s="1"/>
  <c r="V29" i="62"/>
  <c r="U64" i="62"/>
  <c r="V64" i="62" s="1"/>
  <c r="G27" i="58"/>
  <c r="G26" i="58"/>
  <c r="G25" i="58"/>
  <c r="G28" i="58"/>
  <c r="G30" i="58"/>
  <c r="G29" i="58"/>
  <c r="G21" i="58"/>
  <c r="G18" i="58"/>
  <c r="G19" i="58"/>
  <c r="G22" i="58"/>
  <c r="G17" i="58"/>
  <c r="G20" i="58"/>
  <c r="AM29" i="62"/>
  <c r="AN29" i="62" s="1"/>
  <c r="AN91" i="62"/>
  <c r="AP29" i="62"/>
  <c r="Y62" i="62"/>
  <c r="AH62" i="62"/>
  <c r="AE62" i="62"/>
  <c r="V62" i="62"/>
  <c r="AQ60" i="62"/>
  <c r="J62" i="62"/>
  <c r="G62" i="62"/>
  <c r="D62" i="62"/>
  <c r="AP62" i="62"/>
  <c r="AM62" i="62"/>
  <c r="S62" i="62"/>
  <c r="AN60" i="62"/>
  <c r="AB62" i="62"/>
  <c r="M62" i="62"/>
  <c r="AK62" i="62"/>
  <c r="AQ45" i="62"/>
  <c r="AQ91" i="62"/>
  <c r="AH29" i="62"/>
  <c r="AN45" i="62"/>
  <c r="AP64" i="62" l="1"/>
  <c r="AQ64" i="62" s="1"/>
  <c r="AM64" i="62"/>
  <c r="AN64" i="62" s="1"/>
  <c r="AQ29" i="62"/>
  <c r="G12" i="58"/>
  <c r="G10" i="58"/>
  <c r="G9" i="58"/>
  <c r="G11" i="58"/>
  <c r="G14" i="58"/>
  <c r="G13" i="58"/>
  <c r="AQ62" i="62"/>
  <c r="AN62" i="62"/>
  <c r="F123" i="4" l="1"/>
  <c r="F90" i="4"/>
  <c r="C90" i="4"/>
  <c r="C115" i="4"/>
  <c r="C123" i="4"/>
  <c r="C50" i="4"/>
  <c r="C51" i="4"/>
  <c r="C52" i="4"/>
  <c r="E33" i="16" l="1"/>
  <c r="I32" i="16"/>
  <c r="I32" i="13"/>
  <c r="I32" i="20"/>
  <c r="I32" i="33"/>
  <c r="I32" i="37"/>
  <c r="I32" i="29"/>
  <c r="E32" i="16"/>
  <c r="E32" i="13"/>
  <c r="E32" i="29"/>
  <c r="E31" i="16"/>
  <c r="E31" i="13"/>
  <c r="E31" i="24"/>
  <c r="E31" i="33"/>
  <c r="E31" i="37"/>
  <c r="E31" i="29"/>
  <c r="I31" i="16"/>
  <c r="I31" i="13"/>
  <c r="I31" i="35"/>
  <c r="I31" i="33"/>
  <c r="I31" i="37"/>
  <c r="I31" i="29"/>
  <c r="I33" i="16"/>
  <c r="I33" i="20"/>
  <c r="I33" i="35"/>
  <c r="I33" i="33"/>
  <c r="I33" i="37"/>
  <c r="I33" i="29"/>
  <c r="E30" i="16"/>
  <c r="E30" i="13"/>
  <c r="E30" i="33"/>
  <c r="E30" i="37"/>
  <c r="E30" i="29"/>
  <c r="I30" i="16"/>
  <c r="I30" i="13"/>
  <c r="I30" i="35"/>
  <c r="I30" i="33"/>
  <c r="I30" i="37"/>
  <c r="I30" i="29"/>
  <c r="E24" i="16"/>
  <c r="E24" i="24"/>
  <c r="E24" i="37"/>
  <c r="E24" i="29"/>
  <c r="E27" i="16"/>
  <c r="E23" i="16"/>
  <c r="E23" i="13"/>
  <c r="E23" i="20"/>
  <c r="E23" i="37"/>
  <c r="E23" i="29"/>
  <c r="I24" i="16"/>
  <c r="I24" i="13"/>
  <c r="I24" i="33"/>
  <c r="I24" i="37"/>
  <c r="I26" i="16"/>
  <c r="I26" i="18"/>
  <c r="I26" i="20"/>
  <c r="I26" i="23"/>
  <c r="I26" i="35"/>
  <c r="I26" i="33"/>
  <c r="I26" i="37"/>
  <c r="I26" i="29"/>
  <c r="E26" i="16"/>
  <c r="E25" i="16"/>
  <c r="E25" i="13"/>
  <c r="E25" i="20"/>
  <c r="E25" i="29"/>
  <c r="I23" i="16"/>
  <c r="I23" i="18"/>
  <c r="I23" i="13"/>
  <c r="I23" i="23"/>
  <c r="I23" i="35"/>
  <c r="I23" i="33"/>
  <c r="I23" i="37"/>
  <c r="I23" i="29"/>
  <c r="I25" i="16"/>
  <c r="I25" i="18"/>
  <c r="I25" i="13"/>
  <c r="I25" i="20"/>
  <c r="I25" i="23"/>
  <c r="I25" i="33"/>
  <c r="I25" i="37"/>
  <c r="I25" i="29"/>
  <c r="I27" i="16"/>
  <c r="C22" i="4"/>
  <c r="B22" i="4"/>
  <c r="B29" i="4"/>
  <c r="C29" i="4"/>
  <c r="F8" i="4"/>
  <c r="F9" i="4"/>
  <c r="E9" i="4"/>
  <c r="E8" i="4"/>
  <c r="G31" i="4" l="1"/>
  <c r="H31" i="4"/>
  <c r="J31" i="4" s="1"/>
  <c r="M31" i="18" s="1"/>
  <c r="G32" i="4"/>
  <c r="H32" i="4"/>
  <c r="J32" i="4" s="1"/>
  <c r="M32" i="18" s="1"/>
  <c r="G33" i="4"/>
  <c r="H33" i="4"/>
  <c r="J33" i="4" s="1"/>
  <c r="M33" i="18" s="1"/>
  <c r="G30" i="4"/>
  <c r="H30" i="4"/>
  <c r="J30" i="4" s="1"/>
  <c r="M30" i="18" s="1"/>
  <c r="G23" i="4"/>
  <c r="H23" i="4"/>
  <c r="J23" i="4" s="1"/>
  <c r="G25" i="4"/>
  <c r="H25" i="4"/>
  <c r="J25" i="4" s="1"/>
  <c r="H27" i="4"/>
  <c r="G24" i="4"/>
  <c r="H24" i="4"/>
  <c r="J24" i="4" s="1"/>
  <c r="G26" i="4"/>
  <c r="H26" i="4"/>
  <c r="J26" i="4" s="1"/>
  <c r="B3" i="12"/>
  <c r="M33" i="16" l="1"/>
  <c r="M33" i="20"/>
  <c r="M33" i="35"/>
  <c r="M33" i="33"/>
  <c r="M33" i="37"/>
  <c r="M33" i="29"/>
  <c r="M26" i="16"/>
  <c r="M26" i="18"/>
  <c r="M26" i="20"/>
  <c r="M26" i="23"/>
  <c r="M26" i="35"/>
  <c r="M26" i="33"/>
  <c r="M26" i="37"/>
  <c r="M26" i="29"/>
  <c r="K95" i="18" l="1"/>
  <c r="K94" i="18"/>
  <c r="J94" i="18"/>
  <c r="L94" i="18" s="1"/>
  <c r="K92" i="18"/>
  <c r="K91" i="18"/>
  <c r="J91" i="18"/>
  <c r="L91" i="18" s="1"/>
  <c r="H82" i="18"/>
  <c r="K74" i="18"/>
  <c r="J74" i="18"/>
  <c r="K73" i="18"/>
  <c r="K71" i="18"/>
  <c r="J71" i="18"/>
  <c r="L71" i="18" s="1"/>
  <c r="K70" i="18"/>
  <c r="D69" i="18"/>
  <c r="D52" i="18"/>
  <c r="H73" i="18" l="1"/>
  <c r="H81" i="18"/>
  <c r="H95" i="18"/>
  <c r="J69" i="18"/>
  <c r="L69" i="18" s="1"/>
  <c r="D72" i="18"/>
  <c r="H92" i="18"/>
  <c r="H103" i="18"/>
  <c r="B87" i="18"/>
  <c r="H91" i="18"/>
  <c r="D93" i="18"/>
  <c r="D83" i="18"/>
  <c r="C66" i="18"/>
  <c r="J70" i="18"/>
  <c r="L70" i="18" s="1"/>
  <c r="H105" i="18"/>
  <c r="B66" i="18"/>
  <c r="H84" i="18"/>
  <c r="H94" i="18"/>
  <c r="D80" i="18"/>
  <c r="D90" i="18"/>
  <c r="J73" i="18"/>
  <c r="L73" i="18" s="1"/>
  <c r="H85" i="18"/>
  <c r="H106" i="18"/>
  <c r="D51" i="18"/>
  <c r="K93" i="18"/>
  <c r="H104" i="18"/>
  <c r="K69" i="18"/>
  <c r="K72" i="18"/>
  <c r="L74" i="18"/>
  <c r="J92" i="18"/>
  <c r="L92" i="18" s="1"/>
  <c r="J95" i="18"/>
  <c r="L95" i="18" s="1"/>
  <c r="H102" i="18"/>
  <c r="H22" i="18"/>
  <c r="H71" i="18"/>
  <c r="H74" i="18"/>
  <c r="H70" i="18"/>
  <c r="K90" i="18"/>
  <c r="C87" i="18"/>
  <c r="D29" i="18"/>
  <c r="G119" i="18"/>
  <c r="H124" i="18"/>
  <c r="F119" i="18"/>
  <c r="H10" i="18"/>
  <c r="D7" i="18"/>
  <c r="D10" i="18"/>
  <c r="H116" i="18"/>
  <c r="H117" i="18"/>
  <c r="H121" i="18"/>
  <c r="J88" i="18"/>
  <c r="H109" i="18"/>
  <c r="H113" i="18"/>
  <c r="H125" i="18"/>
  <c r="K113" i="18"/>
  <c r="K99" i="18"/>
  <c r="H7" i="18"/>
  <c r="C47" i="18"/>
  <c r="J67" i="18"/>
  <c r="D99" i="18"/>
  <c r="J109" i="18"/>
  <c r="J112" i="18"/>
  <c r="J116" i="18"/>
  <c r="J121" i="18"/>
  <c r="D28" i="18"/>
  <c r="H34" i="18"/>
  <c r="H35" i="18"/>
  <c r="K78" i="18"/>
  <c r="K108" i="18"/>
  <c r="J113" i="18"/>
  <c r="K120" i="18"/>
  <c r="H108" i="18"/>
  <c r="J35" i="18"/>
  <c r="H11" i="18"/>
  <c r="K109" i="18"/>
  <c r="J117" i="18"/>
  <c r="K112" i="18"/>
  <c r="G111" i="18"/>
  <c r="K117" i="18"/>
  <c r="H12" i="18"/>
  <c r="K35" i="18"/>
  <c r="F111" i="18"/>
  <c r="J124" i="18"/>
  <c r="J34" i="18"/>
  <c r="D67" i="18"/>
  <c r="D88" i="18"/>
  <c r="J99" i="18"/>
  <c r="J120" i="18"/>
  <c r="K121" i="18"/>
  <c r="K124" i="18"/>
  <c r="K28" i="18"/>
  <c r="K34" i="18"/>
  <c r="D48" i="18"/>
  <c r="K67" i="18"/>
  <c r="D120" i="18"/>
  <c r="J108" i="18"/>
  <c r="D112" i="18"/>
  <c r="K116" i="18"/>
  <c r="D116" i="18"/>
  <c r="B119" i="18"/>
  <c r="D78" i="18"/>
  <c r="D108" i="18"/>
  <c r="B111" i="18"/>
  <c r="J125" i="18"/>
  <c r="C111" i="18"/>
  <c r="D9" i="18"/>
  <c r="J28" i="18"/>
  <c r="D8" i="18"/>
  <c r="J78" i="18"/>
  <c r="C119" i="18"/>
  <c r="K125" i="18"/>
  <c r="K88" i="18"/>
  <c r="B97" i="4"/>
  <c r="B76" i="4" l="1"/>
  <c r="C97" i="4"/>
  <c r="C76" i="4"/>
  <c r="K29" i="18"/>
  <c r="H29" i="18"/>
  <c r="D22" i="18"/>
  <c r="D87" i="18"/>
  <c r="D98" i="18"/>
  <c r="K22" i="18"/>
  <c r="H69" i="18"/>
  <c r="K79" i="18"/>
  <c r="B47" i="18"/>
  <c r="D47" i="18" s="1"/>
  <c r="J29" i="18"/>
  <c r="H119" i="18"/>
  <c r="K100" i="18"/>
  <c r="J22" i="18"/>
  <c r="G87" i="18"/>
  <c r="G66" i="18"/>
  <c r="K66" i="18" s="1"/>
  <c r="H101" i="18"/>
  <c r="J90" i="18"/>
  <c r="L90" i="18" s="1"/>
  <c r="H90" i="18"/>
  <c r="F87" i="18"/>
  <c r="H80" i="18"/>
  <c r="K119" i="18"/>
  <c r="K77" i="18"/>
  <c r="J93" i="18"/>
  <c r="L93" i="18" s="1"/>
  <c r="H93" i="18"/>
  <c r="H83" i="18"/>
  <c r="H72" i="18"/>
  <c r="J72" i="18"/>
  <c r="L72" i="18" s="1"/>
  <c r="L113" i="18"/>
  <c r="L12" i="18"/>
  <c r="K98" i="18"/>
  <c r="L28" i="18"/>
  <c r="L88" i="18"/>
  <c r="L121" i="18"/>
  <c r="L109" i="18"/>
  <c r="L120" i="18"/>
  <c r="L99" i="18"/>
  <c r="L35" i="18"/>
  <c r="J111" i="18"/>
  <c r="H111" i="18"/>
  <c r="L117" i="18"/>
  <c r="L78" i="18"/>
  <c r="L7" i="18"/>
  <c r="L108" i="18"/>
  <c r="L116" i="18"/>
  <c r="L11" i="18"/>
  <c r="L67" i="18"/>
  <c r="K111" i="18"/>
  <c r="L112" i="18"/>
  <c r="L124" i="18"/>
  <c r="L10" i="18"/>
  <c r="J119" i="18"/>
  <c r="D119" i="18"/>
  <c r="L34" i="18"/>
  <c r="L125" i="18"/>
  <c r="D111" i="18"/>
  <c r="D66" i="18"/>
  <c r="K97" i="37"/>
  <c r="J97" i="37"/>
  <c r="D97" i="16"/>
  <c r="D97" i="29"/>
  <c r="H97" i="16"/>
  <c r="K97" i="33"/>
  <c r="K97" i="29"/>
  <c r="J97" i="13"/>
  <c r="J97" i="33"/>
  <c r="J97" i="16"/>
  <c r="J97" i="29"/>
  <c r="L97" i="29" s="1"/>
  <c r="D97" i="37"/>
  <c r="D97" i="13"/>
  <c r="K97" i="13"/>
  <c r="K97" i="16"/>
  <c r="D97" i="33"/>
  <c r="K76" i="37"/>
  <c r="D76" i="16"/>
  <c r="D76" i="33"/>
  <c r="D76" i="37"/>
  <c r="K76" i="29"/>
  <c r="J76" i="13"/>
  <c r="H76" i="16"/>
  <c r="J76" i="37"/>
  <c r="D76" i="29"/>
  <c r="K76" i="33"/>
  <c r="K76" i="16"/>
  <c r="J76" i="16"/>
  <c r="J76" i="33"/>
  <c r="J76" i="29"/>
  <c r="D76" i="13"/>
  <c r="K76" i="13"/>
  <c r="J36" i="37"/>
  <c r="J37" i="37"/>
  <c r="D90" i="37"/>
  <c r="L76" i="29" l="1"/>
  <c r="L29" i="18"/>
  <c r="L76" i="33"/>
  <c r="D77" i="18"/>
  <c r="J68" i="18"/>
  <c r="F66" i="18"/>
  <c r="H66" i="18" s="1"/>
  <c r="L97" i="33"/>
  <c r="L119" i="18"/>
  <c r="H68" i="18"/>
  <c r="J66" i="18"/>
  <c r="L66" i="18" s="1"/>
  <c r="D101" i="37"/>
  <c r="L22" i="18"/>
  <c r="L76" i="13"/>
  <c r="K115" i="37"/>
  <c r="D97" i="4"/>
  <c r="D76" i="4"/>
  <c r="L97" i="37"/>
  <c r="K68" i="18"/>
  <c r="L76" i="37"/>
  <c r="K87" i="18"/>
  <c r="K89" i="18"/>
  <c r="H95" i="37"/>
  <c r="D51" i="37"/>
  <c r="L97" i="13"/>
  <c r="J115" i="37"/>
  <c r="L115" i="37" s="1"/>
  <c r="H100" i="18"/>
  <c r="J100" i="18"/>
  <c r="L100" i="18" s="1"/>
  <c r="J89" i="18"/>
  <c r="H89" i="18"/>
  <c r="H79" i="18"/>
  <c r="J79" i="18"/>
  <c r="L79" i="18" s="1"/>
  <c r="I97" i="4"/>
  <c r="I76" i="4"/>
  <c r="L111" i="18"/>
  <c r="K123" i="37"/>
  <c r="C47" i="37"/>
  <c r="H103" i="37"/>
  <c r="H74" i="37"/>
  <c r="H71" i="37"/>
  <c r="J123" i="37"/>
  <c r="L123" i="37" s="1"/>
  <c r="H104" i="37"/>
  <c r="D93" i="37"/>
  <c r="C87" i="37"/>
  <c r="H92" i="37"/>
  <c r="D83" i="37"/>
  <c r="H115" i="37"/>
  <c r="D104" i="37"/>
  <c r="H85" i="37"/>
  <c r="D80" i="37"/>
  <c r="H29" i="37"/>
  <c r="H106" i="37"/>
  <c r="H82" i="37"/>
  <c r="C66" i="37"/>
  <c r="G87" i="37"/>
  <c r="H80" i="37"/>
  <c r="H94" i="37"/>
  <c r="H91" i="37"/>
  <c r="D52" i="37"/>
  <c r="D123" i="37"/>
  <c r="B87" i="37"/>
  <c r="H73" i="37"/>
  <c r="H70" i="37"/>
  <c r="H123" i="37"/>
  <c r="B66" i="37"/>
  <c r="J29" i="37"/>
  <c r="D115" i="37"/>
  <c r="H105" i="37"/>
  <c r="H102" i="37"/>
  <c r="H84" i="37"/>
  <c r="H81" i="37"/>
  <c r="D72" i="37"/>
  <c r="D69" i="37"/>
  <c r="H122" i="37"/>
  <c r="H34" i="37"/>
  <c r="H116" i="37"/>
  <c r="D114" i="37"/>
  <c r="D116" i="37"/>
  <c r="J124" i="37"/>
  <c r="C56" i="37"/>
  <c r="L97" i="16"/>
  <c r="C53" i="37"/>
  <c r="H113" i="37"/>
  <c r="L76" i="16"/>
  <c r="H117" i="37"/>
  <c r="J88" i="37"/>
  <c r="K75" i="37"/>
  <c r="K108" i="37"/>
  <c r="K96" i="37"/>
  <c r="K67" i="37"/>
  <c r="J35" i="37"/>
  <c r="D7" i="37"/>
  <c r="K137" i="37"/>
  <c r="K135" i="37"/>
  <c r="K134" i="37"/>
  <c r="K122" i="37"/>
  <c r="D122" i="37"/>
  <c r="H114" i="37"/>
  <c r="H112" i="37"/>
  <c r="J121" i="37"/>
  <c r="B47" i="37"/>
  <c r="D137" i="37"/>
  <c r="B119" i="37"/>
  <c r="H121" i="37"/>
  <c r="K114" i="37"/>
  <c r="K107" i="37"/>
  <c r="K99" i="37"/>
  <c r="J125" i="37"/>
  <c r="K116" i="37"/>
  <c r="K78" i="37"/>
  <c r="B53" i="37"/>
  <c r="D8" i="37"/>
  <c r="H108" i="37"/>
  <c r="D67" i="37"/>
  <c r="K110" i="37"/>
  <c r="J86" i="37"/>
  <c r="K28" i="37"/>
  <c r="H7" i="37"/>
  <c r="D135" i="37"/>
  <c r="H124" i="37"/>
  <c r="G111" i="37"/>
  <c r="J110" i="37"/>
  <c r="D108" i="37"/>
  <c r="D28" i="37"/>
  <c r="D125" i="37"/>
  <c r="G119" i="37"/>
  <c r="K113" i="37"/>
  <c r="J108" i="37"/>
  <c r="D34" i="37"/>
  <c r="K125" i="37"/>
  <c r="J117" i="37"/>
  <c r="J113" i="37"/>
  <c r="D110" i="37"/>
  <c r="J134" i="37"/>
  <c r="C119" i="37"/>
  <c r="H35" i="37"/>
  <c r="J28" i="37"/>
  <c r="J122" i="37"/>
  <c r="L122" i="37" s="1"/>
  <c r="J116" i="37"/>
  <c r="K109" i="37"/>
  <c r="D35" i="37"/>
  <c r="H75" i="37"/>
  <c r="D48" i="37"/>
  <c r="J137" i="37"/>
  <c r="K121" i="37"/>
  <c r="J67" i="37"/>
  <c r="H125" i="37"/>
  <c r="D124" i="37"/>
  <c r="D109" i="37"/>
  <c r="H96" i="37"/>
  <c r="K88" i="37"/>
  <c r="J34" i="37"/>
  <c r="D9" i="37"/>
  <c r="J107" i="37"/>
  <c r="D107" i="37"/>
  <c r="K124" i="37"/>
  <c r="D99" i="37"/>
  <c r="D134" i="37"/>
  <c r="D120" i="37"/>
  <c r="C111" i="37"/>
  <c r="J78" i="37"/>
  <c r="D78" i="37"/>
  <c r="J75" i="37"/>
  <c r="D75" i="37"/>
  <c r="F119" i="37"/>
  <c r="B111" i="37"/>
  <c r="J112" i="37"/>
  <c r="D112" i="37"/>
  <c r="J109" i="37"/>
  <c r="J135" i="37"/>
  <c r="K120" i="37"/>
  <c r="J99" i="37"/>
  <c r="J96" i="37"/>
  <c r="D96" i="37"/>
  <c r="K86" i="37"/>
  <c r="J120" i="37"/>
  <c r="J114" i="37"/>
  <c r="L114" i="37" s="1"/>
  <c r="H109" i="37"/>
  <c r="D86" i="37"/>
  <c r="B56" i="37"/>
  <c r="K117" i="37"/>
  <c r="K112" i="37"/>
  <c r="D88" i="37"/>
  <c r="F111" i="37"/>
  <c r="H11" i="37"/>
  <c r="D10" i="37"/>
  <c r="K35" i="37"/>
  <c r="D57" i="37"/>
  <c r="D54" i="37"/>
  <c r="K34" i="37"/>
  <c r="H12" i="37"/>
  <c r="K37" i="37"/>
  <c r="L37" i="37" s="1"/>
  <c r="D37" i="37"/>
  <c r="H10" i="37"/>
  <c r="K36" i="37"/>
  <c r="L36" i="37" s="1"/>
  <c r="D36" i="37"/>
  <c r="D106" i="16"/>
  <c r="D105" i="16"/>
  <c r="D103" i="16"/>
  <c r="D102" i="16"/>
  <c r="D95" i="16"/>
  <c r="D94" i="16"/>
  <c r="D92" i="16"/>
  <c r="D91" i="16"/>
  <c r="D85" i="16"/>
  <c r="D84" i="16"/>
  <c r="D82" i="16"/>
  <c r="D81" i="16"/>
  <c r="D74" i="16"/>
  <c r="D73" i="16"/>
  <c r="D71" i="16"/>
  <c r="D70" i="16"/>
  <c r="H39" i="16"/>
  <c r="H38" i="16"/>
  <c r="H37" i="16"/>
  <c r="H36" i="16"/>
  <c r="H9" i="16"/>
  <c r="H8" i="16"/>
  <c r="L68" i="18" l="1"/>
  <c r="D100" i="37"/>
  <c r="L89" i="18"/>
  <c r="K77" i="37"/>
  <c r="J79" i="37"/>
  <c r="L110" i="37"/>
  <c r="H72" i="37"/>
  <c r="H101" i="37"/>
  <c r="H69" i="37"/>
  <c r="J100" i="37"/>
  <c r="H87" i="18"/>
  <c r="J87" i="18"/>
  <c r="L87" i="18" s="1"/>
  <c r="D50" i="37"/>
  <c r="H77" i="18"/>
  <c r="J77" i="18"/>
  <c r="L77" i="18" s="1"/>
  <c r="H83" i="37"/>
  <c r="J98" i="18"/>
  <c r="L98" i="18" s="1"/>
  <c r="H98" i="18"/>
  <c r="L116" i="37"/>
  <c r="D89" i="37"/>
  <c r="K22" i="37"/>
  <c r="D49" i="37"/>
  <c r="K89" i="37"/>
  <c r="J22" i="37"/>
  <c r="H22" i="37"/>
  <c r="K29" i="37"/>
  <c r="L29" i="37" s="1"/>
  <c r="K100" i="37"/>
  <c r="D29" i="37"/>
  <c r="D22" i="37"/>
  <c r="D87" i="37"/>
  <c r="F87" i="37"/>
  <c r="H90" i="37"/>
  <c r="G66" i="37"/>
  <c r="H93" i="37"/>
  <c r="D56" i="37"/>
  <c r="K87" i="37"/>
  <c r="L88" i="37"/>
  <c r="L124" i="37"/>
  <c r="L12" i="37"/>
  <c r="L78" i="37"/>
  <c r="K111" i="37"/>
  <c r="L7" i="37"/>
  <c r="L135" i="37"/>
  <c r="D53" i="37"/>
  <c r="L28" i="37"/>
  <c r="L96" i="37"/>
  <c r="L34" i="37"/>
  <c r="L109" i="37"/>
  <c r="L67" i="37"/>
  <c r="L99" i="37"/>
  <c r="L108" i="37"/>
  <c r="L134" i="37"/>
  <c r="L10" i="37"/>
  <c r="D47" i="37"/>
  <c r="L107" i="37"/>
  <c r="L75" i="37"/>
  <c r="K98" i="37"/>
  <c r="K119" i="37"/>
  <c r="H111" i="37"/>
  <c r="L86" i="37"/>
  <c r="L121" i="37"/>
  <c r="H119" i="37"/>
  <c r="L137" i="37"/>
  <c r="L35" i="37"/>
  <c r="L120" i="37"/>
  <c r="L11" i="37"/>
  <c r="D119" i="37"/>
  <c r="L117" i="37"/>
  <c r="L125" i="37"/>
  <c r="L113" i="37"/>
  <c r="J111" i="37"/>
  <c r="D111" i="37"/>
  <c r="D66" i="37"/>
  <c r="D98" i="37"/>
  <c r="J119" i="37"/>
  <c r="L112" i="37"/>
  <c r="D77" i="37"/>
  <c r="G123" i="4"/>
  <c r="G115" i="4"/>
  <c r="G106" i="4"/>
  <c r="G105" i="4"/>
  <c r="G104" i="4"/>
  <c r="G103" i="4"/>
  <c r="G102" i="4"/>
  <c r="G101" i="4"/>
  <c r="G95" i="4"/>
  <c r="G94" i="4"/>
  <c r="G93" i="4"/>
  <c r="G92" i="4"/>
  <c r="G91" i="4"/>
  <c r="G90" i="4"/>
  <c r="G85" i="4"/>
  <c r="G84" i="4"/>
  <c r="G83" i="4"/>
  <c r="G82" i="4"/>
  <c r="G81" i="4"/>
  <c r="G80" i="4"/>
  <c r="G74" i="4"/>
  <c r="G73" i="4"/>
  <c r="G72" i="4"/>
  <c r="G71" i="4"/>
  <c r="G70" i="4"/>
  <c r="G69" i="4"/>
  <c r="G39" i="4"/>
  <c r="G38" i="4"/>
  <c r="G37" i="4"/>
  <c r="G36" i="4"/>
  <c r="D123" i="4"/>
  <c r="D115" i="4"/>
  <c r="D106" i="4"/>
  <c r="D105" i="4"/>
  <c r="D104" i="4"/>
  <c r="D103" i="4"/>
  <c r="D102" i="4"/>
  <c r="D101" i="4"/>
  <c r="D95" i="4"/>
  <c r="D94" i="4"/>
  <c r="D93" i="4"/>
  <c r="D92" i="4"/>
  <c r="D91" i="4"/>
  <c r="D90" i="4"/>
  <c r="D85" i="4"/>
  <c r="D84" i="4"/>
  <c r="D83" i="4"/>
  <c r="D82" i="4"/>
  <c r="D81" i="4"/>
  <c r="D74" i="4"/>
  <c r="D73" i="4"/>
  <c r="D71" i="4"/>
  <c r="D70" i="4"/>
  <c r="D80" i="4"/>
  <c r="D72" i="4"/>
  <c r="D69" i="4"/>
  <c r="D52" i="4"/>
  <c r="D51" i="4"/>
  <c r="D50" i="4"/>
  <c r="B123" i="4"/>
  <c r="B115" i="4"/>
  <c r="B90" i="4"/>
  <c r="B52" i="4"/>
  <c r="B51" i="4"/>
  <c r="B50" i="4"/>
  <c r="F66" i="37" l="1"/>
  <c r="J66" i="37" s="1"/>
  <c r="K79" i="37"/>
  <c r="L79" i="37" s="1"/>
  <c r="H68" i="37"/>
  <c r="H79" i="37"/>
  <c r="H100" i="37"/>
  <c r="H77" i="37"/>
  <c r="H98" i="37"/>
  <c r="L100" i="37"/>
  <c r="L22" i="37"/>
  <c r="J68" i="37"/>
  <c r="E50" i="37"/>
  <c r="E52" i="37"/>
  <c r="E52" i="18"/>
  <c r="E72" i="37"/>
  <c r="E72" i="18"/>
  <c r="E83" i="37"/>
  <c r="E83" i="18"/>
  <c r="E93" i="37"/>
  <c r="E93" i="18"/>
  <c r="E104" i="37"/>
  <c r="E123" i="37"/>
  <c r="E51" i="37"/>
  <c r="E51" i="18"/>
  <c r="E69" i="37"/>
  <c r="E69" i="18"/>
  <c r="E80" i="37"/>
  <c r="E80" i="18"/>
  <c r="E90" i="37"/>
  <c r="E90" i="18"/>
  <c r="E101" i="37"/>
  <c r="E115" i="37"/>
  <c r="I115" i="37"/>
  <c r="K68" i="37"/>
  <c r="H89" i="37"/>
  <c r="J89" i="37"/>
  <c r="L89" i="37" s="1"/>
  <c r="H87" i="37"/>
  <c r="L111" i="37"/>
  <c r="L119" i="37"/>
  <c r="J98" i="37" l="1"/>
  <c r="L98" i="37" s="1"/>
  <c r="J77" i="37"/>
  <c r="L77" i="37" s="1"/>
  <c r="L68" i="37"/>
  <c r="J87" i="37"/>
  <c r="L87" i="37" s="1"/>
  <c r="H66" i="37"/>
  <c r="K66" i="37"/>
  <c r="L66" i="37" s="1"/>
  <c r="C8" i="58" l="1"/>
  <c r="E52" i="39"/>
  <c r="E51" i="39"/>
  <c r="E50" i="39"/>
  <c r="E123" i="33"/>
  <c r="E115" i="33"/>
  <c r="E104" i="33"/>
  <c r="E101" i="33"/>
  <c r="E93" i="33"/>
  <c r="E90" i="33"/>
  <c r="E83" i="33"/>
  <c r="E80" i="33"/>
  <c r="E72" i="33"/>
  <c r="E69" i="33"/>
  <c r="E52" i="33"/>
  <c r="E51" i="33"/>
  <c r="E50" i="33"/>
  <c r="E83" i="29"/>
  <c r="E80" i="29"/>
  <c r="E72" i="29"/>
  <c r="E69" i="29"/>
  <c r="E52" i="41"/>
  <c r="E51" i="41"/>
  <c r="E50" i="41"/>
  <c r="E51" i="26"/>
  <c r="E50" i="26"/>
  <c r="E52" i="25"/>
  <c r="E51" i="25"/>
  <c r="E50" i="25"/>
  <c r="E52" i="22"/>
  <c r="E51" i="22"/>
  <c r="E50" i="22"/>
  <c r="E52" i="21"/>
  <c r="E51" i="21"/>
  <c r="E50" i="21"/>
  <c r="E104" i="20"/>
  <c r="E101" i="20"/>
  <c r="E93" i="20"/>
  <c r="E90" i="20"/>
  <c r="E83" i="20"/>
  <c r="E80" i="20"/>
  <c r="E72" i="20"/>
  <c r="E69" i="20"/>
  <c r="E123" i="13"/>
  <c r="D72" i="13"/>
  <c r="E52" i="13"/>
  <c r="E51" i="13"/>
  <c r="E50" i="13"/>
  <c r="D51" i="13"/>
  <c r="D51" i="22" l="1"/>
  <c r="D83" i="13"/>
  <c r="D69" i="20"/>
  <c r="D80" i="20"/>
  <c r="D90" i="20"/>
  <c r="D101" i="20"/>
  <c r="D51" i="25"/>
  <c r="D90" i="33"/>
  <c r="D123" i="13"/>
  <c r="H70" i="20"/>
  <c r="H81" i="20"/>
  <c r="H91" i="20"/>
  <c r="H102" i="20"/>
  <c r="D93" i="20"/>
  <c r="D104" i="20"/>
  <c r="D72" i="20"/>
  <c r="D83" i="20"/>
  <c r="K115" i="23"/>
  <c r="H71" i="33"/>
  <c r="H102" i="13"/>
  <c r="K123" i="13"/>
  <c r="D51" i="26"/>
  <c r="D104" i="13"/>
  <c r="H92" i="33"/>
  <c r="H82" i="33"/>
  <c r="H91" i="33"/>
  <c r="D83" i="33"/>
  <c r="K115" i="29"/>
  <c r="K123" i="29"/>
  <c r="D52" i="33"/>
  <c r="D72" i="33"/>
  <c r="H84" i="33"/>
  <c r="H90" i="33"/>
  <c r="H105" i="33"/>
  <c r="D115" i="33"/>
  <c r="K115" i="33"/>
  <c r="K123" i="33"/>
  <c r="D80" i="33"/>
  <c r="D101" i="33"/>
  <c r="H106" i="33"/>
  <c r="J115" i="29"/>
  <c r="H74" i="33"/>
  <c r="H80" i="33"/>
  <c r="H85" i="33"/>
  <c r="H95" i="33"/>
  <c r="H101" i="33"/>
  <c r="J123" i="33"/>
  <c r="L123" i="33" s="1"/>
  <c r="H73" i="13"/>
  <c r="H84" i="13"/>
  <c r="D80" i="13"/>
  <c r="D90" i="13"/>
  <c r="D101" i="13"/>
  <c r="H105" i="13"/>
  <c r="D115" i="13"/>
  <c r="H84" i="20"/>
  <c r="H105" i="20"/>
  <c r="J123" i="13"/>
  <c r="L123" i="13" s="1"/>
  <c r="D51" i="21"/>
  <c r="H81" i="13"/>
  <c r="D52" i="13"/>
  <c r="H73" i="20"/>
  <c r="H94" i="20"/>
  <c r="D52" i="21"/>
  <c r="H74" i="27"/>
  <c r="J115" i="23"/>
  <c r="L115" i="23" s="1"/>
  <c r="D51" i="41"/>
  <c r="H69" i="33"/>
  <c r="D69" i="29"/>
  <c r="J123" i="29"/>
  <c r="L123" i="29" s="1"/>
  <c r="D51" i="33"/>
  <c r="D69" i="33"/>
  <c r="D93" i="33"/>
  <c r="H102" i="33"/>
  <c r="J115" i="33"/>
  <c r="L115" i="33" s="1"/>
  <c r="D93" i="29"/>
  <c r="D104" i="33"/>
  <c r="D52" i="41"/>
  <c r="H73" i="33"/>
  <c r="H81" i="33"/>
  <c r="D123" i="33"/>
  <c r="D51" i="39"/>
  <c r="H70" i="33"/>
  <c r="D52" i="39"/>
  <c r="H94" i="33"/>
  <c r="H103" i="33"/>
  <c r="K90" i="13"/>
  <c r="E72" i="13"/>
  <c r="E80" i="13"/>
  <c r="E83" i="13"/>
  <c r="E90" i="13"/>
  <c r="E101" i="13"/>
  <c r="E104" i="13"/>
  <c r="E115" i="13"/>
  <c r="H71" i="13"/>
  <c r="H74" i="13"/>
  <c r="H82" i="13"/>
  <c r="H85" i="13"/>
  <c r="H103" i="13"/>
  <c r="H106" i="13"/>
  <c r="H70" i="13"/>
  <c r="D52" i="22"/>
  <c r="H69" i="20"/>
  <c r="H71" i="20"/>
  <c r="H72" i="20"/>
  <c r="H74" i="20"/>
  <c r="H80" i="20"/>
  <c r="H82" i="20"/>
  <c r="H83" i="20"/>
  <c r="H85" i="20"/>
  <c r="H90" i="20"/>
  <c r="H92" i="20"/>
  <c r="H93" i="20"/>
  <c r="H95" i="20"/>
  <c r="H101" i="20"/>
  <c r="H103" i="20"/>
  <c r="H104" i="20"/>
  <c r="H106" i="20"/>
  <c r="H69" i="23"/>
  <c r="H71" i="23"/>
  <c r="H74" i="23"/>
  <c r="H70" i="23"/>
  <c r="H73" i="23"/>
  <c r="D52" i="25"/>
  <c r="H69" i="27"/>
  <c r="H71" i="27"/>
  <c r="H70" i="27"/>
  <c r="H73" i="27"/>
  <c r="D101" i="29"/>
  <c r="E101" i="29"/>
  <c r="D72" i="29"/>
  <c r="D80" i="29"/>
  <c r="D83" i="29"/>
  <c r="D90" i="29"/>
  <c r="E93" i="29"/>
  <c r="D104" i="29"/>
  <c r="E90" i="29"/>
  <c r="E104" i="29"/>
  <c r="K106" i="16"/>
  <c r="J106" i="16"/>
  <c r="K103" i="16"/>
  <c r="J103" i="16"/>
  <c r="K102" i="16"/>
  <c r="J102" i="16"/>
  <c r="K95" i="16"/>
  <c r="J95" i="16"/>
  <c r="J94" i="16"/>
  <c r="K92" i="16"/>
  <c r="J92" i="16"/>
  <c r="K91" i="16"/>
  <c r="K85" i="16"/>
  <c r="J85" i="16"/>
  <c r="K82" i="16"/>
  <c r="J82" i="16"/>
  <c r="K81" i="16"/>
  <c r="J81" i="16"/>
  <c r="K74" i="16"/>
  <c r="J74" i="16"/>
  <c r="J73" i="16"/>
  <c r="K71" i="16"/>
  <c r="J71" i="16"/>
  <c r="K70" i="16"/>
  <c r="K123" i="16"/>
  <c r="J123" i="16"/>
  <c r="E115" i="16"/>
  <c r="J115" i="16"/>
  <c r="E104" i="16"/>
  <c r="E93" i="16"/>
  <c r="E90" i="16"/>
  <c r="E80" i="16"/>
  <c r="E69" i="16"/>
  <c r="K72" i="16" l="1"/>
  <c r="K83" i="16"/>
  <c r="J69" i="16"/>
  <c r="J90" i="16"/>
  <c r="H72" i="27"/>
  <c r="H72" i="23"/>
  <c r="H83" i="33"/>
  <c r="H93" i="33"/>
  <c r="L115" i="29"/>
  <c r="H72" i="33"/>
  <c r="H104" i="33"/>
  <c r="J83" i="16"/>
  <c r="K69" i="16"/>
  <c r="K90" i="16"/>
  <c r="K73" i="16"/>
  <c r="L73" i="16" s="1"/>
  <c r="K94" i="16"/>
  <c r="L94" i="16" s="1"/>
  <c r="K115" i="16"/>
  <c r="L115" i="16" s="1"/>
  <c r="E83" i="16"/>
  <c r="E123" i="16"/>
  <c r="J90" i="13"/>
  <c r="L90" i="13" s="1"/>
  <c r="H90" i="13"/>
  <c r="H69" i="13"/>
  <c r="J72" i="16"/>
  <c r="L72" i="16" s="1"/>
  <c r="J93" i="16"/>
  <c r="J70" i="16"/>
  <c r="L70" i="16" s="1"/>
  <c r="J91" i="16"/>
  <c r="L91" i="16" s="1"/>
  <c r="E101" i="16"/>
  <c r="K104" i="16"/>
  <c r="E72" i="16"/>
  <c r="H104" i="13"/>
  <c r="H83" i="13"/>
  <c r="J80" i="16"/>
  <c r="J101" i="16"/>
  <c r="J84" i="16"/>
  <c r="J105" i="16"/>
  <c r="K80" i="16"/>
  <c r="K101" i="16"/>
  <c r="K84" i="16"/>
  <c r="K105" i="16"/>
  <c r="H101" i="13"/>
  <c r="H80" i="13"/>
  <c r="K93" i="16"/>
  <c r="H72" i="13"/>
  <c r="D69" i="16"/>
  <c r="D80" i="16"/>
  <c r="D90" i="16"/>
  <c r="D101" i="16"/>
  <c r="D115" i="16"/>
  <c r="H70" i="16"/>
  <c r="H73" i="16"/>
  <c r="H81" i="16"/>
  <c r="H84" i="16"/>
  <c r="H91" i="16"/>
  <c r="H94" i="16"/>
  <c r="H102" i="16"/>
  <c r="H105" i="16"/>
  <c r="H115" i="16"/>
  <c r="L71" i="16"/>
  <c r="L82" i="16"/>
  <c r="L92" i="16"/>
  <c r="L103" i="16"/>
  <c r="D72" i="16"/>
  <c r="D83" i="16"/>
  <c r="D93" i="16"/>
  <c r="D104" i="16"/>
  <c r="D123" i="16"/>
  <c r="H71" i="16"/>
  <c r="H74" i="16"/>
  <c r="H82" i="16"/>
  <c r="H85" i="16"/>
  <c r="H92" i="16"/>
  <c r="H95" i="16"/>
  <c r="H103" i="16"/>
  <c r="H106" i="16"/>
  <c r="H123" i="16"/>
  <c r="L74" i="16"/>
  <c r="L81" i="16"/>
  <c r="L85" i="16"/>
  <c r="L95" i="16"/>
  <c r="L102" i="16"/>
  <c r="L106" i="16"/>
  <c r="L123" i="16"/>
  <c r="E95" i="18"/>
  <c r="E94" i="18"/>
  <c r="E92" i="18"/>
  <c r="E91" i="18"/>
  <c r="E85" i="18"/>
  <c r="E84" i="18"/>
  <c r="E82" i="18"/>
  <c r="E81" i="18"/>
  <c r="E74" i="18"/>
  <c r="E73" i="18"/>
  <c r="E71" i="18"/>
  <c r="E70" i="18"/>
  <c r="L83" i="16" l="1"/>
  <c r="L84" i="16"/>
  <c r="H104" i="16"/>
  <c r="L69" i="16"/>
  <c r="L90" i="16"/>
  <c r="H83" i="16"/>
  <c r="H72" i="16"/>
  <c r="H69" i="16"/>
  <c r="H90" i="16"/>
  <c r="H101" i="16"/>
  <c r="H93" i="16"/>
  <c r="H80" i="16"/>
  <c r="L105" i="16"/>
  <c r="E84" i="37"/>
  <c r="E84" i="29"/>
  <c r="E84" i="33"/>
  <c r="E84" i="20"/>
  <c r="E84" i="13"/>
  <c r="E84" i="16"/>
  <c r="E74" i="37"/>
  <c r="E74" i="29"/>
  <c r="E74" i="33"/>
  <c r="E74" i="13"/>
  <c r="E74" i="20"/>
  <c r="E74" i="16"/>
  <c r="E85" i="37"/>
  <c r="E85" i="29"/>
  <c r="E85" i="33"/>
  <c r="E85" i="13"/>
  <c r="E85" i="20"/>
  <c r="E85" i="16"/>
  <c r="E95" i="37"/>
  <c r="E95" i="33"/>
  <c r="E95" i="20"/>
  <c r="E95" i="16"/>
  <c r="E106" i="37"/>
  <c r="E106" i="29"/>
  <c r="E106" i="33"/>
  <c r="E106" i="13"/>
  <c r="E106" i="20"/>
  <c r="E106" i="16"/>
  <c r="L80" i="16"/>
  <c r="L93" i="16"/>
  <c r="E105" i="37"/>
  <c r="E105" i="33"/>
  <c r="E105" i="29"/>
  <c r="E105" i="20"/>
  <c r="E105" i="13"/>
  <c r="E105" i="16"/>
  <c r="E70" i="37"/>
  <c r="E70" i="33"/>
  <c r="E70" i="29"/>
  <c r="E70" i="13"/>
  <c r="E70" i="20"/>
  <c r="E70" i="16"/>
  <c r="E81" i="37"/>
  <c r="E81" i="33"/>
  <c r="E81" i="29"/>
  <c r="E81" i="13"/>
  <c r="E81" i="20"/>
  <c r="E81" i="16"/>
  <c r="E91" i="37"/>
  <c r="E91" i="33"/>
  <c r="E91" i="29"/>
  <c r="E91" i="20"/>
  <c r="E91" i="16"/>
  <c r="E102" i="37"/>
  <c r="E102" i="33"/>
  <c r="E102" i="29"/>
  <c r="E102" i="13"/>
  <c r="E102" i="20"/>
  <c r="E102" i="16"/>
  <c r="E73" i="37"/>
  <c r="E73" i="29"/>
  <c r="E73" i="33"/>
  <c r="E73" i="20"/>
  <c r="E73" i="13"/>
  <c r="E73" i="16"/>
  <c r="J104" i="16"/>
  <c r="L104" i="16" s="1"/>
  <c r="E94" i="37"/>
  <c r="E94" i="33"/>
  <c r="E94" i="29"/>
  <c r="E94" i="20"/>
  <c r="E94" i="16"/>
  <c r="E71" i="37"/>
  <c r="E71" i="33"/>
  <c r="E71" i="29"/>
  <c r="E71" i="20"/>
  <c r="E71" i="13"/>
  <c r="E71" i="16"/>
  <c r="E82" i="37"/>
  <c r="E82" i="33"/>
  <c r="E82" i="29"/>
  <c r="E82" i="20"/>
  <c r="E82" i="13"/>
  <c r="E82" i="16"/>
  <c r="E92" i="37"/>
  <c r="E92" i="29"/>
  <c r="E92" i="33"/>
  <c r="E92" i="20"/>
  <c r="E92" i="16"/>
  <c r="E103" i="37"/>
  <c r="E103" i="33"/>
  <c r="E103" i="29"/>
  <c r="E103" i="20"/>
  <c r="E103" i="13"/>
  <c r="E103" i="16"/>
  <c r="L101" i="16"/>
  <c r="G16" i="10"/>
  <c r="I36" i="13"/>
  <c r="I36" i="16"/>
  <c r="I37" i="13"/>
  <c r="G26" i="10"/>
  <c r="I37" i="16"/>
  <c r="I39" i="16"/>
  <c r="I38" i="16"/>
  <c r="G34" i="10"/>
  <c r="I38" i="13"/>
  <c r="I9" i="16" l="1"/>
  <c r="I8" i="16"/>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G24" i="58"/>
  <c r="H16" i="58"/>
  <c r="D8" i="58"/>
  <c r="B33" i="58"/>
  <c r="D36"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H37" i="58" s="1"/>
  <c r="F38" i="58"/>
  <c r="F34" i="58"/>
  <c r="H34" i="58" l="1"/>
  <c r="H36" i="58"/>
  <c r="G32" i="58"/>
  <c r="H38" i="58"/>
  <c r="H35" i="58"/>
  <c r="F32" i="58"/>
  <c r="H32" i="58" l="1"/>
  <c r="E52" i="16"/>
  <c r="E51" i="16"/>
  <c r="E50" i="16"/>
  <c r="D51" i="16" l="1"/>
  <c r="D50" i="16"/>
  <c r="D52" i="16"/>
  <c r="H11" i="10" l="1"/>
  <c r="G56" i="10"/>
  <c r="G60" i="10"/>
  <c r="I69" i="16" l="1"/>
  <c r="F60" i="10"/>
  <c r="K28" i="10" l="1"/>
  <c r="J28" i="10"/>
  <c r="D50" i="39" l="1"/>
  <c r="C47" i="39"/>
  <c r="D50" i="33"/>
  <c r="G87" i="35"/>
  <c r="F87" i="35"/>
  <c r="G66" i="29"/>
  <c r="D50" i="41"/>
  <c r="D50" i="25"/>
  <c r="D50" i="21"/>
  <c r="J36" i="13"/>
  <c r="K38" i="13"/>
  <c r="K37" i="13"/>
  <c r="D50" i="13"/>
  <c r="J38" i="13"/>
  <c r="L38" i="13" s="1"/>
  <c r="J37" i="13"/>
  <c r="K36" i="13"/>
  <c r="D22" i="16"/>
  <c r="L37" i="13" l="1"/>
  <c r="B134" i="4"/>
  <c r="B15" i="10" s="1"/>
  <c r="G15" i="9"/>
  <c r="L36" i="13"/>
  <c r="C75" i="4"/>
  <c r="B121" i="4"/>
  <c r="B34" i="4"/>
  <c r="B58" i="4"/>
  <c r="C28" i="4"/>
  <c r="E28" i="18" s="1"/>
  <c r="C100" i="4"/>
  <c r="C136" i="4"/>
  <c r="B118" i="4"/>
  <c r="D118" i="4" s="1"/>
  <c r="B75" i="4"/>
  <c r="B55" i="4"/>
  <c r="B57" i="4"/>
  <c r="B35" i="4"/>
  <c r="B42" i="10" s="1"/>
  <c r="C58" i="4"/>
  <c r="C78" i="4"/>
  <c r="E78" i="18" s="1"/>
  <c r="B124" i="4"/>
  <c r="C118" i="4"/>
  <c r="C117" i="4"/>
  <c r="G21" i="9"/>
  <c r="G87" i="23"/>
  <c r="H36" i="9" s="1"/>
  <c r="C66" i="29"/>
  <c r="F66" i="35"/>
  <c r="B137" i="4"/>
  <c r="B44" i="10" s="1"/>
  <c r="C55" i="4"/>
  <c r="C135" i="4"/>
  <c r="B96" i="4"/>
  <c r="C126" i="4"/>
  <c r="G87" i="29"/>
  <c r="C96" i="4"/>
  <c r="B120" i="4"/>
  <c r="C120" i="4"/>
  <c r="E120" i="18" s="1"/>
  <c r="B11" i="4"/>
  <c r="B30" i="10" s="1"/>
  <c r="B122" i="4"/>
  <c r="C68" i="4"/>
  <c r="C89" i="4"/>
  <c r="F66" i="23"/>
  <c r="B87" i="27"/>
  <c r="G20" i="9" s="1"/>
  <c r="G66" i="23"/>
  <c r="C36" i="9" s="1"/>
  <c r="C57" i="4"/>
  <c r="C114" i="4"/>
  <c r="C137" i="4"/>
  <c r="B88" i="4"/>
  <c r="C49" i="4"/>
  <c r="B89" i="4"/>
  <c r="B23" i="10" s="1"/>
  <c r="B79" i="4"/>
  <c r="B110" i="4"/>
  <c r="B126" i="4"/>
  <c r="B117" i="4"/>
  <c r="G87" i="13"/>
  <c r="H34" i="9" s="1"/>
  <c r="C87" i="13"/>
  <c r="B135" i="4"/>
  <c r="B25" i="10" s="1"/>
  <c r="B67" i="4"/>
  <c r="B114" i="4"/>
  <c r="C121" i="4"/>
  <c r="C99" i="4"/>
  <c r="E99" i="18" s="1"/>
  <c r="C113" i="4"/>
  <c r="B28" i="4"/>
  <c r="C86" i="4"/>
  <c r="C35" i="4"/>
  <c r="B48" i="4"/>
  <c r="C48" i="4"/>
  <c r="B136" i="4"/>
  <c r="B33" i="10" s="1"/>
  <c r="C79" i="4"/>
  <c r="B49" i="4"/>
  <c r="B100" i="4"/>
  <c r="B108" i="4"/>
  <c r="C124" i="4"/>
  <c r="C109" i="4"/>
  <c r="G66" i="27"/>
  <c r="C38" i="9" s="1"/>
  <c r="B116" i="4"/>
  <c r="B99" i="4"/>
  <c r="C108" i="4"/>
  <c r="E108" i="18" s="1"/>
  <c r="C125" i="4"/>
  <c r="B125" i="4"/>
  <c r="C110" i="4"/>
  <c r="H12" i="9"/>
  <c r="G25" i="9"/>
  <c r="G87" i="16"/>
  <c r="C9" i="4"/>
  <c r="E9" i="18" s="1"/>
  <c r="B107" i="4"/>
  <c r="C116" i="4"/>
  <c r="E116" i="18" s="1"/>
  <c r="G66" i="20"/>
  <c r="C66" i="27"/>
  <c r="C66" i="33"/>
  <c r="G87" i="33"/>
  <c r="H41" i="9" s="1"/>
  <c r="B78" i="4"/>
  <c r="G66" i="35"/>
  <c r="C40" i="9" s="1"/>
  <c r="K39" i="16"/>
  <c r="C39" i="4"/>
  <c r="K36" i="16"/>
  <c r="C36" i="4"/>
  <c r="J38" i="16"/>
  <c r="B38" i="4"/>
  <c r="B34" i="10" s="1"/>
  <c r="B109" i="4"/>
  <c r="C66" i="20"/>
  <c r="C66" i="23"/>
  <c r="H23" i="9"/>
  <c r="J39" i="16"/>
  <c r="B39" i="4"/>
  <c r="C29" i="9"/>
  <c r="B10" i="4"/>
  <c r="B20" i="10" s="1"/>
  <c r="J36" i="16"/>
  <c r="L36" i="16" s="1"/>
  <c r="B36" i="4"/>
  <c r="B16" i="10" s="1"/>
  <c r="C34" i="4"/>
  <c r="J37" i="16"/>
  <c r="B37" i="4"/>
  <c r="B26" i="10" s="1"/>
  <c r="C107" i="4"/>
  <c r="C134" i="4"/>
  <c r="B86" i="4"/>
  <c r="K37" i="16"/>
  <c r="C37" i="4"/>
  <c r="K38" i="16"/>
  <c r="C38" i="4"/>
  <c r="C66" i="13"/>
  <c r="B66" i="20"/>
  <c r="G66" i="13"/>
  <c r="G87" i="20"/>
  <c r="H35" i="9" s="1"/>
  <c r="H22" i="9"/>
  <c r="C87" i="29"/>
  <c r="C87" i="33"/>
  <c r="H29" i="9"/>
  <c r="F66" i="16"/>
  <c r="B112" i="4"/>
  <c r="C122" i="4"/>
  <c r="G66" i="16"/>
  <c r="C112" i="4"/>
  <c r="E112" i="18" s="1"/>
  <c r="C87" i="16"/>
  <c r="C88" i="4"/>
  <c r="E88" i="18" s="1"/>
  <c r="B54" i="4"/>
  <c r="C54" i="4"/>
  <c r="B113" i="4"/>
  <c r="B68" i="4"/>
  <c r="B13" i="10" s="1"/>
  <c r="C66" i="16"/>
  <c r="C67" i="4"/>
  <c r="E67" i="18" s="1"/>
  <c r="C87" i="20"/>
  <c r="H13" i="9" s="1"/>
  <c r="C87" i="23"/>
  <c r="H37" i="9"/>
  <c r="C87" i="27"/>
  <c r="H20" i="9" s="1"/>
  <c r="H19" i="9"/>
  <c r="G87" i="27"/>
  <c r="H38" i="9" s="1"/>
  <c r="G66" i="33"/>
  <c r="C41" i="9" s="1"/>
  <c r="F87" i="16"/>
  <c r="B66" i="13"/>
  <c r="G17" i="9"/>
  <c r="M65" i="8" s="1"/>
  <c r="F87" i="27"/>
  <c r="G18" i="9"/>
  <c r="B87" i="33"/>
  <c r="G26" i="9" s="1"/>
  <c r="G28" i="9"/>
  <c r="F11" i="4"/>
  <c r="C12" i="4"/>
  <c r="E10" i="4"/>
  <c r="F20" i="10" s="1"/>
  <c r="B87" i="16"/>
  <c r="F87" i="20"/>
  <c r="B66" i="23"/>
  <c r="B87" i="23"/>
  <c r="G16" i="9" s="1"/>
  <c r="M64" i="8" s="1"/>
  <c r="F87" i="33"/>
  <c r="G29" i="9"/>
  <c r="B87" i="13"/>
  <c r="G11" i="9" s="1"/>
  <c r="B66" i="16"/>
  <c r="G12" i="9"/>
  <c r="B87" i="20"/>
  <c r="G13" i="9" s="1"/>
  <c r="G14" i="9"/>
  <c r="F87" i="23"/>
  <c r="G36" i="9" s="1"/>
  <c r="B66" i="27"/>
  <c r="F66" i="27"/>
  <c r="B87" i="29"/>
  <c r="G24" i="9" s="1"/>
  <c r="B66" i="29"/>
  <c r="B66" i="33"/>
  <c r="F66" i="33"/>
  <c r="B41" i="9" s="1"/>
  <c r="F66" i="13"/>
  <c r="B34" i="9" s="1"/>
  <c r="F87" i="13"/>
  <c r="G34" i="9" s="1"/>
  <c r="F66" i="20"/>
  <c r="B35" i="9" s="1"/>
  <c r="G19" i="9"/>
  <c r="G22" i="9"/>
  <c r="G23" i="9"/>
  <c r="F66" i="29"/>
  <c r="B39" i="9" s="1"/>
  <c r="F87" i="29"/>
  <c r="E87" i="4" s="1"/>
  <c r="E12" i="4"/>
  <c r="F41" i="10" s="1"/>
  <c r="B9" i="4"/>
  <c r="B8" i="4"/>
  <c r="F7" i="4"/>
  <c r="C8" i="4"/>
  <c r="E8" i="18" s="1"/>
  <c r="E11" i="4"/>
  <c r="F30" i="10" s="1"/>
  <c r="C7" i="4"/>
  <c r="B7" i="4"/>
  <c r="B9" i="10" s="1"/>
  <c r="C10" i="4"/>
  <c r="B12" i="4"/>
  <c r="B41" i="10" s="1"/>
  <c r="E7" i="4"/>
  <c r="F9" i="10" s="1"/>
  <c r="F10" i="4"/>
  <c r="F12" i="4"/>
  <c r="C11" i="4"/>
  <c r="D50" i="26"/>
  <c r="D50" i="22"/>
  <c r="K135" i="26"/>
  <c r="H29" i="29"/>
  <c r="K121" i="13"/>
  <c r="H121" i="33"/>
  <c r="H29" i="20"/>
  <c r="H125" i="33"/>
  <c r="H68" i="29"/>
  <c r="K113" i="33"/>
  <c r="H68" i="35"/>
  <c r="D121" i="16"/>
  <c r="D134" i="16"/>
  <c r="H29" i="13"/>
  <c r="K68" i="20"/>
  <c r="J86" i="29"/>
  <c r="K108" i="33"/>
  <c r="H22" i="33"/>
  <c r="K68" i="33"/>
  <c r="H35" i="29"/>
  <c r="D124" i="16"/>
  <c r="H34" i="13"/>
  <c r="D88" i="16"/>
  <c r="D37" i="16"/>
  <c r="D135" i="16"/>
  <c r="H100" i="16"/>
  <c r="H117" i="16"/>
  <c r="H121" i="27"/>
  <c r="D55" i="39"/>
  <c r="K89" i="27"/>
  <c r="K108" i="27"/>
  <c r="H121" i="35"/>
  <c r="K135" i="34"/>
  <c r="K134" i="26"/>
  <c r="K113" i="29"/>
  <c r="H100" i="29"/>
  <c r="K137" i="26"/>
  <c r="K116" i="29"/>
  <c r="J79" i="29"/>
  <c r="H34" i="16"/>
  <c r="H126" i="16"/>
  <c r="D125" i="16"/>
  <c r="H118" i="16"/>
  <c r="K28" i="51"/>
  <c r="C56" i="40"/>
  <c r="H89" i="29"/>
  <c r="K116" i="33"/>
  <c r="H134" i="16"/>
  <c r="C56" i="22"/>
  <c r="C47" i="40"/>
  <c r="H34" i="33"/>
  <c r="H121" i="16"/>
  <c r="H22" i="16"/>
  <c r="H12" i="33"/>
  <c r="H114" i="16"/>
  <c r="C53" i="13"/>
  <c r="H35" i="16"/>
  <c r="H79" i="27"/>
  <c r="H125" i="29"/>
  <c r="D137" i="16"/>
  <c r="H7" i="16"/>
  <c r="C47" i="20"/>
  <c r="K108" i="23"/>
  <c r="D55" i="22"/>
  <c r="K22" i="23"/>
  <c r="K100" i="27"/>
  <c r="K107" i="33"/>
  <c r="K100" i="33"/>
  <c r="K75" i="33"/>
  <c r="K122" i="33"/>
  <c r="H29" i="16"/>
  <c r="D126" i="16"/>
  <c r="D55" i="41"/>
  <c r="H86" i="35"/>
  <c r="K114" i="33"/>
  <c r="H136" i="16"/>
  <c r="H29" i="33"/>
  <c r="H75" i="33"/>
  <c r="H120" i="16"/>
  <c r="D36" i="16"/>
  <c r="D12" i="16"/>
  <c r="H11" i="16"/>
  <c r="D78" i="16"/>
  <c r="D112" i="16"/>
  <c r="D114" i="16"/>
  <c r="H67" i="16"/>
  <c r="D11" i="16"/>
  <c r="G111" i="13"/>
  <c r="D37" i="13"/>
  <c r="K89" i="20"/>
  <c r="H100" i="20"/>
  <c r="K89" i="23"/>
  <c r="K68" i="23"/>
  <c r="K28" i="24"/>
  <c r="H135" i="26"/>
  <c r="H22" i="29"/>
  <c r="K113" i="35"/>
  <c r="K109" i="35"/>
  <c r="H12" i="35"/>
  <c r="H96" i="33"/>
  <c r="H117" i="33"/>
  <c r="K100" i="20"/>
  <c r="K28" i="25"/>
  <c r="C47" i="41"/>
  <c r="K96" i="33"/>
  <c r="H35" i="33"/>
  <c r="D49" i="33"/>
  <c r="K117" i="33"/>
  <c r="H100" i="27"/>
  <c r="H109" i="35"/>
  <c r="K28" i="23"/>
  <c r="D49" i="41"/>
  <c r="H40" i="9"/>
  <c r="C47" i="33"/>
  <c r="K113" i="20"/>
  <c r="C56" i="25"/>
  <c r="K109" i="27"/>
  <c r="K89" i="33"/>
  <c r="H113" i="35"/>
  <c r="H137" i="16"/>
  <c r="H79" i="16"/>
  <c r="D79" i="16"/>
  <c r="D75" i="16"/>
  <c r="H122" i="16"/>
  <c r="D99" i="16"/>
  <c r="D57" i="16"/>
  <c r="H28" i="16"/>
  <c r="D35" i="16"/>
  <c r="D28" i="16"/>
  <c r="H135" i="16"/>
  <c r="H96" i="16"/>
  <c r="D29" i="16"/>
  <c r="H110" i="16"/>
  <c r="D110" i="16"/>
  <c r="D118" i="16"/>
  <c r="D109" i="16"/>
  <c r="D117" i="16"/>
  <c r="H75" i="16"/>
  <c r="D9" i="16"/>
  <c r="H99" i="16"/>
  <c r="H113" i="16"/>
  <c r="D10" i="16"/>
  <c r="D39" i="16"/>
  <c r="D58" i="16"/>
  <c r="H112" i="16"/>
  <c r="D54" i="16"/>
  <c r="H88" i="16"/>
  <c r="D122" i="16"/>
  <c r="H109" i="16"/>
  <c r="H108" i="16"/>
  <c r="H116" i="16"/>
  <c r="H10" i="16"/>
  <c r="D86" i="16"/>
  <c r="D8" i="16"/>
  <c r="H78" i="16"/>
  <c r="D113" i="16"/>
  <c r="D136" i="16"/>
  <c r="D49" i="16"/>
  <c r="H89" i="16"/>
  <c r="D7" i="16"/>
  <c r="D55" i="16"/>
  <c r="D107" i="16"/>
  <c r="D34" i="16"/>
  <c r="H12" i="16"/>
  <c r="H107" i="16"/>
  <c r="D38" i="16"/>
  <c r="D96" i="16"/>
  <c r="D48" i="16"/>
  <c r="H86" i="16"/>
  <c r="D120" i="16"/>
  <c r="D67" i="16"/>
  <c r="H68" i="16"/>
  <c r="D89" i="16"/>
  <c r="D68" i="16"/>
  <c r="D100" i="16"/>
  <c r="D108" i="16"/>
  <c r="H125" i="16"/>
  <c r="H124" i="16"/>
  <c r="D116" i="16"/>
  <c r="H100" i="23"/>
  <c r="B21" i="10"/>
  <c r="K109" i="23"/>
  <c r="C56" i="21"/>
  <c r="H109" i="27"/>
  <c r="K34" i="13"/>
  <c r="K107" i="13"/>
  <c r="G119" i="13"/>
  <c r="K121" i="23"/>
  <c r="H109" i="23"/>
  <c r="G119" i="23"/>
  <c r="H22" i="23"/>
  <c r="C39" i="9"/>
  <c r="H89" i="35"/>
  <c r="H100" i="33"/>
  <c r="H68" i="33"/>
  <c r="K125" i="33"/>
  <c r="C56" i="39"/>
  <c r="D49" i="39"/>
  <c r="H7" i="23"/>
  <c r="H7" i="29"/>
  <c r="H7" i="33"/>
  <c r="H10" i="13"/>
  <c r="H10" i="35"/>
  <c r="H11" i="13"/>
  <c r="H89" i="20"/>
  <c r="K22" i="13"/>
  <c r="K29" i="13"/>
  <c r="H79" i="13"/>
  <c r="K100" i="13"/>
  <c r="K116" i="13"/>
  <c r="H121" i="13"/>
  <c r="B47" i="22"/>
  <c r="C53" i="22"/>
  <c r="K22" i="24"/>
  <c r="D49" i="26"/>
  <c r="H22" i="35"/>
  <c r="H113" i="29"/>
  <c r="H7" i="35"/>
  <c r="H11" i="35"/>
  <c r="H89" i="33"/>
  <c r="H107" i="33"/>
  <c r="K118" i="33"/>
  <c r="K121" i="33"/>
  <c r="H89" i="13"/>
  <c r="K109" i="13"/>
  <c r="K67" i="13"/>
  <c r="H22" i="20"/>
  <c r="H113" i="33"/>
  <c r="H107" i="35"/>
  <c r="D38" i="13"/>
  <c r="H12" i="23"/>
  <c r="H136" i="26"/>
  <c r="H89" i="27"/>
  <c r="K28" i="29"/>
  <c r="K34" i="29"/>
  <c r="H134" i="26"/>
  <c r="K117" i="29"/>
  <c r="H35" i="35"/>
  <c r="H79" i="23"/>
  <c r="H89" i="23"/>
  <c r="H117" i="23"/>
  <c r="K35" i="29"/>
  <c r="H117" i="29"/>
  <c r="D49" i="13"/>
  <c r="C53" i="21"/>
  <c r="C53" i="41"/>
  <c r="G119" i="35"/>
  <c r="H42" i="9"/>
  <c r="C56" i="13"/>
  <c r="H22" i="13"/>
  <c r="H113" i="20"/>
  <c r="H7" i="13"/>
  <c r="K35" i="13"/>
  <c r="K108" i="13"/>
  <c r="H107" i="13"/>
  <c r="G111" i="20"/>
  <c r="C42" i="9"/>
  <c r="G119" i="33"/>
  <c r="D48" i="13"/>
  <c r="B47" i="13"/>
  <c r="D10" i="13"/>
  <c r="K28" i="13"/>
  <c r="K68" i="13"/>
  <c r="K112" i="13"/>
  <c r="C111" i="13"/>
  <c r="H35" i="13"/>
  <c r="H109" i="13"/>
  <c r="F119" i="13"/>
  <c r="J89" i="13"/>
  <c r="D89" i="13"/>
  <c r="D11" i="13"/>
  <c r="D9" i="19"/>
  <c r="B33" i="9"/>
  <c r="K113" i="13"/>
  <c r="D9" i="13"/>
  <c r="H68" i="13"/>
  <c r="J88" i="13"/>
  <c r="D88" i="13"/>
  <c r="H100" i="13"/>
  <c r="H12" i="13"/>
  <c r="C33" i="9"/>
  <c r="H33" i="9"/>
  <c r="G33" i="9"/>
  <c r="D78" i="13"/>
  <c r="J78" i="13"/>
  <c r="D12" i="13"/>
  <c r="K120" i="13"/>
  <c r="C119" i="13"/>
  <c r="C34" i="9"/>
  <c r="K88" i="13"/>
  <c r="H11" i="9"/>
  <c r="F111" i="13"/>
  <c r="G119" i="20"/>
  <c r="B111" i="20"/>
  <c r="D35" i="13"/>
  <c r="J35" i="13"/>
  <c r="J68" i="13"/>
  <c r="K86" i="13"/>
  <c r="K89" i="13"/>
  <c r="J107" i="13"/>
  <c r="D107" i="13"/>
  <c r="D112" i="13"/>
  <c r="B111" i="13"/>
  <c r="J112" i="13"/>
  <c r="D86" i="13"/>
  <c r="J86" i="13"/>
  <c r="G10" i="9"/>
  <c r="D8" i="20"/>
  <c r="J79" i="13"/>
  <c r="D99" i="13"/>
  <c r="J99" i="13"/>
  <c r="J124" i="13"/>
  <c r="D124" i="13"/>
  <c r="H108" i="13"/>
  <c r="H113" i="13"/>
  <c r="J68" i="20"/>
  <c r="D68" i="20"/>
  <c r="J100" i="20"/>
  <c r="D100" i="20"/>
  <c r="D36" i="13"/>
  <c r="D54" i="13"/>
  <c r="B53" i="13"/>
  <c r="D108" i="13"/>
  <c r="J108" i="13"/>
  <c r="J113" i="13"/>
  <c r="K124" i="13"/>
  <c r="D7" i="20"/>
  <c r="D7" i="13"/>
  <c r="D22" i="13"/>
  <c r="J22" i="13"/>
  <c r="J29" i="13"/>
  <c r="D29" i="13"/>
  <c r="D57" i="13"/>
  <c r="B56" i="13"/>
  <c r="K78" i="13"/>
  <c r="K99" i="13"/>
  <c r="D109" i="13"/>
  <c r="J109" i="13"/>
  <c r="J120" i="13"/>
  <c r="D120" i="13"/>
  <c r="B119" i="13"/>
  <c r="D10" i="20"/>
  <c r="D7" i="19"/>
  <c r="B119" i="20"/>
  <c r="J28" i="20"/>
  <c r="D28" i="20"/>
  <c r="K79" i="20"/>
  <c r="K121" i="20"/>
  <c r="H77" i="20"/>
  <c r="F119" i="20"/>
  <c r="D54" i="22"/>
  <c r="B53" i="22"/>
  <c r="D22" i="23"/>
  <c r="J22" i="23"/>
  <c r="D28" i="24"/>
  <c r="J28" i="24"/>
  <c r="D28" i="25"/>
  <c r="J28" i="25"/>
  <c r="J100" i="27"/>
  <c r="J112" i="23"/>
  <c r="D112" i="23"/>
  <c r="B111" i="23"/>
  <c r="J22" i="24"/>
  <c r="D22" i="24"/>
  <c r="J88" i="27"/>
  <c r="D88" i="27"/>
  <c r="D8" i="22"/>
  <c r="D29" i="23"/>
  <c r="J29" i="23"/>
  <c r="C111" i="23"/>
  <c r="K112" i="23"/>
  <c r="D7" i="24"/>
  <c r="K35" i="23"/>
  <c r="J117" i="23"/>
  <c r="K29" i="24"/>
  <c r="D48" i="25"/>
  <c r="B47" i="25"/>
  <c r="G111" i="27"/>
  <c r="D9" i="22"/>
  <c r="K67" i="23"/>
  <c r="D78" i="23"/>
  <c r="K78" i="23"/>
  <c r="J108" i="23"/>
  <c r="D108" i="23"/>
  <c r="H113" i="23"/>
  <c r="C47" i="25"/>
  <c r="J68" i="27"/>
  <c r="K88" i="27"/>
  <c r="G119" i="27"/>
  <c r="D67" i="29"/>
  <c r="K67" i="29"/>
  <c r="J75" i="33"/>
  <c r="D75" i="33"/>
  <c r="D48" i="26"/>
  <c r="B47" i="26"/>
  <c r="K67" i="27"/>
  <c r="J79" i="27"/>
  <c r="J121" i="27"/>
  <c r="B47" i="51"/>
  <c r="D48" i="51"/>
  <c r="J28" i="29"/>
  <c r="D28" i="29"/>
  <c r="B40" i="9"/>
  <c r="C47" i="26"/>
  <c r="D136" i="26"/>
  <c r="J136" i="26"/>
  <c r="H68" i="27"/>
  <c r="F111" i="27"/>
  <c r="H117" i="27"/>
  <c r="D7" i="29"/>
  <c r="D58" i="41"/>
  <c r="H12" i="29"/>
  <c r="J109" i="29"/>
  <c r="D109" i="29"/>
  <c r="C119" i="29"/>
  <c r="K120" i="29"/>
  <c r="D68" i="29"/>
  <c r="J68" i="29"/>
  <c r="D86" i="29"/>
  <c r="K86" i="29"/>
  <c r="K89" i="29"/>
  <c r="K107" i="29"/>
  <c r="J112" i="29"/>
  <c r="B111" i="29"/>
  <c r="D112" i="29"/>
  <c r="D116" i="29"/>
  <c r="J116" i="29"/>
  <c r="H121" i="29"/>
  <c r="C111" i="34"/>
  <c r="K112" i="34"/>
  <c r="K22" i="35"/>
  <c r="K29" i="35"/>
  <c r="D10" i="33"/>
  <c r="J68" i="33"/>
  <c r="D68" i="33"/>
  <c r="B53" i="33"/>
  <c r="D54" i="33"/>
  <c r="J86" i="35"/>
  <c r="J89" i="35"/>
  <c r="J107" i="35"/>
  <c r="D57" i="33"/>
  <c r="B56" i="33"/>
  <c r="K78" i="33"/>
  <c r="K77" i="33"/>
  <c r="C111" i="33"/>
  <c r="K112" i="33"/>
  <c r="K121" i="35"/>
  <c r="D8" i="33"/>
  <c r="H11" i="33"/>
  <c r="K35" i="33"/>
  <c r="D96" i="33"/>
  <c r="J96" i="33"/>
  <c r="J108" i="33"/>
  <c r="D108" i="33"/>
  <c r="F111" i="33"/>
  <c r="K110" i="33"/>
  <c r="D116" i="33"/>
  <c r="J116" i="33"/>
  <c r="B53" i="39"/>
  <c r="D54" i="39"/>
  <c r="D8" i="13"/>
  <c r="J28" i="13"/>
  <c r="D28" i="13"/>
  <c r="J34" i="13"/>
  <c r="D34" i="13"/>
  <c r="C47" i="13"/>
  <c r="D67" i="13"/>
  <c r="J67" i="13"/>
  <c r="K79" i="13"/>
  <c r="D100" i="13"/>
  <c r="J100" i="13"/>
  <c r="J116" i="13"/>
  <c r="D116" i="13"/>
  <c r="J121" i="13"/>
  <c r="D113" i="20"/>
  <c r="J113" i="20"/>
  <c r="D8" i="19"/>
  <c r="D79" i="20"/>
  <c r="J79" i="20"/>
  <c r="J121" i="20"/>
  <c r="D121" i="20"/>
  <c r="D57" i="22"/>
  <c r="B56" i="22"/>
  <c r="D9" i="20"/>
  <c r="H68" i="20"/>
  <c r="F111" i="20"/>
  <c r="K22" i="20"/>
  <c r="K29" i="20"/>
  <c r="C35" i="9"/>
  <c r="H79" i="20"/>
  <c r="H121" i="20"/>
  <c r="J113" i="23"/>
  <c r="J125" i="27"/>
  <c r="F119" i="27"/>
  <c r="D49" i="22"/>
  <c r="J34" i="23"/>
  <c r="K113" i="23"/>
  <c r="J125" i="23"/>
  <c r="D8" i="24"/>
  <c r="D7" i="25"/>
  <c r="J78" i="23"/>
  <c r="F111" i="23"/>
  <c r="D10" i="24"/>
  <c r="H29" i="23"/>
  <c r="J68" i="23"/>
  <c r="K79" i="23"/>
  <c r="J88" i="23"/>
  <c r="D88" i="23"/>
  <c r="K99" i="23"/>
  <c r="J109" i="23"/>
  <c r="C119" i="23"/>
  <c r="K120" i="23"/>
  <c r="C37" i="9"/>
  <c r="D48" i="40"/>
  <c r="B47" i="40"/>
  <c r="J29" i="29"/>
  <c r="D29" i="29"/>
  <c r="D112" i="27"/>
  <c r="J112" i="27"/>
  <c r="B111" i="27"/>
  <c r="J117" i="27"/>
  <c r="B47" i="41"/>
  <c r="D48" i="41"/>
  <c r="K68" i="27"/>
  <c r="C111" i="27"/>
  <c r="K112" i="27"/>
  <c r="K117" i="27"/>
  <c r="D134" i="26"/>
  <c r="J134" i="26"/>
  <c r="D137" i="26"/>
  <c r="J137" i="26"/>
  <c r="H113" i="27"/>
  <c r="J78" i="29"/>
  <c r="D78" i="29"/>
  <c r="F111" i="29"/>
  <c r="E111" i="4" s="1"/>
  <c r="C56" i="41"/>
  <c r="J22" i="29"/>
  <c r="D22" i="29"/>
  <c r="K68" i="29"/>
  <c r="J88" i="29"/>
  <c r="D88" i="29"/>
  <c r="J121" i="29"/>
  <c r="J134" i="34"/>
  <c r="D134" i="34"/>
  <c r="H29" i="35"/>
  <c r="K108" i="29"/>
  <c r="G111" i="29"/>
  <c r="F111" i="4" s="1"/>
  <c r="K124" i="29"/>
  <c r="B47" i="34"/>
  <c r="D48" i="34"/>
  <c r="J22" i="35"/>
  <c r="J29" i="35"/>
  <c r="F119" i="35"/>
  <c r="H77" i="29"/>
  <c r="H107" i="29"/>
  <c r="K112" i="29"/>
  <c r="C111" i="29"/>
  <c r="J117" i="29"/>
  <c r="J135" i="34"/>
  <c r="D135" i="34"/>
  <c r="K34" i="35"/>
  <c r="J117" i="35"/>
  <c r="D9" i="33"/>
  <c r="J78" i="33"/>
  <c r="D78" i="33"/>
  <c r="G111" i="35"/>
  <c r="J22" i="33"/>
  <c r="D22" i="33"/>
  <c r="J29" i="33"/>
  <c r="D29" i="33"/>
  <c r="J67" i="33"/>
  <c r="K79" i="33"/>
  <c r="K86" i="35"/>
  <c r="K89" i="35"/>
  <c r="K107" i="35"/>
  <c r="H117" i="35"/>
  <c r="C56" i="33"/>
  <c r="H77" i="33"/>
  <c r="J99" i="33"/>
  <c r="D99" i="33"/>
  <c r="D109" i="33"/>
  <c r="J109" i="33"/>
  <c r="G42" i="9"/>
  <c r="G111" i="33"/>
  <c r="J112" i="33"/>
  <c r="B111" i="33"/>
  <c r="D112" i="33"/>
  <c r="J117" i="33"/>
  <c r="D48" i="39"/>
  <c r="B47" i="39"/>
  <c r="D47" i="39" s="1"/>
  <c r="C53" i="39"/>
  <c r="C111" i="20"/>
  <c r="B56" i="21"/>
  <c r="D56" i="21" s="1"/>
  <c r="D57" i="21"/>
  <c r="K28" i="20"/>
  <c r="J89" i="20"/>
  <c r="D89" i="20"/>
  <c r="C47" i="21"/>
  <c r="J28" i="23"/>
  <c r="D28" i="23"/>
  <c r="D48" i="21"/>
  <c r="B47" i="21"/>
  <c r="B56" i="25"/>
  <c r="D57" i="25"/>
  <c r="J35" i="23"/>
  <c r="D8" i="25"/>
  <c r="D9" i="51"/>
  <c r="K29" i="23"/>
  <c r="J67" i="23"/>
  <c r="D67" i="23"/>
  <c r="J79" i="23"/>
  <c r="J99" i="23"/>
  <c r="D99" i="23"/>
  <c r="J120" i="23"/>
  <c r="B119" i="23"/>
  <c r="D120" i="23"/>
  <c r="K125" i="23"/>
  <c r="C53" i="25"/>
  <c r="D48" i="22"/>
  <c r="C47" i="22"/>
  <c r="H10" i="23"/>
  <c r="H34" i="23"/>
  <c r="J89" i="23"/>
  <c r="K100" i="23"/>
  <c r="K116" i="23"/>
  <c r="J121" i="23"/>
  <c r="H125" i="23"/>
  <c r="D9" i="24"/>
  <c r="B53" i="25"/>
  <c r="D54" i="25"/>
  <c r="D99" i="27"/>
  <c r="J99" i="27"/>
  <c r="J113" i="27"/>
  <c r="D57" i="41"/>
  <c r="B56" i="41"/>
  <c r="K113" i="27"/>
  <c r="L7" i="51"/>
  <c r="D7" i="51"/>
  <c r="D10" i="51"/>
  <c r="J34" i="29"/>
  <c r="D34" i="29"/>
  <c r="K78" i="27"/>
  <c r="C119" i="27"/>
  <c r="K120" i="27"/>
  <c r="H125" i="27"/>
  <c r="D10" i="29"/>
  <c r="J89" i="29"/>
  <c r="D89" i="29"/>
  <c r="H10" i="29"/>
  <c r="K22" i="29"/>
  <c r="K29" i="29"/>
  <c r="B119" i="29"/>
  <c r="J120" i="29"/>
  <c r="D120" i="29"/>
  <c r="J107" i="29"/>
  <c r="D107" i="29"/>
  <c r="H34" i="35"/>
  <c r="K78" i="29"/>
  <c r="K99" i="29"/>
  <c r="K109" i="29"/>
  <c r="F119" i="29"/>
  <c r="J125" i="29"/>
  <c r="D112" i="34"/>
  <c r="B111" i="34"/>
  <c r="J112" i="34"/>
  <c r="L112" i="34" s="1"/>
  <c r="K134" i="34"/>
  <c r="J34" i="35"/>
  <c r="J68" i="35"/>
  <c r="H27" i="9"/>
  <c r="H79" i="29"/>
  <c r="J113" i="29"/>
  <c r="K125" i="29"/>
  <c r="K35" i="35"/>
  <c r="K68" i="35"/>
  <c r="D48" i="33"/>
  <c r="B47" i="33"/>
  <c r="F111" i="35"/>
  <c r="K117" i="35"/>
  <c r="D67" i="33"/>
  <c r="K67" i="33"/>
  <c r="J79" i="33"/>
  <c r="D79" i="33"/>
  <c r="J28" i="33"/>
  <c r="D28" i="33"/>
  <c r="J34" i="33"/>
  <c r="K86" i="33"/>
  <c r="D122" i="33"/>
  <c r="J122" i="33"/>
  <c r="J113" i="35"/>
  <c r="K22" i="33"/>
  <c r="K29" i="33"/>
  <c r="H79" i="33"/>
  <c r="J88" i="33"/>
  <c r="D88" i="33"/>
  <c r="J100" i="33"/>
  <c r="D100" i="33"/>
  <c r="C119" i="33"/>
  <c r="D113" i="33"/>
  <c r="J113" i="33"/>
  <c r="D118" i="33"/>
  <c r="J118" i="33"/>
  <c r="L118" i="33" s="1"/>
  <c r="B56" i="39"/>
  <c r="D57" i="39"/>
  <c r="D54" i="21"/>
  <c r="B53" i="21"/>
  <c r="D53" i="21" s="1"/>
  <c r="J22" i="20"/>
  <c r="D22" i="20"/>
  <c r="J29" i="20"/>
  <c r="D29" i="20"/>
  <c r="B47" i="20"/>
  <c r="D48" i="20"/>
  <c r="K77" i="20"/>
  <c r="C119" i="20"/>
  <c r="K88" i="23"/>
  <c r="J35" i="29"/>
  <c r="D35" i="29"/>
  <c r="D7" i="22"/>
  <c r="F119" i="23"/>
  <c r="H121" i="23"/>
  <c r="J29" i="24"/>
  <c r="D29" i="24"/>
  <c r="H18" i="9"/>
  <c r="J89" i="27"/>
  <c r="K34" i="23"/>
  <c r="H68" i="23"/>
  <c r="J100" i="23"/>
  <c r="D116" i="23"/>
  <c r="J116" i="23"/>
  <c r="J108" i="27"/>
  <c r="D108" i="27"/>
  <c r="J28" i="51"/>
  <c r="L28" i="51" s="1"/>
  <c r="D28" i="51"/>
  <c r="H11" i="23"/>
  <c r="H35" i="23"/>
  <c r="G111" i="23"/>
  <c r="K117" i="23"/>
  <c r="D9" i="25"/>
  <c r="J109" i="27"/>
  <c r="D67" i="27"/>
  <c r="J67" i="27"/>
  <c r="K99" i="27"/>
  <c r="K125" i="27"/>
  <c r="K136" i="26"/>
  <c r="J78" i="27"/>
  <c r="D78" i="27"/>
  <c r="D120" i="27"/>
  <c r="B119" i="27"/>
  <c r="J120" i="27"/>
  <c r="D8" i="51"/>
  <c r="D135" i="26"/>
  <c r="J135" i="26"/>
  <c r="K79" i="27"/>
  <c r="K121" i="27"/>
  <c r="C47" i="51"/>
  <c r="B56" i="40"/>
  <c r="D57" i="40"/>
  <c r="D54" i="41"/>
  <c r="B53" i="41"/>
  <c r="D53" i="41" s="1"/>
  <c r="D8" i="29"/>
  <c r="J99" i="29"/>
  <c r="D99" i="29"/>
  <c r="B119" i="33"/>
  <c r="D9" i="29"/>
  <c r="H11" i="29"/>
  <c r="H34" i="29"/>
  <c r="J100" i="29"/>
  <c r="D100" i="29"/>
  <c r="J108" i="29"/>
  <c r="D108" i="29"/>
  <c r="D124" i="29"/>
  <c r="J124" i="29"/>
  <c r="D125" i="33"/>
  <c r="J125" i="33"/>
  <c r="J67" i="29"/>
  <c r="D79" i="29"/>
  <c r="K79" i="29"/>
  <c r="K88" i="29"/>
  <c r="K100" i="29"/>
  <c r="K121" i="29"/>
  <c r="J35" i="35"/>
  <c r="K99" i="33"/>
  <c r="H86" i="29"/>
  <c r="H109" i="29"/>
  <c r="G119" i="29"/>
  <c r="C47" i="34"/>
  <c r="K88" i="33"/>
  <c r="J86" i="33"/>
  <c r="D121" i="33"/>
  <c r="J121" i="33"/>
  <c r="J121" i="35"/>
  <c r="J35" i="33"/>
  <c r="D35" i="33"/>
  <c r="C53" i="33"/>
  <c r="J109" i="35"/>
  <c r="D7" i="33"/>
  <c r="H10" i="33"/>
  <c r="K28" i="33"/>
  <c r="K34" i="33"/>
  <c r="H86" i="33"/>
  <c r="J89" i="33"/>
  <c r="D89" i="33"/>
  <c r="J107" i="33"/>
  <c r="J110" i="33"/>
  <c r="L110" i="33" s="1"/>
  <c r="D110" i="33"/>
  <c r="K109" i="33"/>
  <c r="F119" i="33"/>
  <c r="H109" i="33"/>
  <c r="J114" i="33"/>
  <c r="D114" i="33"/>
  <c r="G27" i="9"/>
  <c r="K100" i="16"/>
  <c r="B10" i="10"/>
  <c r="K136" i="16"/>
  <c r="H9" i="9"/>
  <c r="K125" i="16"/>
  <c r="K126" i="16"/>
  <c r="K114" i="16"/>
  <c r="K75" i="16"/>
  <c r="K22" i="16"/>
  <c r="C56" i="16"/>
  <c r="K96" i="16"/>
  <c r="C119" i="16"/>
  <c r="K78" i="16"/>
  <c r="K137" i="16"/>
  <c r="K113" i="16"/>
  <c r="K99" i="16"/>
  <c r="K88" i="16"/>
  <c r="K134" i="16"/>
  <c r="K79" i="16"/>
  <c r="K67" i="16"/>
  <c r="K116" i="16"/>
  <c r="K135" i="16"/>
  <c r="B56" i="16"/>
  <c r="J89" i="16"/>
  <c r="J107" i="16"/>
  <c r="J35" i="16"/>
  <c r="J108" i="16"/>
  <c r="J22" i="16"/>
  <c r="J28" i="16"/>
  <c r="J78" i="16"/>
  <c r="J110" i="16"/>
  <c r="B47" i="16"/>
  <c r="K118" i="16"/>
  <c r="K107" i="16"/>
  <c r="G111" i="16"/>
  <c r="J125" i="16"/>
  <c r="J34" i="16"/>
  <c r="J113" i="16"/>
  <c r="C47" i="16"/>
  <c r="J29" i="16"/>
  <c r="J135" i="16"/>
  <c r="K86" i="16"/>
  <c r="F111" i="16"/>
  <c r="K29" i="16"/>
  <c r="K34" i="16"/>
  <c r="J109" i="16"/>
  <c r="B119" i="16"/>
  <c r="J120" i="16"/>
  <c r="K124" i="16"/>
  <c r="J136" i="16"/>
  <c r="K108" i="16"/>
  <c r="K117" i="16"/>
  <c r="K122" i="16"/>
  <c r="K120" i="16"/>
  <c r="G119" i="16"/>
  <c r="J116" i="16"/>
  <c r="J112" i="16"/>
  <c r="B111" i="16"/>
  <c r="J67" i="16"/>
  <c r="J122" i="16"/>
  <c r="C53" i="16"/>
  <c r="J114" i="16"/>
  <c r="J121" i="16"/>
  <c r="K35" i="16"/>
  <c r="J88" i="16"/>
  <c r="K121" i="16"/>
  <c r="J126" i="16"/>
  <c r="J86" i="16"/>
  <c r="J99" i="16"/>
  <c r="K109" i="16"/>
  <c r="J118" i="16"/>
  <c r="B53" i="16"/>
  <c r="J134" i="16"/>
  <c r="J68" i="16"/>
  <c r="K68" i="16"/>
  <c r="J96" i="16"/>
  <c r="K28" i="16"/>
  <c r="J75" i="16"/>
  <c r="K89" i="16"/>
  <c r="C111" i="16"/>
  <c r="K112" i="16"/>
  <c r="J117" i="16"/>
  <c r="J79" i="16"/>
  <c r="J100" i="16"/>
  <c r="K110" i="16"/>
  <c r="F119" i="16"/>
  <c r="J124" i="16"/>
  <c r="J137" i="16"/>
  <c r="H39" i="9" l="1"/>
  <c r="F87" i="4"/>
  <c r="L39" i="16"/>
  <c r="L37" i="16"/>
  <c r="L38" i="16"/>
  <c r="C111" i="4"/>
  <c r="B53" i="4"/>
  <c r="B38" i="10" s="1"/>
  <c r="C56" i="4"/>
  <c r="K98" i="33"/>
  <c r="H77" i="27"/>
  <c r="K77" i="27"/>
  <c r="C77" i="4"/>
  <c r="B119" i="4"/>
  <c r="B43" i="10" s="1"/>
  <c r="B47" i="4"/>
  <c r="B11" i="10" s="1"/>
  <c r="C119" i="4"/>
  <c r="C98" i="4"/>
  <c r="B56" i="4"/>
  <c r="B49" i="10" s="1"/>
  <c r="C53" i="4"/>
  <c r="B111" i="4"/>
  <c r="B32" i="10" s="1"/>
  <c r="C47" i="4"/>
  <c r="B77" i="4"/>
  <c r="B98" i="4"/>
  <c r="L7" i="35"/>
  <c r="H77" i="16"/>
  <c r="B87" i="4"/>
  <c r="B22" i="10" s="1"/>
  <c r="C87" i="4"/>
  <c r="E87" i="18" s="1"/>
  <c r="C66" i="4"/>
  <c r="E66" i="18" s="1"/>
  <c r="B66" i="4"/>
  <c r="H77" i="13"/>
  <c r="L10" i="51"/>
  <c r="B31" i="10"/>
  <c r="H119" i="20"/>
  <c r="D110" i="4"/>
  <c r="L117" i="35"/>
  <c r="L122" i="33"/>
  <c r="L135" i="26"/>
  <c r="E38" i="13"/>
  <c r="H111" i="35"/>
  <c r="L113" i="35"/>
  <c r="D122" i="4"/>
  <c r="H119" i="35"/>
  <c r="D47" i="34"/>
  <c r="L121" i="13"/>
  <c r="L108" i="33"/>
  <c r="L121" i="35"/>
  <c r="E48" i="37"/>
  <c r="E48" i="18"/>
  <c r="E35" i="37"/>
  <c r="I11" i="37"/>
  <c r="I11" i="18"/>
  <c r="E54" i="37"/>
  <c r="I34" i="37"/>
  <c r="I34" i="18"/>
  <c r="I117" i="37"/>
  <c r="I117" i="18"/>
  <c r="E22" i="37"/>
  <c r="E22" i="18"/>
  <c r="I109" i="37"/>
  <c r="I109" i="18"/>
  <c r="E7" i="37"/>
  <c r="E7" i="18"/>
  <c r="E134" i="37"/>
  <c r="I89" i="37"/>
  <c r="I89" i="18"/>
  <c r="I10" i="37"/>
  <c r="I10" i="18"/>
  <c r="I125" i="37"/>
  <c r="I125" i="18"/>
  <c r="I124" i="37"/>
  <c r="I124" i="18"/>
  <c r="I122" i="37"/>
  <c r="I113" i="37"/>
  <c r="I113" i="18"/>
  <c r="I68" i="37"/>
  <c r="I68" i="18"/>
  <c r="E137" i="37"/>
  <c r="I114" i="37"/>
  <c r="I96" i="37"/>
  <c r="E75" i="37"/>
  <c r="E36" i="37"/>
  <c r="E49" i="37"/>
  <c r="I100" i="37"/>
  <c r="I100" i="18"/>
  <c r="E89" i="37"/>
  <c r="D114" i="4"/>
  <c r="I12" i="37"/>
  <c r="I12" i="18"/>
  <c r="E37" i="37"/>
  <c r="E34" i="37"/>
  <c r="I22" i="37"/>
  <c r="I22" i="18"/>
  <c r="I121" i="37"/>
  <c r="I121" i="18"/>
  <c r="E29" i="37"/>
  <c r="E29" i="18"/>
  <c r="I29" i="37"/>
  <c r="I29" i="18"/>
  <c r="I79" i="37"/>
  <c r="I79" i="18"/>
  <c r="I116" i="37"/>
  <c r="I116" i="18"/>
  <c r="I35" i="37"/>
  <c r="I35" i="18"/>
  <c r="I75" i="37"/>
  <c r="E135" i="37"/>
  <c r="I112" i="37"/>
  <c r="I108" i="37"/>
  <c r="I108" i="18"/>
  <c r="E10" i="37"/>
  <c r="E10" i="18"/>
  <c r="E57" i="37"/>
  <c r="I7" i="37"/>
  <c r="I7" i="18"/>
  <c r="E96" i="37"/>
  <c r="L114" i="33"/>
  <c r="H77" i="23"/>
  <c r="K77" i="23"/>
  <c r="L125" i="16"/>
  <c r="L114" i="16"/>
  <c r="L86" i="16"/>
  <c r="L96" i="16"/>
  <c r="D47" i="21"/>
  <c r="D47" i="20"/>
  <c r="D119" i="16"/>
  <c r="L107" i="29"/>
  <c r="L134" i="26"/>
  <c r="L109" i="23"/>
  <c r="L113" i="33"/>
  <c r="L12" i="33"/>
  <c r="D56" i="22"/>
  <c r="K111" i="34"/>
  <c r="H111" i="20"/>
  <c r="D56" i="41"/>
  <c r="E100" i="37"/>
  <c r="E122" i="37"/>
  <c r="E78" i="37"/>
  <c r="E114" i="37"/>
  <c r="E9" i="37"/>
  <c r="E28" i="37"/>
  <c r="E124" i="37"/>
  <c r="E8" i="37"/>
  <c r="E67" i="37"/>
  <c r="E109" i="37"/>
  <c r="E116" i="37"/>
  <c r="E125" i="37"/>
  <c r="E99" i="37"/>
  <c r="E112" i="37"/>
  <c r="E110" i="37"/>
  <c r="E107" i="37"/>
  <c r="E88" i="37"/>
  <c r="E86" i="37"/>
  <c r="E108" i="37"/>
  <c r="E120" i="37"/>
  <c r="H66" i="27"/>
  <c r="L96" i="33"/>
  <c r="L113" i="29"/>
  <c r="L89" i="23"/>
  <c r="L75" i="33"/>
  <c r="L68" i="20"/>
  <c r="H98" i="20"/>
  <c r="L68" i="33"/>
  <c r="L68" i="23"/>
  <c r="L28" i="24"/>
  <c r="H98" i="29"/>
  <c r="K98" i="29"/>
  <c r="L89" i="20"/>
  <c r="L22" i="23"/>
  <c r="K98" i="20"/>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7" i="8"/>
  <c r="C12" i="9"/>
  <c r="N112" i="8"/>
  <c r="C24" i="9"/>
  <c r="C13" i="9"/>
  <c r="L75" i="16"/>
  <c r="C22" i="9"/>
  <c r="L100" i="16"/>
  <c r="C26" i="9"/>
  <c r="K119" i="20"/>
  <c r="K111" i="13"/>
  <c r="L107" i="33"/>
  <c r="L100" i="33"/>
  <c r="L100" i="20"/>
  <c r="N140" i="8"/>
  <c r="M112" i="8"/>
  <c r="L108" i="13"/>
  <c r="D56" i="40"/>
  <c r="L99" i="16"/>
  <c r="L136" i="16"/>
  <c r="N141" i="8"/>
  <c r="L109" i="35"/>
  <c r="H119" i="23"/>
  <c r="L116" i="33"/>
  <c r="L100" i="27"/>
  <c r="C19" i="9"/>
  <c r="D53" i="22"/>
  <c r="L35" i="33"/>
  <c r="L112" i="16"/>
  <c r="L67" i="29"/>
  <c r="L29" i="20"/>
  <c r="L116" i="23"/>
  <c r="L12" i="35"/>
  <c r="H87" i="27"/>
  <c r="L135" i="16"/>
  <c r="L108" i="23"/>
  <c r="L28" i="25"/>
  <c r="L134" i="16"/>
  <c r="H98" i="13"/>
  <c r="K111" i="29"/>
  <c r="L78" i="16"/>
  <c r="L7" i="16"/>
  <c r="L117" i="16"/>
  <c r="D98" i="16"/>
  <c r="D53" i="16"/>
  <c r="L124" i="16"/>
  <c r="D47" i="33"/>
  <c r="D56" i="25"/>
  <c r="L117" i="33"/>
  <c r="L10" i="35"/>
  <c r="L12" i="13"/>
  <c r="L126" i="16"/>
  <c r="K66" i="35"/>
  <c r="D56" i="16"/>
  <c r="N135" i="8"/>
  <c r="L79" i="16"/>
  <c r="L99" i="23"/>
  <c r="H119" i="16"/>
  <c r="L7" i="20"/>
  <c r="K119" i="13"/>
  <c r="M114" i="8"/>
  <c r="K66" i="23"/>
  <c r="K87" i="35"/>
  <c r="M109" i="8"/>
  <c r="L11" i="33"/>
  <c r="H119" i="13"/>
  <c r="L22" i="16"/>
  <c r="D66" i="16"/>
  <c r="L29" i="16"/>
  <c r="L107" i="16"/>
  <c r="L68" i="16"/>
  <c r="C14" i="9"/>
  <c r="D77" i="16"/>
  <c r="D111" i="16"/>
  <c r="H111" i="16"/>
  <c r="L35" i="16"/>
  <c r="L109" i="16"/>
  <c r="H87" i="16"/>
  <c r="L108" i="16"/>
  <c r="L10" i="16"/>
  <c r="L121" i="16"/>
  <c r="L67" i="16"/>
  <c r="G9" i="9"/>
  <c r="D87" i="16"/>
  <c r="E136" i="16"/>
  <c r="H66" i="16"/>
  <c r="L88" i="16"/>
  <c r="D47" i="16"/>
  <c r="L28" i="16"/>
  <c r="L89" i="16"/>
  <c r="L137" i="16"/>
  <c r="L12" i="16"/>
  <c r="L118" i="16"/>
  <c r="L122" i="16"/>
  <c r="L11" i="16"/>
  <c r="L116" i="16"/>
  <c r="L120" i="16"/>
  <c r="L113" i="16"/>
  <c r="L34" i="16"/>
  <c r="L110" i="16"/>
  <c r="H98" i="16"/>
  <c r="N139" i="8"/>
  <c r="L7" i="13"/>
  <c r="M138" i="8"/>
  <c r="N134" i="8"/>
  <c r="B27" i="9"/>
  <c r="M115" i="8"/>
  <c r="M139" i="8"/>
  <c r="N111" i="8"/>
  <c r="N136" i="8"/>
  <c r="N142" i="8"/>
  <c r="C9" i="9"/>
  <c r="C27" i="9"/>
  <c r="C21" i="9"/>
  <c r="C17" i="9"/>
  <c r="M111" i="8"/>
  <c r="B11" i="9"/>
  <c r="B15" i="9"/>
  <c r="B9" i="9"/>
  <c r="M116" i="8"/>
  <c r="H119" i="33"/>
  <c r="L125" i="33"/>
  <c r="L121" i="23"/>
  <c r="M113" i="8"/>
  <c r="M137" i="8"/>
  <c r="L116" i="13"/>
  <c r="N115" i="8"/>
  <c r="L10" i="33"/>
  <c r="C18" i="9"/>
  <c r="B18" i="9"/>
  <c r="L22" i="13"/>
  <c r="L107" i="13"/>
  <c r="B10" i="9"/>
  <c r="L10" i="13"/>
  <c r="L121" i="33"/>
  <c r="C25" i="9"/>
  <c r="K98" i="27"/>
  <c r="H87" i="23"/>
  <c r="L29" i="24"/>
  <c r="L7" i="23"/>
  <c r="H87" i="33"/>
  <c r="L120" i="29"/>
  <c r="D47" i="22"/>
  <c r="L11" i="23"/>
  <c r="L117" i="29"/>
  <c r="B23" i="9"/>
  <c r="N113" i="8"/>
  <c r="K119" i="23"/>
  <c r="L34" i="13"/>
  <c r="M141" i="8"/>
  <c r="B21" i="9"/>
  <c r="B19" i="9"/>
  <c r="N138" i="8"/>
  <c r="L22" i="24"/>
  <c r="L7" i="19"/>
  <c r="N109" i="8"/>
  <c r="M110" i="8"/>
  <c r="C10" i="9"/>
  <c r="L11" i="13"/>
  <c r="C11" i="9"/>
  <c r="M134" i="8"/>
  <c r="C28" i="9"/>
  <c r="E48" i="39"/>
  <c r="E48" i="16"/>
  <c r="I73" i="16"/>
  <c r="I89" i="20"/>
  <c r="I89" i="13"/>
  <c r="I89" i="29"/>
  <c r="I89" i="35"/>
  <c r="I89" i="33"/>
  <c r="I89" i="27"/>
  <c r="I89" i="23"/>
  <c r="I89" i="16"/>
  <c r="G23" i="10"/>
  <c r="I35" i="23"/>
  <c r="I35" i="29"/>
  <c r="I35" i="35"/>
  <c r="I35" i="33"/>
  <c r="I35" i="13"/>
  <c r="I35" i="16"/>
  <c r="G42" i="10"/>
  <c r="I134" i="26"/>
  <c r="G15" i="10"/>
  <c r="I134" i="16"/>
  <c r="I10" i="23"/>
  <c r="I10" i="35"/>
  <c r="I10" i="29"/>
  <c r="I10" i="33"/>
  <c r="I10" i="13"/>
  <c r="G20" i="10"/>
  <c r="I10" i="16"/>
  <c r="E49" i="39"/>
  <c r="E49" i="16"/>
  <c r="I102" i="16"/>
  <c r="E54" i="39"/>
  <c r="E54" i="16"/>
  <c r="I114" i="16"/>
  <c r="C31" i="10"/>
  <c r="C9" i="10"/>
  <c r="C23" i="10"/>
  <c r="G44" i="10"/>
  <c r="I137" i="16"/>
  <c r="C41" i="10"/>
  <c r="I110" i="16"/>
  <c r="I86" i="29"/>
  <c r="I86" i="33"/>
  <c r="I86" i="35"/>
  <c r="I86" i="16"/>
  <c r="I28" i="16"/>
  <c r="C21" i="10"/>
  <c r="C33" i="10"/>
  <c r="C16" i="10"/>
  <c r="H16" i="9"/>
  <c r="N64" i="8" s="1"/>
  <c r="B14" i="9"/>
  <c r="M142" i="8"/>
  <c r="B12" i="9"/>
  <c r="H17" i="9"/>
  <c r="N65" i="8" s="1"/>
  <c r="M136" i="8"/>
  <c r="N110" i="8"/>
  <c r="G38" i="9"/>
  <c r="I29" i="33"/>
  <c r="I29" i="20"/>
  <c r="I29" i="23"/>
  <c r="I29" i="29"/>
  <c r="I29" i="13"/>
  <c r="I29" i="35"/>
  <c r="I29" i="16"/>
  <c r="G21" i="10"/>
  <c r="I123" i="16"/>
  <c r="C30" i="10"/>
  <c r="I107" i="13"/>
  <c r="I107" i="29"/>
  <c r="I107" i="35"/>
  <c r="I107" i="33"/>
  <c r="I107" i="16"/>
  <c r="C44" i="10"/>
  <c r="I75" i="33"/>
  <c r="I75" i="16"/>
  <c r="I100" i="13"/>
  <c r="I100" i="20"/>
  <c r="I100" i="23"/>
  <c r="I100" i="27"/>
  <c r="I100" i="29"/>
  <c r="I100" i="33"/>
  <c r="I100" i="16"/>
  <c r="I124" i="16"/>
  <c r="I122" i="16"/>
  <c r="I22" i="23"/>
  <c r="I22" i="29"/>
  <c r="I22" i="35"/>
  <c r="I22" i="33"/>
  <c r="I22" i="20"/>
  <c r="I22" i="16"/>
  <c r="I22" i="13"/>
  <c r="G10" i="10"/>
  <c r="I81" i="16"/>
  <c r="C34" i="10"/>
  <c r="I121" i="20"/>
  <c r="I121" i="13"/>
  <c r="I121" i="23"/>
  <c r="I121" i="35"/>
  <c r="I121" i="27"/>
  <c r="I121" i="33"/>
  <c r="I121" i="29"/>
  <c r="I121" i="16"/>
  <c r="I113" i="20"/>
  <c r="I113" i="23"/>
  <c r="I113" i="13"/>
  <c r="I113" i="27"/>
  <c r="I113" i="35"/>
  <c r="I113" i="33"/>
  <c r="I113" i="29"/>
  <c r="I113" i="16"/>
  <c r="I108" i="13"/>
  <c r="I108" i="16"/>
  <c r="M140" i="8"/>
  <c r="N114" i="8"/>
  <c r="B37" i="9"/>
  <c r="B13" i="9"/>
  <c r="B29" i="9"/>
  <c r="G41" i="9"/>
  <c r="B38" i="9"/>
  <c r="H21" i="9"/>
  <c r="C15" i="9"/>
  <c r="B28" i="9"/>
  <c r="H26" i="9"/>
  <c r="B36" i="9"/>
  <c r="B17" i="9"/>
  <c r="I71" i="16"/>
  <c r="I106" i="16"/>
  <c r="I136" i="26"/>
  <c r="I136" i="16"/>
  <c r="G33" i="10"/>
  <c r="I7" i="29"/>
  <c r="I7" i="33"/>
  <c r="I7" i="23"/>
  <c r="I7" i="35"/>
  <c r="I7" i="13"/>
  <c r="G9" i="10"/>
  <c r="I7" i="16"/>
  <c r="I116" i="16"/>
  <c r="I103" i="16"/>
  <c r="I92" i="16"/>
  <c r="B45" i="10"/>
  <c r="I91" i="16"/>
  <c r="C45" i="10"/>
  <c r="I105" i="16"/>
  <c r="C42" i="10"/>
  <c r="I67" i="16"/>
  <c r="I94" i="16"/>
  <c r="C15" i="10"/>
  <c r="I78" i="16"/>
  <c r="B26" i="9"/>
  <c r="B20" i="9"/>
  <c r="H15" i="9"/>
  <c r="M135" i="8"/>
  <c r="B42" i="9"/>
  <c r="G40" i="9"/>
  <c r="C23" i="9"/>
  <c r="H10" i="9"/>
  <c r="N116" i="8"/>
  <c r="C16" i="9"/>
  <c r="H28" i="9"/>
  <c r="I70" i="16"/>
  <c r="I74" i="16"/>
  <c r="C13" i="10"/>
  <c r="I85" i="16"/>
  <c r="I82" i="16"/>
  <c r="I135" i="26"/>
  <c r="G25" i="10"/>
  <c r="I135" i="16"/>
  <c r="E58" i="16"/>
  <c r="I112" i="16"/>
  <c r="I96" i="33"/>
  <c r="I96" i="16"/>
  <c r="E55" i="39"/>
  <c r="E55" i="16"/>
  <c r="I126" i="16"/>
  <c r="I68" i="20"/>
  <c r="I68" i="23"/>
  <c r="I68" i="27"/>
  <c r="I68" i="29"/>
  <c r="I68" i="35"/>
  <c r="I68" i="16"/>
  <c r="I68" i="33"/>
  <c r="I68" i="13"/>
  <c r="G13" i="10"/>
  <c r="I95" i="16"/>
  <c r="I118" i="16"/>
  <c r="I79" i="13"/>
  <c r="I79" i="20"/>
  <c r="I79" i="23"/>
  <c r="I79" i="33"/>
  <c r="I79" i="16"/>
  <c r="I79" i="27"/>
  <c r="I79" i="29"/>
  <c r="I120" i="16"/>
  <c r="I115" i="16"/>
  <c r="I109" i="13"/>
  <c r="I109" i="27"/>
  <c r="I109" i="35"/>
  <c r="I109" i="29"/>
  <c r="I109" i="23"/>
  <c r="I109" i="33"/>
  <c r="I109" i="16"/>
  <c r="I12" i="29"/>
  <c r="I12" i="33"/>
  <c r="I12" i="35"/>
  <c r="I12" i="23"/>
  <c r="I12" i="13"/>
  <c r="I12" i="16"/>
  <c r="G41" i="10"/>
  <c r="I99" i="16"/>
  <c r="I11" i="13"/>
  <c r="I11" i="23"/>
  <c r="I11" i="35"/>
  <c r="I11" i="33"/>
  <c r="I11" i="16"/>
  <c r="G30" i="10"/>
  <c r="I11" i="29"/>
  <c r="I84" i="16"/>
  <c r="I125" i="27"/>
  <c r="I125" i="23"/>
  <c r="I125" i="29"/>
  <c r="I125" i="33"/>
  <c r="I125" i="16"/>
  <c r="C26" i="10"/>
  <c r="I88" i="16"/>
  <c r="I34" i="13"/>
  <c r="I34" i="35"/>
  <c r="I34" i="23"/>
  <c r="I34" i="29"/>
  <c r="I34" i="33"/>
  <c r="I34" i="16"/>
  <c r="G31" i="10"/>
  <c r="D96" i="4"/>
  <c r="I117" i="23"/>
  <c r="I117" i="35"/>
  <c r="I117" i="29"/>
  <c r="I117" i="33"/>
  <c r="I117" i="27"/>
  <c r="I117" i="16"/>
  <c r="C10" i="10"/>
  <c r="C20" i="10"/>
  <c r="D75" i="4"/>
  <c r="E57" i="39"/>
  <c r="E57" i="16"/>
  <c r="L124" i="29"/>
  <c r="L120" i="27"/>
  <c r="K119" i="27"/>
  <c r="L120" i="23"/>
  <c r="L67" i="23"/>
  <c r="H98" i="33"/>
  <c r="L22" i="35"/>
  <c r="H87" i="20"/>
  <c r="L100" i="13"/>
  <c r="D53" i="39"/>
  <c r="D56" i="33"/>
  <c r="L109" i="29"/>
  <c r="L7" i="29"/>
  <c r="L28" i="29"/>
  <c r="L117" i="23"/>
  <c r="H98" i="23"/>
  <c r="L10" i="20"/>
  <c r="K98" i="13"/>
  <c r="L29" i="13"/>
  <c r="G37" i="9"/>
  <c r="B16" i="9"/>
  <c r="G39" i="9"/>
  <c r="B22" i="9"/>
  <c r="H14" i="9"/>
  <c r="B25" i="9"/>
  <c r="C20" i="9"/>
  <c r="G35" i="9"/>
  <c r="H25" i="9"/>
  <c r="B24" i="9"/>
  <c r="H24" i="9"/>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78" i="13"/>
  <c r="K66" i="13"/>
  <c r="L86" i="13"/>
  <c r="K87" i="13"/>
  <c r="J77" i="13"/>
  <c r="L88" i="13"/>
  <c r="H66" i="13"/>
  <c r="D47" i="13"/>
  <c r="J87" i="35"/>
  <c r="D66" i="33"/>
  <c r="J66" i="33"/>
  <c r="D77" i="27"/>
  <c r="J77" i="27"/>
  <c r="D111" i="34"/>
  <c r="J111" i="34"/>
  <c r="L111" i="34"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88" i="33"/>
  <c r="E108" i="33"/>
  <c r="E22" i="33"/>
  <c r="E57" i="33"/>
  <c r="E99" i="33"/>
  <c r="E9" i="33"/>
  <c r="E48" i="33"/>
  <c r="E118" i="33"/>
  <c r="E110" i="33"/>
  <c r="E122" i="33"/>
  <c r="E75" i="33"/>
  <c r="E28" i="33"/>
  <c r="E116" i="33"/>
  <c r="E10" i="33"/>
  <c r="E79" i="33"/>
  <c r="E35" i="33"/>
  <c r="E49" i="33"/>
  <c r="E54" i="33"/>
  <c r="E7" i="33"/>
  <c r="E89" i="33"/>
  <c r="E100" i="33"/>
  <c r="E29" i="33"/>
  <c r="E125" i="33"/>
  <c r="E68" i="33"/>
  <c r="E96" i="33"/>
  <c r="E8" i="33"/>
  <c r="E78" i="33"/>
  <c r="E67" i="33"/>
  <c r="E112" i="33"/>
  <c r="E109" i="33"/>
  <c r="E114" i="33"/>
  <c r="E121" i="33"/>
  <c r="E113" i="33"/>
  <c r="E99" i="29"/>
  <c r="E9" i="29"/>
  <c r="E48" i="34"/>
  <c r="E86" i="29"/>
  <c r="E134" i="34"/>
  <c r="E68" i="29"/>
  <c r="E88" i="29"/>
  <c r="E28" i="29"/>
  <c r="E124" i="29"/>
  <c r="E108" i="29"/>
  <c r="E116" i="29"/>
  <c r="E22" i="29"/>
  <c r="E10" i="29"/>
  <c r="E79" i="29"/>
  <c r="E35" i="29"/>
  <c r="E135" i="34"/>
  <c r="E34" i="29"/>
  <c r="E7" i="29"/>
  <c r="E89" i="29"/>
  <c r="E100" i="29"/>
  <c r="E107" i="29"/>
  <c r="E29" i="29"/>
  <c r="E8" i="29"/>
  <c r="E78" i="29"/>
  <c r="E67" i="29"/>
  <c r="E112" i="29"/>
  <c r="E112" i="34"/>
  <c r="E109" i="29"/>
  <c r="E120" i="29"/>
  <c r="E48" i="40"/>
  <c r="E48" i="41"/>
  <c r="E55" i="41"/>
  <c r="E57" i="40"/>
  <c r="E57" i="41"/>
  <c r="E58" i="41"/>
  <c r="E49" i="41"/>
  <c r="E54" i="41"/>
  <c r="E99" i="27"/>
  <c r="E9" i="51"/>
  <c r="E48" i="51"/>
  <c r="E88" i="27"/>
  <c r="E28" i="51"/>
  <c r="E108" i="27"/>
  <c r="E10" i="51"/>
  <c r="E7" i="51"/>
  <c r="E8" i="51"/>
  <c r="E78" i="27"/>
  <c r="E67" i="27"/>
  <c r="E112" i="27"/>
  <c r="E120" i="27"/>
  <c r="E9" i="25"/>
  <c r="E28" i="25"/>
  <c r="E57" i="25"/>
  <c r="E48" i="25"/>
  <c r="E48" i="26"/>
  <c r="E137" i="26"/>
  <c r="E49" i="26"/>
  <c r="E54" i="25"/>
  <c r="E135" i="26"/>
  <c r="E7" i="25"/>
  <c r="E136" i="26"/>
  <c r="E134" i="26"/>
  <c r="E8" i="25"/>
  <c r="E99" i="23"/>
  <c r="E9" i="24"/>
  <c r="E88" i="23"/>
  <c r="E28" i="23"/>
  <c r="E28" i="24"/>
  <c r="E108" i="23"/>
  <c r="E116" i="23"/>
  <c r="E22" i="23"/>
  <c r="E22" i="24"/>
  <c r="E10" i="24"/>
  <c r="E7" i="24"/>
  <c r="E29" i="23"/>
  <c r="E29" i="24"/>
  <c r="E8" i="24"/>
  <c r="E78" i="23"/>
  <c r="E67" i="23"/>
  <c r="E112" i="23"/>
  <c r="E120" i="23"/>
  <c r="E9" i="22"/>
  <c r="E48" i="21"/>
  <c r="E48" i="22"/>
  <c r="E55" i="22"/>
  <c r="E57" i="21"/>
  <c r="E57" i="22"/>
  <c r="E49" i="22"/>
  <c r="E54" i="21"/>
  <c r="E54" i="22"/>
  <c r="E7" i="22"/>
  <c r="E8" i="22"/>
  <c r="E68" i="20"/>
  <c r="E28" i="20"/>
  <c r="E22" i="20"/>
  <c r="E10" i="20"/>
  <c r="E79" i="20"/>
  <c r="E7" i="19"/>
  <c r="E7" i="20"/>
  <c r="E89" i="20"/>
  <c r="E100" i="20"/>
  <c r="E29" i="20"/>
  <c r="E9" i="19"/>
  <c r="E9" i="20"/>
  <c r="E48" i="20"/>
  <c r="E8" i="19"/>
  <c r="E8" i="20"/>
  <c r="E121" i="20"/>
  <c r="E113" i="20"/>
  <c r="E99" i="13"/>
  <c r="E9" i="13"/>
  <c r="E48" i="13"/>
  <c r="E86" i="13"/>
  <c r="E88" i="13"/>
  <c r="E28" i="13"/>
  <c r="E124" i="13"/>
  <c r="E37" i="13"/>
  <c r="E108" i="13"/>
  <c r="E116" i="13"/>
  <c r="E22" i="13"/>
  <c r="E10" i="13"/>
  <c r="E57" i="13"/>
  <c r="E35" i="13"/>
  <c r="E11" i="13"/>
  <c r="E49" i="13"/>
  <c r="E54" i="13"/>
  <c r="E34" i="13"/>
  <c r="E7" i="13"/>
  <c r="E89" i="13"/>
  <c r="E100" i="13"/>
  <c r="E107" i="13"/>
  <c r="E12" i="13"/>
  <c r="E29" i="13"/>
  <c r="E36" i="13"/>
  <c r="E8" i="13"/>
  <c r="E78" i="13"/>
  <c r="E67" i="13"/>
  <c r="E112" i="13"/>
  <c r="E109" i="13"/>
  <c r="E120" i="13"/>
  <c r="D116" i="4"/>
  <c r="D108" i="4"/>
  <c r="D124" i="4"/>
  <c r="D125" i="4"/>
  <c r="D109" i="4"/>
  <c r="E78" i="16"/>
  <c r="E67" i="16"/>
  <c r="E135" i="16"/>
  <c r="E34" i="16"/>
  <c r="E22" i="16"/>
  <c r="E99" i="16"/>
  <c r="E9" i="16"/>
  <c r="E86" i="16"/>
  <c r="E89" i="16"/>
  <c r="E116" i="16"/>
  <c r="D22" i="4"/>
  <c r="E125" i="16"/>
  <c r="E68" i="16"/>
  <c r="E88" i="16"/>
  <c r="E126" i="16"/>
  <c r="D136" i="4"/>
  <c r="E28" i="16"/>
  <c r="E124" i="16"/>
  <c r="D57" i="4"/>
  <c r="E107" i="16"/>
  <c r="E12" i="16"/>
  <c r="E75" i="16"/>
  <c r="E10" i="16"/>
  <c r="E113" i="16"/>
  <c r="E118" i="16"/>
  <c r="E117" i="16"/>
  <c r="E109" i="16"/>
  <c r="E100" i="16"/>
  <c r="E96" i="16"/>
  <c r="E122" i="16"/>
  <c r="D36" i="4"/>
  <c r="E79" i="16"/>
  <c r="E11" i="16"/>
  <c r="E108" i="16"/>
  <c r="E110" i="16"/>
  <c r="E114" i="16"/>
  <c r="E121" i="16"/>
  <c r="E120" i="16"/>
  <c r="D113" i="4"/>
  <c r="E137" i="16"/>
  <c r="D10" i="4"/>
  <c r="D112" i="4"/>
  <c r="E112" i="16"/>
  <c r="D55" i="4"/>
  <c r="D120" i="4"/>
  <c r="D7" i="4"/>
  <c r="E7" i="16"/>
  <c r="D68" i="4"/>
  <c r="D8" i="4"/>
  <c r="E8" i="16"/>
  <c r="D134" i="4"/>
  <c r="E134" i="16"/>
  <c r="D35" i="4"/>
  <c r="E35" i="16"/>
  <c r="D29" i="4"/>
  <c r="E29" i="16"/>
  <c r="G7" i="4"/>
  <c r="D48" i="4"/>
  <c r="D54" i="4"/>
  <c r="D49" i="4"/>
  <c r="D12" i="4"/>
  <c r="D37" i="4"/>
  <c r="D34" i="4"/>
  <c r="D11" i="4"/>
  <c r="K87" i="16"/>
  <c r="G12" i="4"/>
  <c r="J87" i="16"/>
  <c r="D121" i="4"/>
  <c r="G11" i="4"/>
  <c r="D67" i="4"/>
  <c r="D100" i="4"/>
  <c r="D38" i="4"/>
  <c r="G10" i="4"/>
  <c r="D89" i="4"/>
  <c r="J98" i="16"/>
  <c r="D99" i="4"/>
  <c r="D86" i="4"/>
  <c r="D107" i="4"/>
  <c r="D135" i="4"/>
  <c r="D28" i="4"/>
  <c r="K98" i="16"/>
  <c r="J66" i="16"/>
  <c r="D78" i="4"/>
  <c r="D88" i="4"/>
  <c r="D79" i="4"/>
  <c r="K77" i="16"/>
  <c r="K66" i="16"/>
  <c r="J77" i="16"/>
  <c r="D9" i="4"/>
  <c r="K119" i="16"/>
  <c r="K111" i="16"/>
  <c r="J111" i="16"/>
  <c r="J119" i="16"/>
  <c r="B4" i="12"/>
  <c r="A56" i="8" l="1"/>
  <c r="A133" i="8"/>
  <c r="A30" i="8"/>
  <c r="A108" i="8"/>
  <c r="A5" i="8"/>
  <c r="A81" i="8"/>
  <c r="A4" i="9"/>
  <c r="L77" i="27"/>
  <c r="L98" i="33"/>
  <c r="G79" i="4"/>
  <c r="G100" i="4"/>
  <c r="G113" i="4"/>
  <c r="G107" i="4"/>
  <c r="G125" i="4"/>
  <c r="G86" i="4"/>
  <c r="F31" i="10"/>
  <c r="F42" i="10"/>
  <c r="G109" i="4"/>
  <c r="F21" i="10"/>
  <c r="F15" i="10"/>
  <c r="G108" i="4"/>
  <c r="G122" i="4"/>
  <c r="G117" i="4"/>
  <c r="G75" i="4"/>
  <c r="G124" i="4"/>
  <c r="G116" i="4"/>
  <c r="G112" i="4"/>
  <c r="G121" i="4"/>
  <c r="G96" i="4"/>
  <c r="F34" i="10"/>
  <c r="L119" i="35"/>
  <c r="L77" i="23"/>
  <c r="I77" i="16"/>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I76" i="16"/>
  <c r="L98" i="27"/>
  <c r="L87" i="29"/>
  <c r="E97" i="16"/>
  <c r="E97" i="33"/>
  <c r="E97" i="29"/>
  <c r="E97" i="37"/>
  <c r="E97" i="13"/>
  <c r="I98" i="37"/>
  <c r="I97" i="16"/>
  <c r="L119" i="13"/>
  <c r="E76" i="33"/>
  <c r="E76" i="29"/>
  <c r="E76" i="37"/>
  <c r="E76" i="13"/>
  <c r="E76" i="16"/>
  <c r="E66" i="37"/>
  <c r="E87" i="33"/>
  <c r="E87" i="37"/>
  <c r="E98" i="37"/>
  <c r="E77" i="37"/>
  <c r="L98" i="20"/>
  <c r="L111" i="29"/>
  <c r="L66" i="27"/>
  <c r="L111" i="13"/>
  <c r="L87" i="33"/>
  <c r="L98" i="29"/>
  <c r="L87" i="20"/>
  <c r="L119" i="23"/>
  <c r="L87" i="23"/>
  <c r="L98" i="23"/>
  <c r="L119" i="20"/>
  <c r="L111" i="27"/>
  <c r="E66" i="20"/>
  <c r="E66" i="16"/>
  <c r="E87" i="13"/>
  <c r="E87" i="16"/>
  <c r="E87" i="23"/>
  <c r="L87" i="16"/>
  <c r="E98" i="16"/>
  <c r="D98" i="4"/>
  <c r="L66" i="35"/>
  <c r="E98" i="29"/>
  <c r="E98" i="33"/>
  <c r="L87" i="27"/>
  <c r="L119" i="33"/>
  <c r="L77" i="16"/>
  <c r="L98" i="13"/>
  <c r="L66" i="33"/>
  <c r="L87" i="35"/>
  <c r="L66" i="23"/>
  <c r="L66" i="13"/>
  <c r="L119" i="16"/>
  <c r="E66" i="23"/>
  <c r="L111" i="16"/>
  <c r="E66" i="13"/>
  <c r="E66" i="27"/>
  <c r="E66" i="29"/>
  <c r="E66" i="33"/>
  <c r="L66" i="16"/>
  <c r="L98" i="16"/>
  <c r="L111" i="33"/>
  <c r="D87" i="4"/>
  <c r="E98" i="20"/>
  <c r="E98" i="23"/>
  <c r="E87" i="27"/>
  <c r="E98" i="27"/>
  <c r="E87" i="29"/>
  <c r="L119" i="27"/>
  <c r="I80" i="16"/>
  <c r="I90" i="13"/>
  <c r="I90" i="16"/>
  <c r="C43" i="10"/>
  <c r="I119" i="13"/>
  <c r="I119" i="20"/>
  <c r="I119" i="23"/>
  <c r="I119" i="27"/>
  <c r="I119" i="29"/>
  <c r="I119" i="35"/>
  <c r="I119" i="33"/>
  <c r="G43" i="10"/>
  <c r="I119" i="16"/>
  <c r="I98" i="20"/>
  <c r="I98" i="13"/>
  <c r="I98" i="23"/>
  <c r="I98" i="29"/>
  <c r="I98" i="27"/>
  <c r="I98" i="33"/>
  <c r="I98" i="16"/>
  <c r="D66" i="4"/>
  <c r="B12" i="10"/>
  <c r="I66" i="13"/>
  <c r="I66" i="20"/>
  <c r="I66" i="27"/>
  <c r="I66" i="29"/>
  <c r="I66" i="35"/>
  <c r="I66" i="33"/>
  <c r="G12" i="10"/>
  <c r="I66" i="23"/>
  <c r="I66" i="16"/>
  <c r="I101" i="16"/>
  <c r="E53" i="39"/>
  <c r="C38" i="10"/>
  <c r="E53" i="16"/>
  <c r="I72" i="16"/>
  <c r="I83" i="16"/>
  <c r="I93" i="16"/>
  <c r="I104" i="16"/>
  <c r="I111" i="13"/>
  <c r="I111" i="20"/>
  <c r="I111" i="23"/>
  <c r="I111" i="27"/>
  <c r="I111" i="29"/>
  <c r="I111" i="35"/>
  <c r="I111" i="33"/>
  <c r="G32" i="10"/>
  <c r="I111" i="16"/>
  <c r="E56" i="39"/>
  <c r="E56" i="16"/>
  <c r="C49" i="10"/>
  <c r="C32" i="10"/>
  <c r="C22" i="10"/>
  <c r="E47" i="39"/>
  <c r="C11" i="10"/>
  <c r="E47" i="16"/>
  <c r="C12" i="10"/>
  <c r="I87" i="13"/>
  <c r="I87" i="20"/>
  <c r="I87" i="27"/>
  <c r="I87" i="29"/>
  <c r="I87" i="23"/>
  <c r="I87" i="33"/>
  <c r="I87" i="35"/>
  <c r="G22" i="10"/>
  <c r="I87" i="16"/>
  <c r="L66" i="20"/>
  <c r="L111" i="20"/>
  <c r="L87" i="13"/>
  <c r="L119" i="29"/>
  <c r="L66" i="29"/>
  <c r="L77" i="29"/>
  <c r="L111" i="23"/>
  <c r="E98" i="13"/>
  <c r="E87" i="20"/>
  <c r="L77" i="13"/>
  <c r="E77" i="33"/>
  <c r="E111" i="33"/>
  <c r="E47" i="33"/>
  <c r="E119" i="33"/>
  <c r="E53" i="33"/>
  <c r="E56" i="33"/>
  <c r="E47" i="34"/>
  <c r="E119" i="29"/>
  <c r="E77" i="29"/>
  <c r="E111" i="29"/>
  <c r="E111" i="34"/>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E111" i="16"/>
  <c r="E119" i="16"/>
  <c r="D111" i="4"/>
  <c r="D77" i="4"/>
  <c r="E77" i="16"/>
  <c r="D119" i="4"/>
  <c r="D53" i="4"/>
  <c r="D56" i="4"/>
  <c r="D47" i="4"/>
  <c r="I73" i="4"/>
  <c r="I84" i="4"/>
  <c r="I132" i="4"/>
  <c r="F64" i="4"/>
  <c r="C20" i="4"/>
  <c r="B132" i="4"/>
  <c r="C132" i="4"/>
  <c r="H64" i="4"/>
  <c r="E20" i="4"/>
  <c r="E5" i="4"/>
  <c r="H5" i="4"/>
  <c r="B64" i="4"/>
  <c r="F132" i="4"/>
  <c r="I64" i="4"/>
  <c r="F20" i="4"/>
  <c r="F5" i="4"/>
  <c r="I20" i="4"/>
  <c r="E132" i="4"/>
  <c r="H132" i="4"/>
  <c r="E64" i="4"/>
  <c r="B20" i="4"/>
  <c r="H20" i="4"/>
  <c r="I5" i="4"/>
  <c r="B45" i="4"/>
  <c r="C64" i="4"/>
  <c r="C45" i="4"/>
  <c r="B5" i="4"/>
  <c r="C5" i="4"/>
  <c r="G29" i="4" l="1"/>
  <c r="G34" i="4"/>
  <c r="A4" i="10"/>
  <c r="A5" i="58"/>
  <c r="G35" i="4"/>
  <c r="F44" i="10"/>
  <c r="F25" i="10"/>
  <c r="F23" i="10"/>
  <c r="G89" i="4"/>
  <c r="F10" i="10"/>
  <c r="H22" i="4"/>
  <c r="G22" i="4"/>
  <c r="F13" i="10"/>
  <c r="G68" i="4"/>
  <c r="G98" i="4"/>
  <c r="F56" i="10"/>
  <c r="G77" i="4"/>
  <c r="F33" i="10"/>
  <c r="M73" i="16"/>
  <c r="M84" i="16"/>
  <c r="C60" i="10"/>
  <c r="H84" i="4"/>
  <c r="H82" i="4"/>
  <c r="H71" i="4"/>
  <c r="H92" i="4"/>
  <c r="H107" i="4"/>
  <c r="H106" i="4"/>
  <c r="H85" i="4"/>
  <c r="H102" i="4"/>
  <c r="H73" i="4"/>
  <c r="H114" i="4"/>
  <c r="H116" i="4"/>
  <c r="H81" i="4"/>
  <c r="H95" i="4"/>
  <c r="H74" i="4"/>
  <c r="H94" i="4"/>
  <c r="H91" i="4"/>
  <c r="H104" i="4"/>
  <c r="H105" i="4"/>
  <c r="H93" i="4"/>
  <c r="H123" i="4"/>
  <c r="H28" i="4"/>
  <c r="H70" i="4"/>
  <c r="H115" i="4"/>
  <c r="H103" i="4"/>
  <c r="H97" i="4" l="1"/>
  <c r="J97" i="4" s="1"/>
  <c r="H76" i="4"/>
  <c r="J76" i="4" s="1"/>
  <c r="F43" i="10"/>
  <c r="G119" i="4"/>
  <c r="F32" i="10"/>
  <c r="G111" i="4"/>
  <c r="G87" i="4"/>
  <c r="F22" i="10"/>
  <c r="H22" i="10" s="1"/>
  <c r="H98" i="4"/>
  <c r="H117" i="4"/>
  <c r="H99" i="4"/>
  <c r="H90" i="4"/>
  <c r="H72" i="4"/>
  <c r="H118" i="4"/>
  <c r="H78" i="4"/>
  <c r="D9" i="10"/>
  <c r="H124" i="4"/>
  <c r="H112" i="4"/>
  <c r="H88" i="4"/>
  <c r="H9" i="4"/>
  <c r="H8" i="4"/>
  <c r="H79" i="4"/>
  <c r="H83" i="4"/>
  <c r="H122" i="4"/>
  <c r="H80" i="4"/>
  <c r="H14" i="10"/>
  <c r="H121" i="4"/>
  <c r="I121" i="4"/>
  <c r="I112" i="4"/>
  <c r="I9" i="4"/>
  <c r="I109" i="4"/>
  <c r="K49" i="10"/>
  <c r="H113" i="4"/>
  <c r="I105" i="4"/>
  <c r="I93" i="4"/>
  <c r="I108" i="4"/>
  <c r="H11" i="4"/>
  <c r="I85" i="4"/>
  <c r="I122" i="4"/>
  <c r="I79" i="4"/>
  <c r="I100" i="4"/>
  <c r="I104" i="4"/>
  <c r="H110" i="4"/>
  <c r="H125" i="4"/>
  <c r="H86" i="4"/>
  <c r="H42" i="10"/>
  <c r="H21" i="10"/>
  <c r="I120" i="4"/>
  <c r="I81" i="4"/>
  <c r="I101" i="4"/>
  <c r="H101" i="4"/>
  <c r="I28" i="4"/>
  <c r="H109" i="4"/>
  <c r="I67" i="4"/>
  <c r="K11" i="10"/>
  <c r="H108" i="4"/>
  <c r="I95" i="4"/>
  <c r="H10" i="4"/>
  <c r="H38" i="4"/>
  <c r="I77" i="4"/>
  <c r="I88" i="4"/>
  <c r="I91" i="4"/>
  <c r="I117" i="4"/>
  <c r="I103" i="4"/>
  <c r="H67" i="4"/>
  <c r="I116" i="4"/>
  <c r="J116" i="4" s="1"/>
  <c r="I118" i="4"/>
  <c r="H120" i="4"/>
  <c r="I110" i="4"/>
  <c r="I113" i="4"/>
  <c r="I69" i="4"/>
  <c r="I90" i="4"/>
  <c r="I78" i="4"/>
  <c r="I115" i="4"/>
  <c r="K26" i="10"/>
  <c r="I80" i="4"/>
  <c r="I98" i="4"/>
  <c r="I99" i="4"/>
  <c r="K9" i="10"/>
  <c r="H77" i="4"/>
  <c r="I92" i="4"/>
  <c r="H24" i="10"/>
  <c r="H69" i="4"/>
  <c r="K16" i="10"/>
  <c r="I72" i="4"/>
  <c r="I123" i="4"/>
  <c r="K45" i="10"/>
  <c r="H39" i="4"/>
  <c r="I94" i="4"/>
  <c r="I107" i="4"/>
  <c r="J107" i="4" s="1"/>
  <c r="I82" i="4"/>
  <c r="I102" i="4"/>
  <c r="I74" i="4"/>
  <c r="I8" i="4"/>
  <c r="I114" i="4"/>
  <c r="J114" i="4" s="1"/>
  <c r="I83" i="4"/>
  <c r="I86" i="4"/>
  <c r="I106" i="4"/>
  <c r="H10" i="10"/>
  <c r="I124" i="4"/>
  <c r="I70" i="4"/>
  <c r="H100" i="4"/>
  <c r="H7" i="4"/>
  <c r="H15" i="10"/>
  <c r="I71" i="4"/>
  <c r="I125" i="4"/>
  <c r="J117" i="4" l="1"/>
  <c r="J122" i="4"/>
  <c r="J109" i="4"/>
  <c r="M31" i="16"/>
  <c r="M31" i="13"/>
  <c r="M31" i="24"/>
  <c r="M31" i="35"/>
  <c r="M31" i="33"/>
  <c r="M31" i="37"/>
  <c r="M31" i="29"/>
  <c r="M32" i="16"/>
  <c r="M32" i="13"/>
  <c r="M32" i="20"/>
  <c r="M32" i="33"/>
  <c r="M32" i="37"/>
  <c r="M32" i="29"/>
  <c r="M30" i="16"/>
  <c r="M30" i="13"/>
  <c r="M30" i="35"/>
  <c r="M30" i="33"/>
  <c r="M30" i="37"/>
  <c r="M30" i="29"/>
  <c r="M23" i="16"/>
  <c r="M23" i="18"/>
  <c r="M23" i="13"/>
  <c r="M23" i="20"/>
  <c r="M23" i="23"/>
  <c r="M23" i="35"/>
  <c r="M23" i="33"/>
  <c r="M23" i="37"/>
  <c r="M23" i="29"/>
  <c r="M24" i="16"/>
  <c r="M24" i="13"/>
  <c r="M24" i="24"/>
  <c r="M24" i="33"/>
  <c r="M24" i="37"/>
  <c r="M24" i="29"/>
  <c r="J108" i="4"/>
  <c r="J118" i="4"/>
  <c r="J100" i="4"/>
  <c r="J77" i="4"/>
  <c r="J120" i="4"/>
  <c r="J110" i="4"/>
  <c r="J121" i="4"/>
  <c r="J86" i="4"/>
  <c r="J88" i="4"/>
  <c r="J78" i="4"/>
  <c r="J98" i="4"/>
  <c r="J125" i="4"/>
  <c r="J113" i="4"/>
  <c r="J79" i="4"/>
  <c r="J112" i="4"/>
  <c r="J124" i="4"/>
  <c r="J99" i="4"/>
  <c r="M67" i="37"/>
  <c r="M67" i="18"/>
  <c r="M107" i="37"/>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8" i="37"/>
  <c r="M8" i="18"/>
  <c r="M108" i="37"/>
  <c r="M108" i="18"/>
  <c r="M112" i="37"/>
  <c r="M112" i="18"/>
  <c r="M121" i="37"/>
  <c r="M121" i="18"/>
  <c r="M125" i="37"/>
  <c r="M125" i="18"/>
  <c r="M115" i="37"/>
  <c r="M116" i="37"/>
  <c r="M116" i="18"/>
  <c r="M77" i="18"/>
  <c r="M120" i="37"/>
  <c r="M120" i="18"/>
  <c r="M98" i="37"/>
  <c r="M97" i="37"/>
  <c r="M97" i="13"/>
  <c r="M97" i="29"/>
  <c r="M97" i="33"/>
  <c r="M97" i="16"/>
  <c r="M77" i="37"/>
  <c r="M76" i="37"/>
  <c r="M76" i="33"/>
  <c r="M76" i="29"/>
  <c r="M76" i="13"/>
  <c r="M76" i="16"/>
  <c r="M70" i="16"/>
  <c r="M106" i="16"/>
  <c r="M83" i="16"/>
  <c r="M74" i="16"/>
  <c r="M94" i="16"/>
  <c r="M80" i="16"/>
  <c r="M69" i="16"/>
  <c r="M118" i="33"/>
  <c r="M118" i="16"/>
  <c r="M103" i="16"/>
  <c r="M88" i="13"/>
  <c r="M88" i="27"/>
  <c r="M88" i="29"/>
  <c r="M88" i="23"/>
  <c r="M88" i="16"/>
  <c r="M88" i="33"/>
  <c r="J28" i="4"/>
  <c r="M28" i="20"/>
  <c r="M28" i="25"/>
  <c r="M28" i="23"/>
  <c r="M28" i="24"/>
  <c r="M28" i="51"/>
  <c r="M28" i="29"/>
  <c r="M28" i="16"/>
  <c r="M28" i="13"/>
  <c r="M28" i="33"/>
  <c r="M85" i="16"/>
  <c r="M105" i="16"/>
  <c r="M121" i="23"/>
  <c r="M121" i="13"/>
  <c r="M121" i="27"/>
  <c r="M121" i="29"/>
  <c r="M121" i="33"/>
  <c r="M121" i="20"/>
  <c r="M121" i="35"/>
  <c r="M121" i="16"/>
  <c r="M71" i="16"/>
  <c r="M125" i="23"/>
  <c r="M125" i="27"/>
  <c r="M125" i="29"/>
  <c r="M125" i="33"/>
  <c r="M125" i="16"/>
  <c r="M124" i="13"/>
  <c r="M124" i="29"/>
  <c r="M124" i="16"/>
  <c r="M114" i="16"/>
  <c r="M114" i="33"/>
  <c r="M102" i="16"/>
  <c r="M72" i="16"/>
  <c r="M78" i="23"/>
  <c r="M78" i="27"/>
  <c r="M78" i="13"/>
  <c r="M78" i="16"/>
  <c r="M78" i="29"/>
  <c r="M78" i="33"/>
  <c r="M113" i="23"/>
  <c r="M113" i="13"/>
  <c r="M113" i="27"/>
  <c r="M113" i="20"/>
  <c r="M113" i="29"/>
  <c r="M113" i="33"/>
  <c r="M113" i="16"/>
  <c r="M113" i="35"/>
  <c r="M116" i="13"/>
  <c r="M116" i="23"/>
  <c r="M116" i="29"/>
  <c r="M116" i="33"/>
  <c r="M116" i="16"/>
  <c r="M117" i="23"/>
  <c r="M117" i="27"/>
  <c r="M117" i="29"/>
  <c r="M117" i="33"/>
  <c r="M117" i="35"/>
  <c r="M117" i="16"/>
  <c r="M81" i="16"/>
  <c r="M104" i="16"/>
  <c r="M79" i="13"/>
  <c r="M79" i="20"/>
  <c r="M79" i="23"/>
  <c r="M79" i="33"/>
  <c r="M79" i="29"/>
  <c r="M79" i="27"/>
  <c r="M79" i="16"/>
  <c r="M8" i="20"/>
  <c r="M8" i="13"/>
  <c r="M8" i="22"/>
  <c r="M8" i="24"/>
  <c r="M8" i="51"/>
  <c r="M8" i="25"/>
  <c r="M8" i="29"/>
  <c r="M8" i="33"/>
  <c r="M8" i="19"/>
  <c r="M8" i="16"/>
  <c r="M82" i="16"/>
  <c r="M99" i="23"/>
  <c r="M99" i="27"/>
  <c r="M99" i="16"/>
  <c r="M99" i="29"/>
  <c r="M99" i="13"/>
  <c r="M99" i="33"/>
  <c r="M110" i="33"/>
  <c r="M110" i="16"/>
  <c r="M95" i="16"/>
  <c r="M120" i="13"/>
  <c r="M120" i="23"/>
  <c r="M120" i="27"/>
  <c r="M120" i="29"/>
  <c r="M120" i="16"/>
  <c r="M100" i="13"/>
  <c r="M100" i="20"/>
  <c r="M100" i="29"/>
  <c r="M100" i="33"/>
  <c r="M100" i="27"/>
  <c r="M100" i="23"/>
  <c r="M100" i="16"/>
  <c r="M122" i="16"/>
  <c r="M122" i="33"/>
  <c r="M108" i="13"/>
  <c r="M108" i="23"/>
  <c r="M108" i="33"/>
  <c r="M108" i="29"/>
  <c r="M108" i="27"/>
  <c r="M108" i="16"/>
  <c r="M9" i="19"/>
  <c r="M9" i="25"/>
  <c r="M9" i="20"/>
  <c r="M9" i="22"/>
  <c r="M9" i="51"/>
  <c r="M9" i="13"/>
  <c r="M9" i="16"/>
  <c r="M9" i="29"/>
  <c r="M9" i="24"/>
  <c r="M9" i="33"/>
  <c r="M86" i="35"/>
  <c r="M86" i="16"/>
  <c r="M86" i="29"/>
  <c r="M86" i="13"/>
  <c r="M86" i="33"/>
  <c r="M107" i="13"/>
  <c r="M107" i="35"/>
  <c r="M107" i="16"/>
  <c r="M107" i="29"/>
  <c r="M107" i="33"/>
  <c r="M123" i="13"/>
  <c r="M123" i="33"/>
  <c r="M123" i="16"/>
  <c r="M123" i="29"/>
  <c r="M92" i="16"/>
  <c r="M98" i="20"/>
  <c r="M98" i="13"/>
  <c r="M98" i="23"/>
  <c r="M98" i="27"/>
  <c r="M98" i="29"/>
  <c r="M98" i="33"/>
  <c r="M98" i="16"/>
  <c r="M115" i="23"/>
  <c r="M115" i="16"/>
  <c r="M115" i="33"/>
  <c r="M90" i="13"/>
  <c r="M90" i="16"/>
  <c r="M91" i="16"/>
  <c r="M77" i="20"/>
  <c r="M77" i="13"/>
  <c r="M77" i="27"/>
  <c r="M77" i="23"/>
  <c r="M77" i="29"/>
  <c r="M77" i="33"/>
  <c r="M77" i="16"/>
  <c r="M126" i="16"/>
  <c r="M67" i="13"/>
  <c r="M67" i="23"/>
  <c r="M67" i="27"/>
  <c r="M67" i="29"/>
  <c r="M67" i="16"/>
  <c r="M67" i="33"/>
  <c r="M101" i="16"/>
  <c r="M93" i="16"/>
  <c r="M109" i="27"/>
  <c r="M109" i="13"/>
  <c r="M109" i="23"/>
  <c r="M109" i="29"/>
  <c r="M109" i="35"/>
  <c r="M109" i="16"/>
  <c r="M109" i="33"/>
  <c r="M112" i="13"/>
  <c r="M112" i="23"/>
  <c r="M112" i="27"/>
  <c r="M112" i="34"/>
  <c r="M112" i="33"/>
  <c r="M112" i="29"/>
  <c r="M112" i="16"/>
  <c r="M42" i="8"/>
  <c r="D39" i="9"/>
  <c r="N70" i="8"/>
  <c r="H63" i="9"/>
  <c r="B64" i="9"/>
  <c r="M43" i="8"/>
  <c r="D40" i="9"/>
  <c r="M38" i="8"/>
  <c r="D35" i="9"/>
  <c r="C51" i="9"/>
  <c r="N13" i="8"/>
  <c r="H50" i="9"/>
  <c r="N61" i="8"/>
  <c r="N45" i="8"/>
  <c r="G53" i="9"/>
  <c r="G47" i="9"/>
  <c r="G30" i="9"/>
  <c r="M29" i="8"/>
  <c r="B68" i="9"/>
  <c r="D29" i="9"/>
  <c r="D14" i="9"/>
  <c r="B52" i="9"/>
  <c r="M14" i="8"/>
  <c r="M22" i="8"/>
  <c r="D22" i="9"/>
  <c r="B60" i="9"/>
  <c r="M36" i="8"/>
  <c r="B43" i="9"/>
  <c r="D33" i="9"/>
  <c r="G50" i="9"/>
  <c r="M61" i="8"/>
  <c r="G48" i="9"/>
  <c r="M59" i="8"/>
  <c r="I10" i="9"/>
  <c r="M69" i="8"/>
  <c r="G62" i="9"/>
  <c r="I24" i="9"/>
  <c r="H52" i="9"/>
  <c r="N63" i="8"/>
  <c r="G61" i="9"/>
  <c r="N10" i="8"/>
  <c r="C48" i="9"/>
  <c r="B67" i="9"/>
  <c r="M28" i="8"/>
  <c r="M85" i="8"/>
  <c r="I35" i="9"/>
  <c r="M68" i="8"/>
  <c r="G58" i="9"/>
  <c r="I20" i="9"/>
  <c r="N42" i="8"/>
  <c r="N12" i="8"/>
  <c r="C50" i="9"/>
  <c r="N22" i="8"/>
  <c r="C60" i="9"/>
  <c r="M19" i="8"/>
  <c r="B57" i="9"/>
  <c r="D19" i="9"/>
  <c r="H53" i="9"/>
  <c r="N40" i="8"/>
  <c r="D38" i="9"/>
  <c r="M41" i="8"/>
  <c r="N39" i="8"/>
  <c r="N27" i="8"/>
  <c r="C66" i="9"/>
  <c r="N62" i="8"/>
  <c r="H51" i="9"/>
  <c r="N44" i="8"/>
  <c r="M45" i="8"/>
  <c r="D42" i="9"/>
  <c r="B66" i="9"/>
  <c r="H30" i="9"/>
  <c r="J24" i="9" s="1"/>
  <c r="H47" i="9"/>
  <c r="I19" i="9"/>
  <c r="M67" i="8"/>
  <c r="G57" i="9"/>
  <c r="N11" i="8"/>
  <c r="C49" i="9"/>
  <c r="M84" i="8"/>
  <c r="I34" i="9"/>
  <c r="G52" i="9"/>
  <c r="M63" i="8"/>
  <c r="H56" i="9"/>
  <c r="N66" i="8"/>
  <c r="D41" i="9"/>
  <c r="M44" i="8"/>
  <c r="I21" i="9"/>
  <c r="G59" i="9"/>
  <c r="D13" i="9"/>
  <c r="M13" i="8"/>
  <c r="B51" i="9"/>
  <c r="N85" i="8"/>
  <c r="B63" i="9"/>
  <c r="M25" i="8"/>
  <c r="D25" i="9"/>
  <c r="N19" i="8"/>
  <c r="C57" i="9"/>
  <c r="H57" i="9"/>
  <c r="N67" i="8"/>
  <c r="M20" i="8"/>
  <c r="D20" i="9"/>
  <c r="B58" i="9"/>
  <c r="N20" i="8"/>
  <c r="C58" i="9"/>
  <c r="D11" i="9"/>
  <c r="M11" i="8"/>
  <c r="B49" i="9"/>
  <c r="M86" i="8"/>
  <c r="I36" i="9"/>
  <c r="H55" i="9"/>
  <c r="G60" i="9"/>
  <c r="I26" i="9"/>
  <c r="M71" i="8"/>
  <c r="G65" i="9"/>
  <c r="G68" i="9"/>
  <c r="N71" i="8"/>
  <c r="H65" i="9"/>
  <c r="N72" i="8"/>
  <c r="H66" i="9"/>
  <c r="N92" i="8"/>
  <c r="B48" i="9"/>
  <c r="D10" i="9"/>
  <c r="M10" i="8"/>
  <c r="N43" i="8"/>
  <c r="C64" i="9"/>
  <c r="H62" i="9"/>
  <c r="N69" i="8"/>
  <c r="N86" i="8"/>
  <c r="H49" i="9"/>
  <c r="N60" i="8"/>
  <c r="C53" i="9"/>
  <c r="N15" i="8"/>
  <c r="I39" i="9"/>
  <c r="M89" i="8"/>
  <c r="B55" i="9"/>
  <c r="M17" i="8"/>
  <c r="D17" i="9"/>
  <c r="C47" i="9"/>
  <c r="C30" i="9"/>
  <c r="E16" i="9" s="1"/>
  <c r="N9" i="8"/>
  <c r="N89" i="8"/>
  <c r="C68" i="9"/>
  <c r="N29" i="8"/>
  <c r="G64" i="9"/>
  <c r="I40" i="9"/>
  <c r="M90" i="8"/>
  <c r="C65" i="9"/>
  <c r="N26" i="8"/>
  <c r="N88" i="8"/>
  <c r="D21" i="9"/>
  <c r="B59" i="9"/>
  <c r="M21" i="8"/>
  <c r="N16" i="8"/>
  <c r="C54" i="9"/>
  <c r="N91" i="8"/>
  <c r="C43" i="9"/>
  <c r="E33" i="9" s="1"/>
  <c r="N36" i="8"/>
  <c r="M40" i="8"/>
  <c r="D37" i="9"/>
  <c r="M70" i="8"/>
  <c r="I25" i="9"/>
  <c r="G63" i="9"/>
  <c r="N38" i="8"/>
  <c r="B62" i="9"/>
  <c r="D24" i="9"/>
  <c r="M24" i="8"/>
  <c r="H58" i="9"/>
  <c r="N68" i="8"/>
  <c r="D34" i="9"/>
  <c r="M37" i="8"/>
  <c r="N87" i="8"/>
  <c r="D27" i="9"/>
  <c r="M27" i="8"/>
  <c r="M60" i="8"/>
  <c r="I11" i="9"/>
  <c r="G49" i="9"/>
  <c r="H43" i="9"/>
  <c r="J37" i="9" s="1"/>
  <c r="N83" i="8"/>
  <c r="C63" i="9"/>
  <c r="N25" i="8"/>
  <c r="N37" i="8"/>
  <c r="B54" i="9"/>
  <c r="D16" i="9"/>
  <c r="M16" i="8"/>
  <c r="N21" i="8"/>
  <c r="C59" i="9"/>
  <c r="H68" i="9"/>
  <c r="N84" i="8"/>
  <c r="N23" i="8"/>
  <c r="C61" i="9"/>
  <c r="N28" i="8"/>
  <c r="C67" i="9"/>
  <c r="H48" i="9"/>
  <c r="N59" i="8"/>
  <c r="I37" i="9"/>
  <c r="M87" i="8"/>
  <c r="D12" i="9"/>
  <c r="M12" i="8"/>
  <c r="B50" i="9"/>
  <c r="C52" i="9"/>
  <c r="N14" i="8"/>
  <c r="I33" i="9"/>
  <c r="G43" i="9"/>
  <c r="F27" i="10" s="1"/>
  <c r="M83" i="8"/>
  <c r="N17" i="8"/>
  <c r="C55" i="9"/>
  <c r="H64" i="9"/>
  <c r="N90" i="8"/>
  <c r="M26" i="8"/>
  <c r="D26" i="9"/>
  <c r="B65" i="9"/>
  <c r="H54" i="9"/>
  <c r="M91" i="8"/>
  <c r="I41" i="9"/>
  <c r="H59" i="9"/>
  <c r="D18" i="9"/>
  <c r="M18" i="8"/>
  <c r="B56" i="9"/>
  <c r="H67" i="9"/>
  <c r="N18" i="8"/>
  <c r="C56" i="9"/>
  <c r="M92" i="8"/>
  <c r="I42" i="9"/>
  <c r="B30" i="9"/>
  <c r="B17" i="10" s="1"/>
  <c r="B47" i="9"/>
  <c r="M9" i="8"/>
  <c r="N41" i="8"/>
  <c r="M66" i="8"/>
  <c r="G56" i="9"/>
  <c r="M39" i="8"/>
  <c r="D36" i="9"/>
  <c r="B53" i="9"/>
  <c r="M15" i="8"/>
  <c r="D15" i="9"/>
  <c r="D23" i="9"/>
  <c r="M23" i="8"/>
  <c r="B61" i="9"/>
  <c r="G67" i="9"/>
  <c r="I13" i="9"/>
  <c r="G51" i="9"/>
  <c r="M62" i="8"/>
  <c r="I27" i="9"/>
  <c r="M72" i="8"/>
  <c r="G66" i="9"/>
  <c r="G54" i="9"/>
  <c r="I16" i="9"/>
  <c r="N24" i="8"/>
  <c r="C62" i="9"/>
  <c r="G55" i="9"/>
  <c r="I17" i="9"/>
  <c r="M88" i="8"/>
  <c r="I38" i="9"/>
  <c r="J8" i="4"/>
  <c r="J9" i="4"/>
  <c r="J67" i="4"/>
  <c r="K21" i="10"/>
  <c r="H75" i="4"/>
  <c r="H25" i="10"/>
  <c r="G55" i="10"/>
  <c r="H136" i="4"/>
  <c r="H96" i="4"/>
  <c r="K42" i="10"/>
  <c r="G53" i="10"/>
  <c r="H29" i="4"/>
  <c r="H89" i="4"/>
  <c r="K12" i="10"/>
  <c r="K14" i="10"/>
  <c r="K23" i="10"/>
  <c r="H87" i="4"/>
  <c r="H111" i="4"/>
  <c r="K44" i="10"/>
  <c r="K24" i="10"/>
  <c r="G46" i="10"/>
  <c r="H43" i="10"/>
  <c r="J10" i="10"/>
  <c r="D10" i="10"/>
  <c r="J24" i="10"/>
  <c r="D24" i="10"/>
  <c r="B60" i="10"/>
  <c r="D38" i="10"/>
  <c r="J38" i="10"/>
  <c r="I37" i="4"/>
  <c r="E37" i="16"/>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J45" i="10"/>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32" i="10"/>
  <c r="F54" i="10"/>
  <c r="I22" i="4"/>
  <c r="M22" i="20" s="1"/>
  <c r="K41" i="10"/>
  <c r="C46" i="10"/>
  <c r="H119" i="4"/>
  <c r="H137" i="4"/>
  <c r="I136" i="4"/>
  <c r="H68" i="4"/>
  <c r="I68" i="4"/>
  <c r="I38" i="4"/>
  <c r="K43" i="10"/>
  <c r="I10" i="4"/>
  <c r="H135" i="4"/>
  <c r="H12" i="4"/>
  <c r="D26" i="10"/>
  <c r="I34" i="4"/>
  <c r="H9" i="10"/>
  <c r="J9" i="10"/>
  <c r="L9" i="10" s="1"/>
  <c r="J49" i="10"/>
  <c r="L49" i="10" s="1"/>
  <c r="D49" i="10"/>
  <c r="D21" i="10"/>
  <c r="J21" i="10"/>
  <c r="I39" i="4"/>
  <c r="I36" i="4"/>
  <c r="E36" i="16"/>
  <c r="B35" i="10"/>
  <c r="J30" i="10"/>
  <c r="B52" i="10"/>
  <c r="D30" i="10"/>
  <c r="I7" i="4"/>
  <c r="K60" i="10"/>
  <c r="K38" i="10"/>
  <c r="H13" i="10"/>
  <c r="G35" i="10"/>
  <c r="G52" i="10"/>
  <c r="I35" i="4"/>
  <c r="D12" i="10"/>
  <c r="I12" i="4"/>
  <c r="D43" i="10"/>
  <c r="J43" i="10"/>
  <c r="I134" i="4"/>
  <c r="J134" i="4" s="1"/>
  <c r="I11" i="4"/>
  <c r="K20" i="10"/>
  <c r="D25" i="10"/>
  <c r="J25" i="10"/>
  <c r="D41" i="10"/>
  <c r="J41" i="10"/>
  <c r="B46" i="10"/>
  <c r="K31" i="10"/>
  <c r="C53" i="10"/>
  <c r="J119" i="4" l="1"/>
  <c r="M25" i="16"/>
  <c r="M25" i="18"/>
  <c r="M25" i="13"/>
  <c r="M25" i="20"/>
  <c r="M25" i="23"/>
  <c r="M25" i="33"/>
  <c r="M25" i="37"/>
  <c r="M25" i="29"/>
  <c r="M27" i="16"/>
  <c r="J87" i="4"/>
  <c r="J89" i="4"/>
  <c r="J96" i="4"/>
  <c r="J75" i="4"/>
  <c r="F16" i="10"/>
  <c r="H16" i="10" s="1"/>
  <c r="H36" i="4"/>
  <c r="J36" i="4" s="1"/>
  <c r="F26" i="10"/>
  <c r="H37" i="4"/>
  <c r="J37" i="4" s="1"/>
  <c r="J111" i="4"/>
  <c r="M35" i="37"/>
  <c r="M35" i="18"/>
  <c r="M22" i="37"/>
  <c r="M22" i="18"/>
  <c r="M29" i="37"/>
  <c r="M29" i="18"/>
  <c r="M135" i="37"/>
  <c r="M37" i="37"/>
  <c r="M137" i="37"/>
  <c r="M66" i="37"/>
  <c r="M66" i="18"/>
  <c r="M111" i="37"/>
  <c r="M111" i="18"/>
  <c r="M10" i="37"/>
  <c r="M10" i="18"/>
  <c r="M75" i="37"/>
  <c r="M134" i="37"/>
  <c r="M36" i="37"/>
  <c r="M12" i="37"/>
  <c r="M12" i="18"/>
  <c r="M89" i="37"/>
  <c r="M89" i="18"/>
  <c r="M87" i="37"/>
  <c r="M87" i="18"/>
  <c r="M11" i="37"/>
  <c r="M11" i="18"/>
  <c r="M7" i="37"/>
  <c r="M7" i="18"/>
  <c r="M34" i="37"/>
  <c r="M34" i="18"/>
  <c r="M119" i="37"/>
  <c r="M119" i="18"/>
  <c r="M68" i="37"/>
  <c r="M68" i="18"/>
  <c r="M96" i="37"/>
  <c r="L24" i="10"/>
  <c r="L14" i="10"/>
  <c r="L15" i="10"/>
  <c r="L42" i="10"/>
  <c r="J11" i="4"/>
  <c r="M11" i="13"/>
  <c r="M11" i="33"/>
  <c r="M11" i="23"/>
  <c r="M11" i="29"/>
  <c r="M11" i="35"/>
  <c r="M11" i="16"/>
  <c r="J10" i="4"/>
  <c r="M10" i="20"/>
  <c r="M10" i="23"/>
  <c r="M10" i="13"/>
  <c r="M10" i="24"/>
  <c r="M10" i="35"/>
  <c r="M10" i="51"/>
  <c r="M10" i="16"/>
  <c r="M10" i="29"/>
  <c r="M10" i="33"/>
  <c r="M68" i="20"/>
  <c r="M68" i="13"/>
  <c r="M68" i="27"/>
  <c r="M68" i="23"/>
  <c r="M68" i="29"/>
  <c r="M68" i="35"/>
  <c r="M68" i="33"/>
  <c r="M68" i="16"/>
  <c r="M136" i="26"/>
  <c r="M136" i="16"/>
  <c r="M119" i="23"/>
  <c r="M119" i="20"/>
  <c r="M119" i="27"/>
  <c r="M119" i="13"/>
  <c r="M119" i="35"/>
  <c r="M119" i="16"/>
  <c r="M119" i="29"/>
  <c r="M119" i="33"/>
  <c r="M111" i="23"/>
  <c r="M111" i="20"/>
  <c r="M111" i="27"/>
  <c r="M111" i="35"/>
  <c r="M111" i="29"/>
  <c r="M111" i="16"/>
  <c r="M111" i="13"/>
  <c r="M111" i="34"/>
  <c r="M111" i="33"/>
  <c r="J7" i="4"/>
  <c r="M7" i="19"/>
  <c r="M7" i="13"/>
  <c r="M7" i="23"/>
  <c r="M7" i="22"/>
  <c r="M7" i="25"/>
  <c r="M7" i="20"/>
  <c r="M7" i="24"/>
  <c r="M7" i="29"/>
  <c r="M7" i="16"/>
  <c r="M7" i="51"/>
  <c r="M7" i="35"/>
  <c r="M7" i="33"/>
  <c r="J22" i="4"/>
  <c r="M22" i="13"/>
  <c r="M22" i="24"/>
  <c r="M22" i="23"/>
  <c r="M22" i="29"/>
  <c r="M22" i="35"/>
  <c r="M22" i="33"/>
  <c r="M22" i="16"/>
  <c r="M29" i="23"/>
  <c r="M29" i="13"/>
  <c r="M29" i="29"/>
  <c r="M29" i="35"/>
  <c r="M29" i="24"/>
  <c r="M29" i="16"/>
  <c r="M29" i="20"/>
  <c r="M29" i="33"/>
  <c r="M137" i="26"/>
  <c r="M137" i="16"/>
  <c r="M87" i="13"/>
  <c r="M87" i="20"/>
  <c r="M87" i="23"/>
  <c r="M87" i="27"/>
  <c r="M87" i="33"/>
  <c r="M87" i="29"/>
  <c r="M87" i="35"/>
  <c r="M87" i="16"/>
  <c r="J9" i="9"/>
  <c r="M35" i="13"/>
  <c r="M35" i="23"/>
  <c r="M35" i="29"/>
  <c r="M35" i="35"/>
  <c r="M35" i="33"/>
  <c r="M35" i="16"/>
  <c r="M39" i="16"/>
  <c r="M34" i="13"/>
  <c r="M34" i="23"/>
  <c r="M34" i="29"/>
  <c r="M34" i="35"/>
  <c r="M34" i="16"/>
  <c r="M34" i="33"/>
  <c r="J38" i="4"/>
  <c r="M38" i="13"/>
  <c r="M38" i="16"/>
  <c r="M66" i="13"/>
  <c r="M66" i="20"/>
  <c r="M66" i="27"/>
  <c r="M66" i="35"/>
  <c r="M66" i="33"/>
  <c r="M66" i="23"/>
  <c r="M66" i="29"/>
  <c r="M66" i="16"/>
  <c r="M89" i="20"/>
  <c r="M89" i="13"/>
  <c r="M89" i="23"/>
  <c r="M89" i="27"/>
  <c r="M89" i="29"/>
  <c r="M89" i="35"/>
  <c r="M89" i="33"/>
  <c r="M89" i="16"/>
  <c r="M96" i="16"/>
  <c r="M96" i="33"/>
  <c r="M75" i="16"/>
  <c r="M75" i="33"/>
  <c r="M37" i="13"/>
  <c r="M37" i="16"/>
  <c r="I66" i="9"/>
  <c r="M134" i="26"/>
  <c r="M134" i="16"/>
  <c r="M134" i="34"/>
  <c r="M12" i="13"/>
  <c r="M12" i="23"/>
  <c r="M12" i="29"/>
  <c r="M12" i="35"/>
  <c r="M12" i="16"/>
  <c r="M12" i="33"/>
  <c r="M36" i="13"/>
  <c r="M36" i="16"/>
  <c r="L21" i="10"/>
  <c r="H53" i="10"/>
  <c r="M135" i="26"/>
  <c r="M135" i="34"/>
  <c r="M135" i="16"/>
  <c r="L31" i="10"/>
  <c r="L22" i="10"/>
  <c r="L10" i="10"/>
  <c r="I64" i="9"/>
  <c r="I62" i="9"/>
  <c r="I58" i="9"/>
  <c r="I54" i="9"/>
  <c r="I51" i="9"/>
  <c r="I30" i="9"/>
  <c r="I48" i="9"/>
  <c r="D64" i="9"/>
  <c r="D43" i="9"/>
  <c r="D48" i="9"/>
  <c r="G17" i="10"/>
  <c r="E36" i="9"/>
  <c r="E40" i="9"/>
  <c r="E34" i="9"/>
  <c r="E35" i="9"/>
  <c r="E42" i="9"/>
  <c r="D30" i="9"/>
  <c r="E41" i="9"/>
  <c r="E39" i="9"/>
  <c r="F17" i="10"/>
  <c r="J17" i="10" s="1"/>
  <c r="E38" i="9"/>
  <c r="E37" i="9"/>
  <c r="B27" i="10"/>
  <c r="J27" i="10" s="1"/>
  <c r="J33" i="9"/>
  <c r="E20" i="9"/>
  <c r="C69" i="9"/>
  <c r="E67" i="9" s="1"/>
  <c r="E11" i="9"/>
  <c r="J39" i="9"/>
  <c r="E23" i="9"/>
  <c r="J12" i="9"/>
  <c r="E15" i="9"/>
  <c r="G27" i="10"/>
  <c r="H27" i="10" s="1"/>
  <c r="E19" i="9"/>
  <c r="E13" i="9"/>
  <c r="J20" i="9"/>
  <c r="J14" i="9"/>
  <c r="H69" i="9"/>
  <c r="J68" i="9" s="1"/>
  <c r="E28" i="9"/>
  <c r="E22" i="9"/>
  <c r="E17" i="9"/>
  <c r="E18" i="9"/>
  <c r="J10" i="9"/>
  <c r="J18" i="9"/>
  <c r="J29" i="9"/>
  <c r="J13" i="9"/>
  <c r="J11" i="9"/>
  <c r="J15" i="9"/>
  <c r="B69" i="9"/>
  <c r="E25" i="9"/>
  <c r="E9" i="9"/>
  <c r="E14" i="9"/>
  <c r="E10" i="9"/>
  <c r="C17" i="10"/>
  <c r="D17" i="10" s="1"/>
  <c r="J26" i="9"/>
  <c r="C27" i="10"/>
  <c r="J22" i="9"/>
  <c r="J16" i="9"/>
  <c r="J19" i="9"/>
  <c r="J17" i="9"/>
  <c r="J25" i="9"/>
  <c r="E29" i="9"/>
  <c r="E12" i="9"/>
  <c r="E21" i="9"/>
  <c r="E24" i="9"/>
  <c r="E26" i="9"/>
  <c r="E27" i="9"/>
  <c r="J23" i="9"/>
  <c r="J27" i="9"/>
  <c r="J28" i="9"/>
  <c r="J21" i="9"/>
  <c r="J40" i="9"/>
  <c r="J41" i="9"/>
  <c r="G69" i="9"/>
  <c r="J34" i="9"/>
  <c r="J35" i="9"/>
  <c r="J38" i="9"/>
  <c r="I43" i="9"/>
  <c r="J36" i="9"/>
  <c r="J42" i="9"/>
  <c r="J137" i="4"/>
  <c r="J135" i="4"/>
  <c r="J12" i="4"/>
  <c r="J35" i="4"/>
  <c r="J34" i="4"/>
  <c r="J136" i="4"/>
  <c r="J68" i="4"/>
  <c r="J29" i="4"/>
  <c r="K53" i="10"/>
  <c r="K55" i="10"/>
  <c r="L44" i="10"/>
  <c r="L23" i="10"/>
  <c r="H55" i="10"/>
  <c r="L30" i="10"/>
  <c r="G57" i="10"/>
  <c r="L32" i="10"/>
  <c r="H54" i="10"/>
  <c r="L34" i="10"/>
  <c r="L43" i="10"/>
  <c r="K46" i="10"/>
  <c r="H46" i="10"/>
  <c r="L41" i="10"/>
  <c r="L13" i="10"/>
  <c r="L25" i="10"/>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16" i="10" l="1"/>
  <c r="L16" i="10" s="1"/>
  <c r="J26" i="10"/>
  <c r="L26" i="10" s="1"/>
  <c r="L55" i="10"/>
  <c r="L53" i="10"/>
  <c r="J43" i="9"/>
  <c r="J30" i="9"/>
  <c r="I69" i="9"/>
  <c r="E43" i="9"/>
  <c r="D69" i="9"/>
  <c r="H17" i="10"/>
  <c r="E53" i="9"/>
  <c r="D53" i="9" s="1"/>
  <c r="E59" i="9"/>
  <c r="D59" i="9" s="1"/>
  <c r="E52" i="9"/>
  <c r="D52" i="9" s="1"/>
  <c r="E51" i="9"/>
  <c r="D51" i="9" s="1"/>
  <c r="J54" i="9"/>
  <c r="J53" i="9"/>
  <c r="D27" i="10"/>
  <c r="E55" i="9"/>
  <c r="D55" i="9" s="1"/>
  <c r="E61" i="9"/>
  <c r="D61" i="9" s="1"/>
  <c r="E56" i="9"/>
  <c r="D56" i="9" s="1"/>
  <c r="E62" i="9"/>
  <c r="D62" i="9" s="1"/>
  <c r="K27" i="10"/>
  <c r="L27" i="10" s="1"/>
  <c r="J64" i="9"/>
  <c r="J61" i="9"/>
  <c r="J50" i="9"/>
  <c r="J57" i="9"/>
  <c r="I57" i="9" s="1"/>
  <c r="E57" i="9"/>
  <c r="D57" i="9" s="1"/>
  <c r="E49" i="9"/>
  <c r="D49" i="9" s="1"/>
  <c r="E48" i="9"/>
  <c r="E47" i="9"/>
  <c r="E64" i="9"/>
  <c r="E68" i="9"/>
  <c r="D68" i="9" s="1"/>
  <c r="E65" i="9"/>
  <c r="D65" i="9" s="1"/>
  <c r="E60" i="9"/>
  <c r="D60" i="9" s="1"/>
  <c r="K17" i="10"/>
  <c r="L17" i="10" s="1"/>
  <c r="J60" i="9"/>
  <c r="J49" i="9"/>
  <c r="I49" i="9" s="1"/>
  <c r="J55" i="9"/>
  <c r="I55" i="9" s="1"/>
  <c r="J62" i="9"/>
  <c r="J56" i="9"/>
  <c r="J63" i="9"/>
  <c r="I63" i="9" s="1"/>
  <c r="J51" i="9"/>
  <c r="J58" i="9"/>
  <c r="J67" i="9"/>
  <c r="J48" i="9"/>
  <c r="J59" i="9"/>
  <c r="I59" i="9" s="1"/>
  <c r="J52" i="9"/>
  <c r="J65" i="9"/>
  <c r="I65" i="9" s="1"/>
  <c r="J66" i="9"/>
  <c r="J47" i="9"/>
  <c r="E58" i="9"/>
  <c r="D58" i="9" s="1"/>
  <c r="E63" i="9"/>
  <c r="D63" i="9" s="1"/>
  <c r="E50" i="9"/>
  <c r="D50" i="9" s="1"/>
  <c r="E54" i="9"/>
  <c r="D54" i="9" s="1"/>
  <c r="E66" i="9"/>
  <c r="D66" i="9" s="1"/>
  <c r="E30" i="9"/>
  <c r="K57" i="10"/>
  <c r="H57" i="10"/>
  <c r="L46" i="10"/>
  <c r="L35" i="10"/>
  <c r="L54" i="10"/>
  <c r="J57" i="10"/>
  <c r="D57" i="10"/>
  <c r="L52" i="10"/>
  <c r="N38" i="9"/>
  <c r="N41" i="9"/>
  <c r="N10" i="9"/>
  <c r="N24" i="9"/>
  <c r="N36" i="9"/>
  <c r="M17" i="9"/>
  <c r="M9" i="9"/>
  <c r="M20" i="9"/>
  <c r="N30" i="9"/>
  <c r="O42" i="9"/>
  <c r="O38" i="9"/>
  <c r="M25" i="9"/>
  <c r="N35" i="9"/>
  <c r="N37" i="9"/>
  <c r="N28" i="9"/>
  <c r="M42" i="9"/>
  <c r="L21" i="9"/>
  <c r="M22" i="9"/>
  <c r="L35" i="9"/>
  <c r="N13" i="9"/>
  <c r="M34" i="9"/>
  <c r="L43" i="9"/>
  <c r="M43" i="9"/>
  <c r="O39" i="9"/>
  <c r="L28" i="9"/>
  <c r="M40" i="9"/>
  <c r="L25" i="9"/>
  <c r="O15" i="9"/>
  <c r="L23" i="9"/>
  <c r="O44" i="9"/>
  <c r="O40" i="9"/>
  <c r="N21" i="9"/>
  <c r="M16" i="9"/>
  <c r="M26" i="9"/>
  <c r="N40" i="9"/>
  <c r="N11" i="9"/>
  <c r="N15" i="9"/>
  <c r="L37" i="9"/>
  <c r="M28" i="9"/>
  <c r="L24" i="9"/>
  <c r="O34" i="9"/>
  <c r="L39" i="9"/>
  <c r="L18" i="9"/>
  <c r="N9" i="9"/>
  <c r="L17" i="9"/>
  <c r="O24" i="9"/>
  <c r="M19" i="9"/>
  <c r="N27" i="9"/>
  <c r="L14" i="9"/>
  <c r="O25" i="9"/>
  <c r="L20" i="9"/>
  <c r="L9" i="9"/>
  <c r="M38" i="9"/>
  <c r="O9" i="9"/>
  <c r="O14" i="9"/>
  <c r="M41" i="9"/>
  <c r="O30" i="9"/>
  <c r="L11" i="9"/>
  <c r="N14" i="9"/>
  <c r="L34" i="9"/>
  <c r="N34" i="9"/>
  <c r="M44" i="9"/>
  <c r="L26" i="9"/>
  <c r="O13" i="9"/>
  <c r="M39" i="9"/>
  <c r="L10" i="9"/>
  <c r="N42" i="9"/>
  <c r="L22" i="9"/>
  <c r="O26" i="9"/>
  <c r="O12" i="9"/>
  <c r="O23" i="9"/>
  <c r="O43" i="9"/>
  <c r="O20" i="9"/>
  <c r="N19" i="9"/>
  <c r="L38" i="9"/>
  <c r="M21" i="9"/>
  <c r="O22" i="9"/>
  <c r="L42" i="9"/>
  <c r="M11" i="9"/>
  <c r="O28" i="9"/>
  <c r="M10" i="9"/>
  <c r="N39" i="9"/>
  <c r="M27" i="9"/>
  <c r="L16" i="9"/>
  <c r="L15" i="9"/>
  <c r="M30" i="9"/>
  <c r="O16" i="9"/>
  <c r="O17" i="9"/>
  <c r="O19" i="9"/>
  <c r="O29" i="9"/>
  <c r="N25" i="9"/>
  <c r="N26" i="9"/>
  <c r="M23" i="9"/>
  <c r="M36" i="9"/>
  <c r="N43" i="9"/>
  <c r="N12" i="9"/>
  <c r="L13" i="9"/>
  <c r="O36" i="9"/>
  <c r="M13" i="9"/>
  <c r="N18" i="9"/>
  <c r="N22" i="9"/>
  <c r="L29" i="9"/>
  <c r="L30" i="9"/>
  <c r="M35" i="9"/>
  <c r="N23" i="9"/>
  <c r="M29" i="9"/>
  <c r="N29" i="9"/>
  <c r="N16" i="9"/>
  <c r="O18" i="9"/>
  <c r="L27" i="9"/>
  <c r="O21" i="9"/>
  <c r="L44" i="9"/>
  <c r="M12" i="9"/>
  <c r="M15" i="9"/>
  <c r="O37" i="9"/>
  <c r="O41" i="9"/>
  <c r="M24" i="9"/>
  <c r="N20" i="9"/>
  <c r="O27" i="9"/>
  <c r="L12" i="9"/>
  <c r="L19" i="9"/>
  <c r="L40" i="9"/>
  <c r="N44" i="9"/>
  <c r="L41" i="9"/>
  <c r="M37" i="9"/>
  <c r="M14" i="9"/>
  <c r="O10" i="9"/>
  <c r="M18" i="9"/>
  <c r="O11" i="9"/>
  <c r="L36" i="9"/>
  <c r="N17" i="9"/>
  <c r="O35" i="9"/>
  <c r="L59" i="9" l="1"/>
  <c r="O70" i="9"/>
  <c r="N71" i="9"/>
  <c r="N59" i="9"/>
  <c r="L66" i="9"/>
  <c r="N70" i="9"/>
  <c r="L70" i="9"/>
  <c r="M51" i="9"/>
  <c r="O55" i="9"/>
  <c r="M45" i="9"/>
  <c r="O31" i="9"/>
  <c r="O49" i="9"/>
  <c r="N54" i="9"/>
  <c r="L57" i="9"/>
  <c r="M58" i="9"/>
  <c r="M60" i="9"/>
  <c r="M56" i="9"/>
  <c r="M66" i="9"/>
  <c r="M55" i="9"/>
  <c r="L55" i="9"/>
  <c r="O69" i="9"/>
  <c r="L50" i="9"/>
  <c r="N62" i="9"/>
  <c r="O60" i="9"/>
  <c r="N53" i="9"/>
  <c r="O59" i="9"/>
  <c r="M49" i="9"/>
  <c r="M31" i="9"/>
  <c r="L67" i="9"/>
  <c r="L65" i="9"/>
  <c r="M52" i="9"/>
  <c r="L64" i="9"/>
  <c r="N58" i="9"/>
  <c r="N61" i="9"/>
  <c r="M69" i="9"/>
  <c r="L31" i="9"/>
  <c r="L49" i="9"/>
  <c r="M70" i="9"/>
  <c r="L52" i="9"/>
  <c r="M57" i="9"/>
  <c r="O64" i="9"/>
  <c r="L71" i="9"/>
  <c r="L69" i="9"/>
  <c r="L56" i="9"/>
  <c r="O53" i="9"/>
  <c r="M53" i="9"/>
  <c r="L51" i="9"/>
  <c r="M62" i="9"/>
  <c r="L60" i="9"/>
  <c r="O62" i="9"/>
  <c r="N49" i="9"/>
  <c r="N31" i="9"/>
  <c r="O50" i="9"/>
  <c r="O54" i="9"/>
  <c r="O61" i="9"/>
  <c r="N55" i="9"/>
  <c r="M65" i="9"/>
  <c r="O68" i="9"/>
  <c r="M63" i="9"/>
  <c r="O63" i="9"/>
  <c r="L61" i="9"/>
  <c r="O65" i="9"/>
  <c r="O45" i="9"/>
  <c r="N64" i="9"/>
  <c r="M50" i="9"/>
  <c r="N65" i="9"/>
  <c r="L68" i="9"/>
  <c r="M61" i="9"/>
  <c r="N60" i="9"/>
  <c r="L53" i="9"/>
  <c r="N63" i="9"/>
  <c r="O52" i="9"/>
  <c r="L54" i="9"/>
  <c r="O57" i="9"/>
  <c r="N50" i="9"/>
  <c r="N57" i="9"/>
  <c r="O51" i="9"/>
  <c r="O58" i="9"/>
  <c r="N51" i="9"/>
  <c r="O71" i="9"/>
  <c r="M64" i="9"/>
  <c r="N45" i="9"/>
  <c r="N52" i="9"/>
  <c r="M67" i="9"/>
  <c r="O67" i="9"/>
  <c r="N69" i="9"/>
  <c r="N68" i="9"/>
  <c r="M54" i="9"/>
  <c r="N66" i="9"/>
  <c r="L58" i="9"/>
  <c r="N56" i="9"/>
  <c r="M68" i="9"/>
  <c r="L63" i="9"/>
  <c r="O66" i="9"/>
  <c r="L45" i="9"/>
  <c r="M71" i="9"/>
  <c r="L62" i="9"/>
  <c r="M59" i="9"/>
  <c r="N67" i="9"/>
  <c r="O56" i="9"/>
  <c r="J69" i="9"/>
  <c r="E69" i="9"/>
  <c r="L57" i="10"/>
  <c r="G66" i="4"/>
  <c r="F12" i="10"/>
  <c r="H12" i="10" s="1"/>
  <c r="H66" i="4"/>
  <c r="J66" i="4"/>
  <c r="O72" i="9" l="1"/>
  <c r="L72" i="9"/>
  <c r="M72" i="9"/>
  <c r="N72" i="9"/>
  <c r="J12" i="10"/>
  <c r="L12" i="10" s="1"/>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<sst xmlns="http://schemas.openxmlformats.org/spreadsheetml/2006/main" count="5822" uniqueCount="491">
  <si>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</si>
  <si>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</si>
  <si>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</si>
  <si>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</si>
  <si>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</si>
  <si>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</si>
  <si>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</si>
  <si>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</si>
  <si>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</si>
  <si>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</si>
  <si>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</si>
  <si>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</si>
  <si>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</si>
  <si>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</si>
  <si>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</si>
  <si>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</si>
  <si>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</si>
  <si>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</si>
  <si>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</si>
  <si>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</si>
  <si>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</si>
  <si>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</si>
  <si>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</si>
  <si>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Forsikringsforpliktelser </t>
    </r>
    <r>
      <rPr>
        <b/>
        <vertAlign val="superscript"/>
        <sz val="10"/>
        <rFont val="Times New Roman"/>
        <family val="1"/>
      </rPr>
      <t>5</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</si>
  <si>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</si>
  <si>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</si>
  <si>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</si>
  <si>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</si>
  <si>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</si>
  <si>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</si>
  <si>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</si>
  <si>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</si>
  <si>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</si>
  <si>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</si>
  <si>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</si>
  <si>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</si>
  <si>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</si>
  <si>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</si>
  <si>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</si>
  <si>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</si>
  <si>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</si>
  <si>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</si>
  <si>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</si>
  <si>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</si>
  <si>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</si>
  <si>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</si>
  <si>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</si>
  <si>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</si>
  <si>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</si>
  <si>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</si>
  <si>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</si>
  <si>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</si>
  <si>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</si>
  <si>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</si>
  <si>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</si>
  <si>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</si>
  <si>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</si>
  <si>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</si>
  <si>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</si>
  <si>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</si>
  <si>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</si>
  <si>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</si>
  <si>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</si>
  <si>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</si>
  <si>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</si>
  <si>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</si>
  <si>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</si>
  <si>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</si>
  <si>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</si>
  <si>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</si>
  <si>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</si>
  <si>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</si>
  <si>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</si>
  <si>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</si>
  <si>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</si>
  <si>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</si>
  <si>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</si>
  <si>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</si>
  <si>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</si>
  <si>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</si>
  <si>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</si>
  <si>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</si>
  <si>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</si>
  <si>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</si>
  <si>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</si>
  <si>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</si>
  <si>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</si>
  <si>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</si>
  <si>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</si>
  <si>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</si>
  <si>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</si>
  <si>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</si>
  <si>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</si>
  <si>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</si>
  <si>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</si>
  <si>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</si>
  <si>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</si>
  <si>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</si>
  <si>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</si>
  <si>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</si>
  <si>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</si>
  <si>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</si>
  <si>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</si>
  <si>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</si>
  <si>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</si>
  <si>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</si>
  <si>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</si>
  <si>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</si>
  <si>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</si>
  <si>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</si>
  <si>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</si>
  <si>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</si>
  <si>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</si>
  <si>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</si>
  <si>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</si>
  <si>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</si>
  <si>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</si>
  <si>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</si>
  <si>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</si>
  <si>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</si>
  <si>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</si>
  <si>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</si>
  <si>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</si>
  <si>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</si>
  <si>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</si>
  <si>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</si>
  <si>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</si>
  <si>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</si>
  <si>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</si>
  <si>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</si>
  <si>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</si>
  <si>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År</t>
  </si>
  <si>
    <t>Kvartal</t>
  </si>
  <si>
    <t>selskap_id</t>
  </si>
  <si>
    <t>sortering</t>
  </si>
  <si>
    <t>selskap_navn</t>
  </si>
  <si>
    <t>19</t>
  </si>
  <si>
    <t>01</t>
  </si>
  <si>
    <t>ACE European Group Ltd</t>
  </si>
  <si>
    <t>34</t>
  </si>
  <si>
    <t>02</t>
  </si>
  <si>
    <t>35</t>
  </si>
  <si>
    <t>03</t>
  </si>
  <si>
    <t>DNB Livsforsikring ASA</t>
  </si>
  <si>
    <t>15</t>
  </si>
  <si>
    <t>04</t>
  </si>
  <si>
    <t>Eika Gruppen AS</t>
  </si>
  <si>
    <t>36</t>
  </si>
  <si>
    <t>05</t>
  </si>
  <si>
    <t>Frende Livsforsikring AS</t>
  </si>
  <si>
    <t>20</t>
  </si>
  <si>
    <t>06</t>
  </si>
  <si>
    <t>Frende Skadeforsikring AS</t>
  </si>
  <si>
    <t>4</t>
  </si>
  <si>
    <t>07</t>
  </si>
  <si>
    <t>Gjensidige Forsikring ASA</t>
  </si>
  <si>
    <t>37</t>
  </si>
  <si>
    <t>08</t>
  </si>
  <si>
    <t>Gjensidige Pensjon og Sparing</t>
  </si>
  <si>
    <t>38</t>
  </si>
  <si>
    <t>09</t>
  </si>
  <si>
    <t>6</t>
  </si>
  <si>
    <t>10</t>
  </si>
  <si>
    <t>If Skadeforsikring nuf</t>
  </si>
  <si>
    <t>39</t>
  </si>
  <si>
    <t>11</t>
  </si>
  <si>
    <t>5</t>
  </si>
  <si>
    <t>12</t>
  </si>
  <si>
    <t>22</t>
  </si>
  <si>
    <t>13</t>
  </si>
  <si>
    <t>17</t>
  </si>
  <si>
    <t>14</t>
  </si>
  <si>
    <t>NEMI Forsikring AS</t>
  </si>
  <si>
    <t>40</t>
  </si>
  <si>
    <t>Livsforsikringsselskapet Nordea Liv Norge AS</t>
  </si>
  <si>
    <t>41</t>
  </si>
  <si>
    <t>16</t>
  </si>
  <si>
    <t>43</t>
  </si>
  <si>
    <t>Silver Pensjonsforsikring  AS</t>
  </si>
  <si>
    <t>49</t>
  </si>
  <si>
    <t>18</t>
  </si>
  <si>
    <t>Sparebank 1 Fondsforsikring</t>
  </si>
  <si>
    <t>50</t>
  </si>
  <si>
    <t>Storebrand Fondsforsikring</t>
  </si>
  <si>
    <t>Telenor Forsikring AS</t>
  </si>
  <si>
    <t>47</t>
  </si>
  <si>
    <t>21</t>
  </si>
  <si>
    <t>TrygVesta Forsikring</t>
  </si>
  <si>
    <t>8</t>
  </si>
  <si>
    <t>SpareBank 1 Forsikring AS</t>
  </si>
  <si>
    <t>32</t>
  </si>
  <si>
    <t>Storebrand ASA</t>
  </si>
  <si>
    <t>33</t>
  </si>
  <si>
    <t>Altraplan Luxembourg</t>
  </si>
  <si>
    <t>42</t>
  </si>
  <si>
    <t>44</t>
  </si>
  <si>
    <t>KLP Skadeforsikring</t>
  </si>
  <si>
    <t>45</t>
  </si>
  <si>
    <t>Commercial Union International Life</t>
  </si>
  <si>
    <t>46</t>
  </si>
  <si>
    <t>Gjensidige NOR Spareforsikring</t>
  </si>
  <si>
    <t>48</t>
  </si>
  <si>
    <t>Vesta</t>
  </si>
  <si>
    <t>51</t>
  </si>
  <si>
    <t>Danica Link</t>
  </si>
  <si>
    <t>52</t>
  </si>
  <si>
    <t>Danica Fondsforsikring</t>
  </si>
  <si>
    <t>53</t>
  </si>
  <si>
    <t>Gjensidige NOR Fondsforsikring</t>
  </si>
  <si>
    <t>54</t>
  </si>
  <si>
    <t>Vital Link</t>
  </si>
  <si>
    <t>55</t>
  </si>
  <si>
    <t>Nordea Link</t>
  </si>
  <si>
    <t>Måned</t>
  </si>
  <si>
    <t>Dag</t>
  </si>
  <si>
    <t>Mnd</t>
  </si>
  <si>
    <t>Dager</t>
  </si>
  <si>
    <t>Selskap</t>
  </si>
  <si>
    <t>Feilmelding</t>
  </si>
  <si>
    <t>Mangler</t>
  </si>
  <si>
    <t>Flytting fra andre</t>
  </si>
  <si>
    <t>Flytting til andre</t>
  </si>
  <si>
    <t>Kolonne</t>
  </si>
  <si>
    <t>Fratrekk</t>
  </si>
  <si>
    <t>Q8</t>
  </si>
  <si>
    <t>Q9</t>
  </si>
  <si>
    <t>Q10</t>
  </si>
  <si>
    <t>Q14</t>
  </si>
  <si>
    <t>Q15</t>
  </si>
  <si>
    <t>Q16</t>
  </si>
  <si>
    <t>Q7</t>
  </si>
  <si>
    <t>R7</t>
  </si>
  <si>
    <t>R8</t>
  </si>
  <si>
    <t>R9</t>
  </si>
  <si>
    <t>R10</t>
  </si>
  <si>
    <t>R14</t>
  </si>
  <si>
    <t>R15</t>
  </si>
  <si>
    <t>R16</t>
  </si>
  <si>
    <t>Q11</t>
  </si>
  <si>
    <t>Q17</t>
  </si>
  <si>
    <t>Q18</t>
  </si>
  <si>
    <t>R17</t>
  </si>
  <si>
    <t>R18</t>
  </si>
  <si>
    <t>R11</t>
  </si>
  <si>
    <t>OppslagsKolonneDataVerdi</t>
  </si>
  <si>
    <t>OppslagsKolonneSelskapNavn</t>
  </si>
  <si>
    <t>Tabell 1.3 Hovedtall</t>
  </si>
  <si>
    <t>Aktivaposter (aggregert)</t>
  </si>
  <si>
    <t>31.03.</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</si>
  <si>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</si>
  <si>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</si>
  <si>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</si>
  <si>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</si>
  <si>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</si>
  <si>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</si>
  <si>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</si>
  <si>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</si>
  <si>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</si>
  <si>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</si>
  <si>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</si>
  <si>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</si>
  <si>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</si>
  <si>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</si>
  <si>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</si>
  <si>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</si>
  <si>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</si>
  <si>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</si>
  <si>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</si>
  <si>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</si>
  <si>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</si>
  <si>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</si>
  <si>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</si>
  <si>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</si>
  <si>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</si>
  <si>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</si>
  <si>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</si>
  <si>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</si>
  <si>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</si>
  <si>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</si>
  <si>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</si>
  <si>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</si>
  <si>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</si>
  <si>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</si>
  <si>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</si>
  <si>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</si>
  <si>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</si>
  <si>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</si>
  <si>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</si>
  <si>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</si>
  <si>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</si>
  <si>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</si>
  <si>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</si>
  <si>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</si>
  <si>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</si>
  <si>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</si>
  <si>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</si>
  <si>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</si>
  <si>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</si>
  <si>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</si>
  <si>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</si>
  <si>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</si>
  <si>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</si>
  <si>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</si>
  <si>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</si>
  <si>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</si>
  <si>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</si>
  <si>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</si>
  <si>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</si>
  <si>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</si>
  <si>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</si>
  <si>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</si>
  <si>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</si>
  <si>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</si>
  <si>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</si>
  <si>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</si>
  <si>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</si>
  <si>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</si>
  <si>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</si>
  <si>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</si>
  <si>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</si>
  <si>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</si>
  <si>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</si>
  <si>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</si>
  <si>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</si>
  <si>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</si>
  <si>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</si>
  <si>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</si>
  <si>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</si>
  <si>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</si>
  <si>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</si>
  <si>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</si>
  <si>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</si>
  <si>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</si>
  <si>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</si>
  <si>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</si>
  <si>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</si>
  <si>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</si>
  <si>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</si>
  <si>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</si>
  <si>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</si>
  <si>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</si>
  <si>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</si>
  <si>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</si>
  <si>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</si>
  <si>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</si>
  <si>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</si>
  <si>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</si>
  <si>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</si>
  <si>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</si>
  <si>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</si>
  <si>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</si>
  <si>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</si>
  <si>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</si>
  <si>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</si>
  <si>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</si>
  <si>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</si>
  <si>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</si>
  <si>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</si>
  <si>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</si>
  <si>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</si>
  <si>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</si>
  <si>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</si>
  <si>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</si>
  <si>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</si>
  <si>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</si>
  <si>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</si>
  <si>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</si>
  <si>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</si>
  <si>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</si>
  <si>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</si>
  <si>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</si>
  <si>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</si>
  <si>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</si>
  <si>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</si>
  <si>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</si>
  <si>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</si>
  <si>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</si>
  <si>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</si>
  <si>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</si>
  <si>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</si>
  <si>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</si>
  <si>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</si>
  <si>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</si>
  <si>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</si>
  <si>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</si>
  <si>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</si>
  <si>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</si>
  <si>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</si>
  <si>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</si>
  <si>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</si>
  <si>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</si>
  <si>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</si>
  <si>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</si>
  <si>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</si>
  <si>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</si>
  <si>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</si>
  <si>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</si>
  <si>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</si>
  <si>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</si>
  <si>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</si>
  <si>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</si>
  <si>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</si>
  <si>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</si>
  <si>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</si>
  <si>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</si>
  <si>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</si>
  <si>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</si>
  <si>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</si>
  <si>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</si>
  <si>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</si>
  <si>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</si>
  <si>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</si>
  <si>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</si>
  <si>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</si>
  <si>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</si>
  <si>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</si>
  <si>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</si>
  <si>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</si>
  <si>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</si>
  <si>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</si>
  <si>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</si>
  <si>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</si>
  <si>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</si>
  <si>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</si>
  <si>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</si>
  <si>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</si>
  <si>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</si>
  <si>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</si>
  <si>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</si>
  <si>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</si>
  <si>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</si>
  <si>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</si>
  <si>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</si>
  <si>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</si>
  <si>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</si>
  <si>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</si>
  <si>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</si>
  <si>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</si>
  <si>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</si>
  <si>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</si>
  <si>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</si>
  <si>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</si>
  <si>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</si>
  <si>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</si>
  <si>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</si>
  <si>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</si>
  <si>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</si>
  <si>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</si>
  <si>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</si>
  <si>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</si>
  <si>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</si>
  <si>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</si>
  <si>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</si>
  <si>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</si>
  <si>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5.2 Overføring av premieres., tilleggsavsetn. til andre selskap/kasser</t>
  </si>
  <si>
    <t xml:space="preserve">    13.5 Andre tekniske avsetninger for skadeforsikringsvirksomheten</t>
  </si>
  <si>
    <t>31.3.2017</t>
  </si>
  <si>
    <t>31.3.2018</t>
  </si>
  <si>
    <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</si>
  <si>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</si>
  <si>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</si>
  <si>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</si>
  <si>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</si>
  <si>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</si>
  <si>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r>
      <t>Forsikringsforpliktelser</t>
    </r>
    <r>
      <rPr>
        <sz val="14"/>
        <rFont val="Times New Roman"/>
        <family val="1"/>
      </rPr>
      <t xml:space="preserve"> </t>
    </r>
    <r>
      <rPr>
        <vertAlign val="superscript"/>
        <sz val="14"/>
        <rFont val="Times New Roman"/>
        <family val="1"/>
      </rPr>
      <t>4)</t>
    </r>
  </si>
  <si>
    <r>
      <t xml:space="preserve">Netto overførte reserver fra andre </t>
    </r>
    <r>
      <rPr>
        <b/>
        <vertAlign val="superscript"/>
        <sz val="14"/>
        <rFont val="Times New Roman"/>
        <family val="1"/>
      </rPr>
      <t>5,6)</t>
    </r>
  </si>
  <si>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</si>
  <si>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</si>
  <si>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</si>
  <si>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</si>
  <si>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</si>
  <si>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</si>
  <si>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</si>
  <si>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</si>
  <si>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</si>
  <si>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</si>
  <si>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</si>
  <si>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</si>
  <si>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</si>
  <si>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</si>
  <si>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</si>
  <si>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</si>
  <si>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</si>
  <si>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</si>
  <si>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 </t>
    </r>
    <r>
      <rPr>
        <vertAlign val="superscript"/>
        <sz val="10"/>
        <rFont val="Times New Roman"/>
        <family val="1"/>
      </rPr>
      <t>14</t>
    </r>
  </si>
  <si>
    <r>
      <t xml:space="preserve">Brutto forfalt premie </t>
    </r>
    <r>
      <rPr>
        <b/>
        <vertAlign val="superscript"/>
        <sz val="10"/>
        <rFont val="Times New Roman"/>
        <family val="1"/>
      </rPr>
      <t>1, 17</t>
    </r>
  </si>
  <si>
    <r>
      <t xml:space="preserve">Forsikringsforpliktelser </t>
    </r>
    <r>
      <rPr>
        <b/>
        <vertAlign val="superscript"/>
        <sz val="10"/>
        <rFont val="Times New Roman"/>
        <family val="1"/>
      </rPr>
      <t>4, 17</t>
    </r>
  </si>
  <si>
    <r>
      <t xml:space="preserve">Overførte reserver fra andre </t>
    </r>
    <r>
      <rPr>
        <b/>
        <vertAlign val="superscript"/>
        <sz val="10"/>
        <rFont val="Times New Roman"/>
        <family val="1"/>
      </rPr>
      <t>5, 17</t>
    </r>
  </si>
  <si>
    <r>
      <t>Overførte reserver til andre</t>
    </r>
    <r>
      <rPr>
        <b/>
        <vertAlign val="superscript"/>
        <sz val="10"/>
        <rFont val="Times New Roman"/>
        <family val="1"/>
      </rPr>
      <t xml:space="preserve"> 6, 17</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</si>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</sst>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 numFmtId="171" formatCode="_ * #,##0.0_ ;_ * \-#,##0.0_ ;_ * &quot;&quot;??_ ;_ @_ "/>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color rgb="FF000000"/>
      <name val="Calibri"/>
      <family val="2"/>
      <scheme val="minor"/>
    </font>
    <font>
      <b/>
      <sz val="8"/>
      <color rgb="FFFFFFFF"/>
      <name val="Arial"/>
      <family val="2"/>
    </font>
    <font>
      <sz val="10"/>
      <color rgb="FF000000"/>
      <name val="Arial"/>
      <family val="2"/>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s>
  <fills count="1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FF"/>
        <bgColor indexed="64"/>
      </patternFill>
    </fill>
    <fill>
      <patternFill patternType="solid">
        <fgColor rgb="FF666666"/>
        <bgColor indexed="64"/>
      </patternFill>
    </fill>
    <fill>
      <patternFill patternType="solid">
        <fgColor rgb="FFEEEEEE"/>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
      <patternFill patternType="solid">
        <fgColor theme="4" tint="0.79995117038483843"/>
        <bgColor indexed="64"/>
      </patternFill>
    </fill>
  </fills>
  <borders count="20">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rgb="FF666666"/>
      </left>
      <right style="medium">
        <color rgb="FFFFFFFF"/>
      </right>
      <top/>
      <bottom/>
      <diagonal/>
    </border>
    <border>
      <left style="medium">
        <color rgb="FFFFFFFF"/>
      </left>
      <right style="medium">
        <color rgb="FF666666"/>
      </right>
      <top/>
      <bottom/>
      <diagonal/>
    </border>
    <border>
      <left style="medium">
        <color rgb="FFCCCCCC"/>
      </left>
      <right style="medium">
        <color rgb="FFCCCCCC"/>
      </right>
      <top/>
      <bottom/>
      <diagonal/>
    </border>
    <border>
      <left style="thin">
        <color rgb="FFB2B2B2"/>
      </left>
      <right style="thin">
        <color rgb="FFB2B2B2"/>
      </right>
      <top style="thin">
        <color rgb="FFB2B2B2"/>
      </top>
      <bottom style="thin">
        <color rgb="FFB2B2B2"/>
      </bottom>
      <diagonal/>
    </border>
  </borders>
  <cellStyleXfs count="848">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9"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8" borderId="19"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9"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9"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9"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9"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9"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9"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9"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9"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9"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9"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9"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10" borderId="0" applyNumberFormat="0" applyBorder="0" applyAlignment="0" applyProtection="0"/>
    <xf numFmtId="0" fontId="14" fillId="0" borderId="0"/>
    <xf numFmtId="170" fontId="15" fillId="0" borderId="7" applyFont="0" applyFill="0" applyBorder="0" applyAlignment="0" applyProtection="0">
      <alignment horizontal="right"/>
    </xf>
    <xf numFmtId="43" fontId="19" fillId="0" borderId="0" applyFont="0" applyFill="0" applyBorder="0" applyAlignment="0" applyProtection="0"/>
  </cellStyleXfs>
  <cellXfs count="786">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4" fontId="17" fillId="3" borderId="6" xfId="1" applyNumberFormat="1" applyFont="1" applyFill="1" applyBorder="1" applyAlignment="1">
      <alignment horizontal="right"/>
    </xf>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0" fontId="19" fillId="0" borderId="0" xfId="0" applyFont="1"/>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49"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0" fontId="12" fillId="0" borderId="0" xfId="4" applyFont="1" applyFill="1"/>
    <xf numFmtId="49" fontId="12" fillId="0" borderId="0" xfId="4" quotePrefix="1" applyNumberFormat="1" applyFont="1" applyFill="1" applyAlignment="1">
      <alignment horizontal="right"/>
    </xf>
    <xf numFmtId="1" fontId="12" fillId="0" borderId="0" xfId="4" applyNumberFormat="1" applyFont="1" applyFill="1" applyAlignment="1">
      <alignment horizontal="right"/>
    </xf>
    <xf numFmtId="49" fontId="0" fillId="0" borderId="0" xfId="4" quotePrefix="1" applyNumberFormat="1" applyFont="1" applyFill="1" applyAlignment="1">
      <alignment horizontal="right"/>
    </xf>
    <xf numFmtId="1" fontId="0" fillId="0" borderId="0" xfId="4" applyNumberFormat="1" applyFont="1" applyFill="1" applyAlignment="1">
      <alignment horizontal="right"/>
    </xf>
    <xf numFmtId="0" fontId="0" fillId="0" borderId="0" xfId="4" applyFont="1"/>
    <xf numFmtId="49" fontId="0" fillId="0" borderId="0" xfId="4" quotePrefix="1" applyNumberFormat="1" applyFont="1" applyAlignment="1">
      <alignment horizontal="right"/>
    </xf>
    <xf numFmtId="1" fontId="0" fillId="0" borderId="0" xfId="4" applyNumberFormat="1" applyFont="1" applyAlignment="1">
      <alignment horizontal="right"/>
    </xf>
    <xf numFmtId="1" fontId="0" fillId="0" borderId="0" xfId="4" quotePrefix="1" applyNumberFormat="1" applyFont="1" applyFill="1" applyAlignment="1">
      <alignment horizontal="right"/>
    </xf>
    <xf numFmtId="1" fontId="0" fillId="0" borderId="0" xfId="4" quotePrefix="1" applyNumberFormat="1" applyFont="1" applyAlignment="1">
      <alignment horizontal="right"/>
    </xf>
    <xf numFmtId="0" fontId="55" fillId="0" borderId="0" xfId="4" applyFont="1"/>
    <xf numFmtId="0" fontId="56" fillId="6" borderId="16" xfId="0" applyFont="1" applyFill="1" applyBorder="1" applyAlignment="1">
      <alignment horizontal="center" vertical="center" wrapText="1"/>
    </xf>
    <xf numFmtId="0" fontId="56" fillId="6" borderId="17" xfId="0" applyFont="1" applyFill="1" applyBorder="1" applyAlignment="1">
      <alignment horizontal="center" vertical="center" wrapText="1"/>
    </xf>
    <xf numFmtId="0" fontId="57" fillId="5" borderId="18" xfId="0" applyFont="1" applyFill="1" applyBorder="1" applyAlignment="1">
      <alignment vertical="top" wrapText="1"/>
    </xf>
    <xf numFmtId="0" fontId="57" fillId="7" borderId="18" xfId="0" applyFont="1" applyFill="1" applyBorder="1" applyAlignment="1">
      <alignment vertical="top" wrapText="1"/>
    </xf>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11" borderId="1" xfId="0" applyFont="1" applyFill="1" applyBorder="1"/>
    <xf numFmtId="0" fontId="17" fillId="11" borderId="15" xfId="0" applyFont="1" applyFill="1" applyBorder="1"/>
    <xf numFmtId="0" fontId="17" fillId="11" borderId="14" xfId="0" applyFont="1" applyFill="1" applyBorder="1"/>
    <xf numFmtId="0" fontId="15" fillId="11" borderId="1" xfId="0" applyFont="1" applyFill="1" applyBorder="1" applyAlignment="1">
      <alignment horizontal="center"/>
    </xf>
    <xf numFmtId="0" fontId="15" fillId="11" borderId="15" xfId="0" applyFont="1" applyFill="1" applyBorder="1" applyAlignment="1">
      <alignment horizontal="center"/>
    </xf>
    <xf numFmtId="0" fontId="15" fillId="11" borderId="14" xfId="0" applyFont="1" applyFill="1" applyBorder="1" applyAlignment="1">
      <alignment horizontal="center"/>
    </xf>
    <xf numFmtId="0" fontId="15" fillId="11" borderId="11" xfId="0" applyFont="1" applyFill="1" applyBorder="1" applyAlignment="1">
      <alignment horizontal="center"/>
    </xf>
    <xf numFmtId="0" fontId="15" fillId="11" borderId="5" xfId="0" applyFont="1" applyFill="1" applyBorder="1" applyAlignment="1">
      <alignment horizontal="center"/>
    </xf>
    <xf numFmtId="0" fontId="15" fillId="11" borderId="12" xfId="0" applyFont="1" applyFill="1" applyBorder="1" applyAlignment="1">
      <alignment horizontal="center"/>
    </xf>
    <xf numFmtId="0" fontId="15" fillId="11" borderId="3" xfId="0" applyFont="1" applyFill="1" applyBorder="1"/>
    <xf numFmtId="3" fontId="17" fillId="11" borderId="2" xfId="0" applyNumberFormat="1" applyFont="1" applyFill="1" applyBorder="1"/>
    <xf numFmtId="3" fontId="17" fillId="11" borderId="7" xfId="0" applyNumberFormat="1" applyFont="1" applyFill="1" applyBorder="1"/>
    <xf numFmtId="3" fontId="17" fillId="11" borderId="3" xfId="0" applyNumberFormat="1" applyFont="1" applyFill="1" applyBorder="1"/>
    <xf numFmtId="0" fontId="15" fillId="11" borderId="3" xfId="0" applyFont="1" applyFill="1" applyBorder="1" applyAlignment="1">
      <alignment horizontal="center"/>
    </xf>
    <xf numFmtId="0" fontId="15" fillId="11" borderId="2" xfId="0" applyFont="1" applyFill="1" applyBorder="1" applyAlignment="1">
      <alignment horizontal="center"/>
    </xf>
    <xf numFmtId="0" fontId="17" fillId="11" borderId="2" xfId="0" applyFont="1" applyFill="1" applyBorder="1"/>
    <xf numFmtId="0" fontId="17" fillId="11" borderId="3" xfId="0" applyFont="1" applyFill="1" applyBorder="1"/>
    <xf numFmtId="3" fontId="17" fillId="11" borderId="2" xfId="2" applyNumberFormat="1" applyFont="1" applyFill="1" applyBorder="1"/>
    <xf numFmtId="3" fontId="15" fillId="11" borderId="6" xfId="0" applyNumberFormat="1" applyFont="1" applyFill="1" applyBorder="1"/>
    <xf numFmtId="3" fontId="15" fillId="11"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164" fontId="58" fillId="10" borderId="3" xfId="844" applyNumberFormat="1" applyFont="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14" fontId="16" fillId="0" borderId="1" xfId="1" applyNumberFormat="1" applyFont="1" applyBorder="1" applyAlignment="1">
      <alignment horizontal="center"/>
    </xf>
    <xf numFmtId="14" fontId="16" fillId="0" borderId="7" xfId="1" applyNumberFormat="1" applyFont="1" applyBorder="1" applyAlignment="1">
      <alignment horizontal="center"/>
    </xf>
    <xf numFmtId="14" fontId="16" fillId="0" borderId="15" xfId="1" applyNumberFormat="1" applyFont="1" applyBorder="1" applyAlignment="1">
      <alignment horizontal="center"/>
    </xf>
    <xf numFmtId="0" fontId="17" fillId="0" borderId="5" xfId="1" applyFont="1" applyFill="1" applyBorder="1"/>
    <xf numFmtId="0" fontId="17" fillId="0" borderId="9" xfId="1" applyFont="1" applyFill="1" applyBorder="1"/>
    <xf numFmtId="167" fontId="17" fillId="0" borderId="0" xfId="1" applyNumberFormat="1" applyFont="1" applyFill="1" applyBorder="1" applyAlignment="1">
      <alignment horizontal="center"/>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0" fontId="60" fillId="0" borderId="0" xfId="0" applyFont="1"/>
    <xf numFmtId="164" fontId="0" fillId="0" borderId="0" xfId="0" applyNumberFormat="1"/>
    <xf numFmtId="3" fontId="61" fillId="4" borderId="12" xfId="0" applyNumberFormat="1" applyFont="1" applyFill="1" applyBorder="1"/>
    <xf numFmtId="3" fontId="62" fillId="4" borderId="0" xfId="0" applyNumberFormat="1" applyFont="1" applyFill="1" applyBorder="1"/>
    <xf numFmtId="164" fontId="0" fillId="0" borderId="0" xfId="0" applyNumberFormat="1" applyBorder="1"/>
    <xf numFmtId="0" fontId="17" fillId="4" borderId="0" xfId="0" applyFont="1" applyFill="1" applyBorder="1"/>
    <xf numFmtId="168" fontId="13" fillId="4" borderId="0" xfId="0" applyNumberFormat="1" applyFont="1" applyFill="1" applyBorder="1" applyAlignment="1">
      <alignment horizontal="center"/>
    </xf>
    <xf numFmtId="0" fontId="13" fillId="4" borderId="0" xfId="0" applyNumberFormat="1" applyFont="1" applyFill="1" applyBorder="1" applyAlignment="1">
      <alignment horizontal="center"/>
    </xf>
    <xf numFmtId="3" fontId="45" fillId="0" borderId="3" xfId="0" applyNumberFormat="1" applyFont="1" applyFill="1" applyBorder="1" applyAlignment="1">
      <alignment horizontal="right"/>
    </xf>
    <xf numFmtId="0" fontId="19" fillId="0" borderId="0" xfId="0" applyFont="1" applyFill="1"/>
    <xf numFmtId="3" fontId="19" fillId="0" borderId="0" xfId="0" applyNumberFormat="1" applyFont="1" applyFill="1"/>
    <xf numFmtId="3" fontId="19" fillId="0" borderId="0" xfId="0" applyNumberFormat="1" applyFont="1"/>
    <xf numFmtId="3" fontId="49" fillId="0" borderId="0" xfId="0" applyNumberFormat="1" applyFont="1"/>
    <xf numFmtId="0" fontId="64" fillId="0" borderId="0" xfId="0" applyFont="1"/>
    <xf numFmtId="0" fontId="64" fillId="0" borderId="0" xfId="0" applyFont="1" applyBorder="1"/>
    <xf numFmtId="0" fontId="66" fillId="0" borderId="0" xfId="0" applyFont="1"/>
    <xf numFmtId="0" fontId="42" fillId="12" borderId="0" xfId="0" applyFont="1" applyFill="1"/>
    <xf numFmtId="0" fontId="69"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70" fillId="0" borderId="4" xfId="1" applyNumberFormat="1" applyFont="1" applyFill="1" applyBorder="1" applyAlignment="1">
      <alignment horizontal="right"/>
    </xf>
    <xf numFmtId="3" fontId="70" fillId="0" borderId="3" xfId="1" applyNumberFormat="1" applyFont="1" applyFill="1" applyBorder="1" applyAlignment="1">
      <alignment horizontal="right"/>
    </xf>
    <xf numFmtId="3" fontId="70" fillId="0" borderId="11" xfId="1" applyNumberFormat="1" applyFont="1" applyFill="1" applyBorder="1" applyAlignment="1">
      <alignment horizontal="right"/>
    </xf>
    <xf numFmtId="3" fontId="70"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0" fontId="45" fillId="4" borderId="0" xfId="0" applyNumberFormat="1" applyFont="1" applyFill="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2" xfId="1" quotePrefix="1" applyNumberFormat="1" applyFont="1" applyFill="1" applyBorder="1" applyAlignment="1">
      <alignment horizontal="right"/>
    </xf>
    <xf numFmtId="0" fontId="59"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71" fillId="0" borderId="0" xfId="0" applyFont="1" applyAlignment="1">
      <alignment horizontal="left" vertical="center" readingOrder="1"/>
    </xf>
    <xf numFmtId="0" fontId="17" fillId="0" borderId="0" xfId="1" applyFont="1" applyFill="1" applyBorder="1" applyAlignment="1">
      <alignment horizontal="left"/>
    </xf>
    <xf numFmtId="0" fontId="74" fillId="0" borderId="0" xfId="1" applyFont="1" applyFill="1" applyAlignment="1">
      <alignment horizontal="left"/>
    </xf>
    <xf numFmtId="0" fontId="18" fillId="0" borderId="0" xfId="1" applyFont="1" applyFill="1"/>
    <xf numFmtId="0" fontId="42" fillId="12" borderId="0" xfId="3" applyFont="1" applyFill="1" applyAlignment="1" applyProtection="1"/>
    <xf numFmtId="0" fontId="67" fillId="0" borderId="0" xfId="0" applyFont="1" applyFill="1"/>
    <xf numFmtId="0" fontId="68" fillId="0" borderId="0" xfId="0" applyFont="1" applyFill="1"/>
    <xf numFmtId="0" fontId="0" fillId="0" borderId="0" xfId="0"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6" fillId="0" borderId="0" xfId="1" applyFont="1" applyBorder="1" applyAlignment="1">
      <alignment horizontal="left"/>
    </xf>
    <xf numFmtId="3" fontId="70" fillId="0" borderId="2" xfId="1" applyNumberFormat="1" applyFont="1" applyFill="1" applyBorder="1" applyAlignment="1">
      <alignment horizontal="right"/>
    </xf>
    <xf numFmtId="3" fontId="62" fillId="0" borderId="2" xfId="1" applyNumberFormat="1" applyFont="1" applyFill="1" applyBorder="1" applyAlignment="1">
      <alignment horizontal="right"/>
    </xf>
    <xf numFmtId="0" fontId="75"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7" fillId="3" borderId="2"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2" borderId="3" xfId="846" applyFont="1" applyFill="1" applyBorder="1" applyAlignment="1">
      <alignment horizontal="right"/>
    </xf>
    <xf numFmtId="170" fontId="17" fillId="2" borderId="4"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5" fillId="2" borderId="2" xfId="846" applyFont="1" applyFill="1" applyBorder="1" applyAlignment="1">
      <alignment horizontal="right"/>
    </xf>
    <xf numFmtId="170" fontId="15" fillId="2" borderId="0" xfId="846" applyFont="1" applyFill="1" applyBorder="1" applyAlignment="1">
      <alignment horizontal="right"/>
    </xf>
    <xf numFmtId="170" fontId="15" fillId="2" borderId="4" xfId="846" applyFont="1" applyFill="1" applyBorder="1" applyAlignment="1">
      <alignment horizontal="right"/>
    </xf>
    <xf numFmtId="170" fontId="15" fillId="2" borderId="5" xfId="846" applyFont="1" applyFill="1" applyBorder="1" applyAlignment="1">
      <alignment horizontal="right"/>
    </xf>
    <xf numFmtId="170" fontId="15" fillId="2" borderId="11" xfId="846" applyFont="1" applyFill="1" applyBorder="1" applyAlignment="1">
      <alignment horizontal="right"/>
    </xf>
    <xf numFmtId="170" fontId="17" fillId="0" borderId="4" xfId="846" applyFont="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70" fillId="0" borderId="2" xfId="846" applyFont="1" applyFill="1" applyBorder="1" applyAlignment="1">
      <alignment horizontal="right"/>
    </xf>
    <xf numFmtId="170" fontId="17" fillId="0" borderId="0" xfId="846" applyFont="1" applyFill="1" applyBorder="1" applyAlignment="1">
      <alignment horizontal="right"/>
    </xf>
    <xf numFmtId="170" fontId="22" fillId="0" borderId="2" xfId="846" applyFont="1" applyFill="1" applyBorder="1" applyAlignment="1">
      <alignment horizontal="right"/>
    </xf>
    <xf numFmtId="170" fontId="22" fillId="0" borderId="0" xfId="846" applyFont="1" applyFill="1" applyBorder="1" applyAlignment="1">
      <alignment horizontal="right"/>
    </xf>
    <xf numFmtId="170" fontId="18" fillId="2" borderId="2" xfId="846" applyFont="1" applyFill="1" applyBorder="1" applyAlignment="1">
      <alignment horizontal="right"/>
    </xf>
    <xf numFmtId="170" fontId="18" fillId="2" borderId="0" xfId="846" applyFont="1" applyFill="1" applyBorder="1" applyAlignment="1">
      <alignment horizontal="right"/>
    </xf>
    <xf numFmtId="170" fontId="17" fillId="2" borderId="2" xfId="846" applyFont="1" applyFill="1" applyBorder="1" applyAlignment="1">
      <alignment horizontal="right"/>
    </xf>
    <xf numFmtId="170" fontId="17" fillId="2" borderId="0" xfId="846" applyFont="1" applyFill="1" applyBorder="1" applyAlignment="1">
      <alignment horizontal="right"/>
    </xf>
    <xf numFmtId="170" fontId="15" fillId="0" borderId="0" xfId="846" applyFont="1" applyFill="1" applyBorder="1" applyAlignment="1">
      <alignment horizontal="right"/>
    </xf>
    <xf numFmtId="170" fontId="17" fillId="3" borderId="5" xfId="846" applyFont="1" applyFill="1" applyBorder="1" applyAlignment="1">
      <alignment horizontal="right"/>
    </xf>
    <xf numFmtId="170" fontId="17" fillId="3" borderId="0" xfId="846" applyFont="1" applyFill="1" applyBorder="1" applyAlignment="1">
      <alignment horizontal="right"/>
    </xf>
    <xf numFmtId="170" fontId="17" fillId="3" borderId="1" xfId="846" applyFont="1" applyFill="1" applyBorder="1" applyAlignment="1">
      <alignment horizontal="right"/>
    </xf>
    <xf numFmtId="170" fontId="17" fillId="3" borderId="4" xfId="846" applyFont="1" applyFill="1" applyBorder="1" applyAlignment="1">
      <alignment horizontal="right"/>
    </xf>
    <xf numFmtId="170" fontId="17" fillId="3" borderId="11" xfId="846" applyFont="1" applyFill="1" applyBorder="1" applyAlignment="1">
      <alignment horizontal="right"/>
    </xf>
    <xf numFmtId="49" fontId="19" fillId="0" borderId="0" xfId="4" quotePrefix="1" applyNumberFormat="1" applyFont="1" applyFill="1" applyAlignment="1">
      <alignment horizontal="right"/>
    </xf>
    <xf numFmtId="49" fontId="19" fillId="0" borderId="0" xfId="4" quotePrefix="1" applyNumberFormat="1" applyFont="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4" fontId="30" fillId="0" borderId="3" xfId="0" applyNumberFormat="1" applyFont="1" applyBorder="1"/>
    <xf numFmtId="164" fontId="45" fillId="0" borderId="3" xfId="0" applyNumberFormat="1" applyFont="1" applyBorder="1"/>
    <xf numFmtId="164" fontId="30" fillId="0" borderId="3" xfId="0" applyNumberFormat="1" applyFont="1" applyFill="1" applyBorder="1"/>
    <xf numFmtId="164" fontId="45" fillId="0" borderId="6" xfId="0" applyNumberFormat="1" applyFont="1" applyBorder="1"/>
    <xf numFmtId="171" fontId="17" fillId="3" borderId="2" xfId="846" applyNumberFormat="1" applyFont="1" applyFill="1" applyBorder="1" applyAlignment="1">
      <alignment horizontal="right"/>
    </xf>
    <xf numFmtId="171" fontId="17" fillId="3" borderId="3" xfId="846" applyNumberFormat="1" applyFont="1" applyFill="1" applyBorder="1" applyAlignment="1">
      <alignment horizontal="right"/>
    </xf>
    <xf numFmtId="171" fontId="17" fillId="3" borderId="6" xfId="846" applyNumberFormat="1" applyFont="1" applyFill="1" applyBorder="1" applyAlignment="1">
      <alignment horizontal="right"/>
    </xf>
    <xf numFmtId="164" fontId="15" fillId="0" borderId="6" xfId="1" applyNumberFormat="1" applyFont="1" applyBorder="1" applyAlignment="1">
      <alignment horizontal="center"/>
    </xf>
    <xf numFmtId="164" fontId="17" fillId="3" borderId="0" xfId="1" applyNumberFormat="1" applyFont="1" applyFill="1" applyBorder="1" applyAlignment="1">
      <alignment horizontal="right"/>
    </xf>
    <xf numFmtId="164"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0" fontId="15" fillId="3" borderId="7" xfId="846" applyFont="1" applyFill="1" applyBorder="1" applyAlignment="1">
      <alignment horizontal="right"/>
    </xf>
    <xf numFmtId="171" fontId="15" fillId="3" borderId="2" xfId="846" applyNumberFormat="1" applyFont="1" applyFill="1" applyBorder="1" applyAlignment="1">
      <alignment horizontal="right"/>
    </xf>
    <xf numFmtId="3" fontId="15" fillId="0" borderId="0" xfId="1" applyNumberFormat="1" applyFont="1" applyFill="1"/>
    <xf numFmtId="167" fontId="15" fillId="3" borderId="7" xfId="1" applyNumberFormat="1" applyFont="1" applyFill="1" applyBorder="1" applyAlignment="1">
      <alignment horizontal="right"/>
    </xf>
    <xf numFmtId="167" fontId="15" fillId="3" borderId="3" xfId="1" applyNumberFormat="1" applyFont="1" applyFill="1" applyBorder="1" applyAlignment="1">
      <alignment horizontal="right"/>
    </xf>
    <xf numFmtId="167"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4" fontId="15" fillId="3" borderId="0" xfId="1" applyNumberFormat="1" applyFont="1" applyFill="1" applyBorder="1" applyAlignment="1">
      <alignment horizontal="right"/>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0" fontId="0" fillId="0" borderId="0" xfId="0"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8" fontId="15" fillId="0" borderId="6" xfId="0" applyNumberFormat="1" applyFont="1" applyFill="1" applyBorder="1" applyAlignment="1" applyProtection="1">
      <alignment horizontal="center"/>
      <protection locked="0"/>
    </xf>
    <xf numFmtId="3" fontId="30" fillId="4" borderId="1" xfId="15"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30" fillId="4" borderId="4" xfId="0"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protection locked="0"/>
    </xf>
    <xf numFmtId="3" fontId="30" fillId="4" borderId="3" xfId="0" applyNumberFormat="1" applyFont="1" applyFill="1" applyBorder="1" applyAlignment="1" applyProtection="1">
      <alignment horizontal="right"/>
    </xf>
    <xf numFmtId="0" fontId="19" fillId="0" borderId="0" xfId="0" applyFont="1" applyProtection="1">
      <protection locked="0"/>
    </xf>
    <xf numFmtId="3" fontId="30" fillId="0" borderId="3" xfId="0"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30" fillId="0" borderId="3" xfId="0" applyNumberFormat="1" applyFont="1" applyBorder="1" applyAlignment="1" applyProtection="1">
      <alignment horizontal="right"/>
      <protection locked="0"/>
    </xf>
    <xf numFmtId="3" fontId="30" fillId="0" borderId="3" xfId="0" applyNumberFormat="1" applyFont="1" applyFill="1" applyBorder="1" applyAlignment="1" applyProtection="1">
      <alignment horizontal="right"/>
    </xf>
    <xf numFmtId="0" fontId="19" fillId="0" borderId="0" xfId="0" applyFont="1" applyFill="1" applyProtection="1">
      <protection locked="0"/>
    </xf>
    <xf numFmtId="3" fontId="45" fillId="4" borderId="6" xfId="0" applyNumberFormat="1" applyFont="1" applyFill="1" applyBorder="1" applyAlignment="1" applyProtection="1">
      <alignment horizontal="right"/>
      <protection locked="0"/>
    </xf>
    <xf numFmtId="0" fontId="49" fillId="0" borderId="0" xfId="0" applyFont="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0" fontId="30" fillId="0" borderId="0" xfId="0"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3" fontId="45" fillId="4" borderId="1" xfId="14" applyNumberFormat="1" applyFont="1" applyFill="1" applyBorder="1" applyAlignment="1" applyProtection="1">
      <alignment horizontal="right"/>
      <protection locked="0"/>
    </xf>
    <xf numFmtId="14" fontId="13" fillId="0" borderId="7" xfId="7" applyNumberFormat="1" applyFont="1" applyFill="1" applyBorder="1" applyAlignment="1">
      <alignment horizontal="left"/>
    </xf>
    <xf numFmtId="3" fontId="45" fillId="0" borderId="1" xfId="0" applyNumberFormat="1" applyFont="1" applyFill="1" applyBorder="1" applyProtection="1">
      <protection locked="0"/>
    </xf>
    <xf numFmtId="0" fontId="30" fillId="0" borderId="4" xfId="0" applyFont="1" applyFill="1" applyBorder="1" applyProtection="1">
      <protection locked="0"/>
    </xf>
    <xf numFmtId="0" fontId="45" fillId="0" borderId="11" xfId="0" applyFont="1" applyFill="1" applyBorder="1" applyProtection="1">
      <protection locked="0"/>
    </xf>
    <xf numFmtId="0" fontId="45" fillId="0" borderId="4" xfId="0" applyFont="1" applyFill="1" applyBorder="1" applyProtection="1">
      <protection locked="0"/>
    </xf>
    <xf numFmtId="0" fontId="64" fillId="0" borderId="0" xfId="0" applyFont="1" applyBorder="1" applyProtection="1">
      <protection locked="0"/>
    </xf>
    <xf numFmtId="0" fontId="64" fillId="0" borderId="0" xfId="0" applyFont="1" applyProtection="1">
      <protection locked="0"/>
    </xf>
    <xf numFmtId="0" fontId="0" fillId="0" borderId="0" xfId="0" applyBorder="1" applyProtection="1">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164" fontId="17" fillId="4" borderId="0" xfId="0" applyNumberFormat="1" applyFont="1" applyFill="1" applyBorder="1" applyProtection="1">
      <protection locked="0"/>
    </xf>
    <xf numFmtId="0" fontId="17" fillId="4" borderId="0" xfId="0" applyFont="1" applyFill="1" applyBorder="1" applyProtection="1">
      <protection locked="0"/>
    </xf>
    <xf numFmtId="0" fontId="45" fillId="4" borderId="0" xfId="0" applyNumberFormat="1" applyFont="1" applyFill="1" applyBorder="1" applyAlignment="1" applyProtection="1">
      <alignment horizontal="center"/>
      <protection locked="0"/>
    </xf>
    <xf numFmtId="0" fontId="15" fillId="0" borderId="1" xfId="0" applyNumberFormat="1" applyFont="1" applyFill="1" applyBorder="1" applyAlignment="1" applyProtection="1">
      <alignment horizontal="center"/>
      <protection locked="0"/>
    </xf>
    <xf numFmtId="3" fontId="50" fillId="4" borderId="11" xfId="0" applyNumberFormat="1" applyFont="1" applyFill="1" applyBorder="1" applyProtection="1">
      <protection locked="0"/>
    </xf>
    <xf numFmtId="0" fontId="13" fillId="0" borderId="6" xfId="0" applyFont="1" applyFill="1" applyBorder="1" applyAlignment="1" applyProtection="1">
      <alignment horizontal="center"/>
      <protection locked="0"/>
    </xf>
    <xf numFmtId="168"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3" fontId="63" fillId="4" borderId="4" xfId="0" applyNumberFormat="1" applyFont="1" applyFill="1" applyBorder="1" applyProtection="1">
      <protection locked="0"/>
    </xf>
    <xf numFmtId="3" fontId="63" fillId="4" borderId="3" xfId="0" applyNumberFormat="1" applyFont="1" applyFill="1" applyBorder="1" applyAlignment="1" applyProtection="1">
      <alignment horizontal="right"/>
    </xf>
    <xf numFmtId="3" fontId="63" fillId="4" borderId="3" xfId="0" applyNumberFormat="1" applyFont="1" applyFill="1" applyBorder="1" applyAlignment="1" applyProtection="1">
      <alignment horizontal="right"/>
      <protection locked="0"/>
    </xf>
    <xf numFmtId="3" fontId="30" fillId="4" borderId="4" xfId="2" applyNumberFormat="1" applyFont="1" applyFill="1" applyBorder="1" applyAlignment="1" applyProtection="1">
      <alignment horizontal="right"/>
    </xf>
    <xf numFmtId="3" fontId="30" fillId="4" borderId="4" xfId="2"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xf>
    <xf numFmtId="0" fontId="19" fillId="0" borderId="0" xfId="0" applyFont="1" applyBorder="1" applyProtection="1">
      <protection locked="0"/>
    </xf>
    <xf numFmtId="3" fontId="45" fillId="4" borderId="4" xfId="0" applyNumberFormat="1" applyFont="1" applyFill="1" applyBorder="1" applyProtection="1">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2" applyNumberFormat="1" applyFont="1" applyFill="1" applyBorder="1" applyAlignment="1" applyProtection="1">
      <alignment horizontal="right"/>
    </xf>
    <xf numFmtId="3" fontId="30" fillId="0" borderId="4" xfId="2" applyNumberFormat="1" applyFont="1" applyFill="1" applyBorder="1" applyAlignment="1" applyProtection="1">
      <alignment horizontal="right"/>
      <protection locked="0"/>
    </xf>
    <xf numFmtId="0" fontId="19" fillId="0" borderId="0" xfId="0" applyFont="1" applyFill="1" applyBorder="1" applyProtection="1">
      <protection locked="0"/>
    </xf>
    <xf numFmtId="0" fontId="30" fillId="0" borderId="3" xfId="0" applyFont="1" applyFill="1" applyBorder="1" applyProtection="1">
      <protection locked="0"/>
    </xf>
    <xf numFmtId="3" fontId="30" fillId="0" borderId="3" xfId="845" applyNumberFormat="1" applyFont="1" applyFill="1" applyBorder="1" applyAlignment="1" applyProtection="1">
      <alignment horizontal="right"/>
      <protection locked="0"/>
    </xf>
    <xf numFmtId="3" fontId="19" fillId="0" borderId="0" xfId="0" applyNumberFormat="1" applyFont="1" applyFill="1" applyProtection="1">
      <protection locked="0"/>
    </xf>
    <xf numFmtId="3" fontId="30" fillId="4" borderId="3" xfId="845" applyNumberFormat="1" applyFont="1" applyFill="1" applyBorder="1" applyAlignment="1" applyProtection="1">
      <alignment horizontal="right"/>
      <protection locked="0"/>
    </xf>
    <xf numFmtId="3" fontId="19" fillId="0" borderId="0" xfId="0" applyNumberFormat="1" applyFont="1" applyProtection="1">
      <protection locked="0"/>
    </xf>
    <xf numFmtId="3" fontId="19" fillId="0" borderId="0" xfId="0" applyNumberFormat="1" applyFont="1" applyBorder="1" applyProtection="1">
      <protection locked="0"/>
    </xf>
    <xf numFmtId="3" fontId="45" fillId="4" borderId="4" xfId="0"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0" fontId="49" fillId="0" borderId="0" xfId="0" applyFont="1" applyBorder="1" applyProtection="1">
      <protection locked="0"/>
    </xf>
    <xf numFmtId="3" fontId="49" fillId="0" borderId="0" xfId="0" applyNumberFormat="1" applyFont="1" applyProtection="1">
      <protection locked="0"/>
    </xf>
    <xf numFmtId="3" fontId="45" fillId="0" borderId="4" xfId="0" applyNumberFormat="1" applyFont="1" applyFill="1" applyBorder="1" applyAlignment="1" applyProtection="1">
      <alignment horizontal="right"/>
      <protection locked="0"/>
    </xf>
    <xf numFmtId="0" fontId="19" fillId="0" borderId="3" xfId="0" applyFont="1" applyFill="1" applyBorder="1" applyProtection="1">
      <protection locked="0"/>
    </xf>
    <xf numFmtId="3" fontId="45" fillId="0" borderId="6" xfId="0" applyNumberFormat="1" applyFont="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protection locked="0"/>
    </xf>
    <xf numFmtId="3" fontId="45" fillId="0" borderId="11" xfId="0" applyNumberFormat="1" applyFont="1" applyFill="1" applyBorder="1" applyAlignment="1" applyProtection="1">
      <alignment horizontal="right"/>
      <protection locked="0"/>
    </xf>
    <xf numFmtId="3" fontId="45" fillId="4" borderId="6" xfId="845" applyNumberFormat="1" applyFont="1" applyFill="1" applyBorder="1" applyAlignment="1" applyProtection="1">
      <alignment horizontal="right"/>
      <protection locked="0"/>
    </xf>
    <xf numFmtId="3" fontId="30" fillId="0" borderId="0" xfId="0" applyNumberFormat="1" applyFont="1" applyBorder="1" applyProtection="1">
      <protection locked="0"/>
    </xf>
    <xf numFmtId="3" fontId="65" fillId="0" borderId="0" xfId="0" applyNumberFormat="1" applyFont="1" applyBorder="1" applyProtection="1">
      <protection locked="0"/>
    </xf>
    <xf numFmtId="3" fontId="64" fillId="0" borderId="0" xfId="0" applyNumberFormat="1" applyFont="1" applyProtection="1">
      <protection locked="0"/>
    </xf>
    <xf numFmtId="4" fontId="30" fillId="4" borderId="3"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protection locked="0"/>
    </xf>
    <xf numFmtId="3" fontId="30" fillId="4" borderId="6" xfId="7" applyNumberFormat="1" applyFont="1" applyFill="1" applyBorder="1" applyAlignment="1" applyProtection="1">
      <alignment horizontal="right"/>
      <protection locked="0"/>
    </xf>
    <xf numFmtId="3" fontId="30" fillId="4" borderId="6" xfId="7" applyNumberFormat="1" applyFont="1" applyFill="1" applyBorder="1" applyAlignment="1" applyProtection="1">
      <alignment horizontal="right"/>
    </xf>
    <xf numFmtId="0" fontId="41" fillId="0" borderId="0" xfId="1" applyFont="1" applyProtection="1">
      <protection locked="0"/>
    </xf>
    <xf numFmtId="0" fontId="17" fillId="0" borderId="0" xfId="3" applyFont="1" applyFill="1" applyAlignment="1" applyProtection="1">
      <protection locked="0"/>
    </xf>
    <xf numFmtId="0" fontId="60"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14" fontId="13" fillId="0" borderId="7" xfId="7" applyNumberFormat="1" applyFont="1" applyFill="1" applyBorder="1" applyAlignment="1" applyProtection="1">
      <alignment horizontal="left"/>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0" fontId="13" fillId="0" borderId="11" xfId="1" applyFont="1" applyBorder="1" applyAlignment="1" applyProtection="1">
      <alignment horizontal="center"/>
      <protection locked="0"/>
    </xf>
    <xf numFmtId="168"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7" xfId="1" applyNumberFormat="1" applyFont="1" applyFill="1" applyBorder="1" applyAlignment="1" applyProtection="1">
      <alignment horizontal="right"/>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3" fontId="30" fillId="14" borderId="3" xfId="1" applyNumberFormat="1" applyFont="1" applyFill="1" applyBorder="1" applyAlignment="1" applyProtection="1">
      <alignment horizontal="right"/>
    </xf>
    <xf numFmtId="3" fontId="30" fillId="4" borderId="0" xfId="1" applyNumberFormat="1" applyFont="1" applyFill="1" applyBorder="1" applyAlignment="1" applyProtection="1">
      <alignment horizontal="right"/>
      <protection locked="0"/>
    </xf>
    <xf numFmtId="3" fontId="30" fillId="0" borderId="3" xfId="1" applyNumberFormat="1" applyFont="1" applyBorder="1" applyAlignment="1" applyProtection="1">
      <alignment horizontal="right"/>
    </xf>
    <xf numFmtId="3" fontId="30" fillId="0" borderId="3" xfId="1" applyNumberFormat="1" applyFont="1" applyBorder="1" applyAlignment="1" applyProtection="1">
      <alignment horizontal="right"/>
      <protection locked="0"/>
    </xf>
    <xf numFmtId="1" fontId="30" fillId="0" borderId="3" xfId="1" applyNumberFormat="1" applyFont="1" applyBorder="1" applyAlignment="1" applyProtection="1">
      <alignment horizontal="right"/>
    </xf>
    <xf numFmtId="1" fontId="30" fillId="0" borderId="3" xfId="1" applyNumberFormat="1" applyFont="1" applyBorder="1" applyAlignment="1" applyProtection="1">
      <alignment horizontal="right"/>
      <protection locked="0"/>
    </xf>
    <xf numFmtId="0" fontId="30" fillId="0" borderId="3" xfId="1" applyFont="1" applyBorder="1" applyAlignment="1" applyProtection="1">
      <alignment horizontal="right"/>
    </xf>
    <xf numFmtId="0" fontId="30" fillId="0" borderId="3" xfId="1" applyFont="1" applyBorder="1" applyAlignment="1" applyProtection="1">
      <alignment horizontal="right"/>
      <protection locked="0"/>
    </xf>
    <xf numFmtId="165" fontId="30" fillId="0" borderId="3" xfId="847" applyNumberFormat="1" applyFont="1" applyBorder="1" applyAlignment="1" applyProtection="1">
      <alignment horizontal="right"/>
    </xf>
    <xf numFmtId="165" fontId="30" fillId="0" borderId="3" xfId="847" applyNumberFormat="1" applyFont="1" applyBorder="1" applyAlignment="1" applyProtection="1">
      <alignment horizontal="right"/>
      <protection locked="0"/>
    </xf>
    <xf numFmtId="3" fontId="30" fillId="13" borderId="3" xfId="1" applyNumberFormat="1" applyFont="1" applyFill="1" applyBorder="1" applyAlignment="1" applyProtection="1">
      <alignment horizontal="right"/>
      <protection locked="0"/>
    </xf>
    <xf numFmtId="169" fontId="30" fillId="0" borderId="3" xfId="847" applyNumberFormat="1" applyFont="1" applyBorder="1" applyAlignment="1" applyProtection="1">
      <alignment horizontal="right"/>
    </xf>
    <xf numFmtId="169"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5" fontId="30" fillId="4" borderId="4" xfId="847" applyNumberFormat="1" applyFont="1" applyFill="1" applyBorder="1" applyAlignment="1" applyProtection="1">
      <alignment horizontal="right"/>
    </xf>
    <xf numFmtId="165" fontId="30" fillId="4" borderId="4" xfId="847" applyNumberFormat="1" applyFont="1" applyFill="1" applyBorder="1" applyAlignment="1" applyProtection="1">
      <alignment horizontal="right"/>
      <protection locked="0"/>
    </xf>
    <xf numFmtId="165" fontId="30" fillId="4" borderId="3" xfId="847" applyNumberFormat="1" applyFont="1" applyFill="1" applyBorder="1" applyAlignment="1" applyProtection="1">
      <alignment horizontal="right"/>
    </xf>
    <xf numFmtId="165" fontId="30" fillId="4" borderId="3" xfId="847" applyNumberFormat="1" applyFont="1" applyFill="1" applyBorder="1" applyAlignment="1" applyProtection="1">
      <alignment horizontal="right"/>
      <protection locked="0"/>
    </xf>
    <xf numFmtId="3" fontId="30" fillId="0" borderId="3" xfId="1" applyNumberFormat="1" applyFont="1" applyFill="1" applyBorder="1" applyAlignment="1" applyProtection="1">
      <alignment horizontal="right"/>
    </xf>
    <xf numFmtId="0" fontId="19" fillId="0" borderId="0" xfId="1" applyFont="1" applyFill="1" applyProtection="1">
      <protection locked="0"/>
    </xf>
    <xf numFmtId="0" fontId="45" fillId="0" borderId="11" xfId="1" applyFont="1" applyFill="1" applyBorder="1" applyProtection="1">
      <protection locked="0"/>
    </xf>
    <xf numFmtId="3" fontId="45" fillId="0" borderId="6" xfId="1" applyNumberFormat="1" applyFont="1" applyFill="1" applyBorder="1" applyAlignment="1" applyProtection="1">
      <alignment horizontal="right"/>
    </xf>
    <xf numFmtId="3" fontId="45" fillId="0" borderId="6" xfId="1" applyNumberFormat="1" applyFont="1" applyFill="1" applyBorder="1" applyAlignment="1" applyProtection="1">
      <alignment horizontal="right"/>
      <protection locked="0"/>
    </xf>
    <xf numFmtId="3" fontId="45" fillId="4" borderId="6" xfId="1" applyNumberFormat="1" applyFont="1" applyFill="1" applyBorder="1" applyAlignment="1" applyProtection="1">
      <alignment horizontal="right"/>
      <protection locked="0"/>
    </xf>
    <xf numFmtId="3" fontId="45" fillId="4" borderId="6" xfId="1" applyNumberFormat="1" applyFont="1" applyFill="1" applyBorder="1" applyAlignment="1" applyProtection="1">
      <alignment horizontal="right"/>
    </xf>
    <xf numFmtId="4"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2" borderId="3" xfId="1" applyFont="1" applyFill="1" applyBorder="1" applyProtection="1">
      <protection locked="0"/>
    </xf>
    <xf numFmtId="0" fontId="30" fillId="2" borderId="3" xfId="1" applyFont="1" applyFill="1" applyBorder="1" applyProtection="1">
      <protection locked="0"/>
    </xf>
    <xf numFmtId="0" fontId="45" fillId="0" borderId="0" xfId="1" applyFont="1" applyFill="1" applyProtection="1">
      <protection locked="0"/>
    </xf>
    <xf numFmtId="0" fontId="30" fillId="0" borderId="0" xfId="1" applyFont="1" applyFill="1" applyProtection="1">
      <protection locked="0"/>
    </xf>
    <xf numFmtId="0" fontId="45" fillId="2" borderId="6" xfId="1" applyFont="1" applyFill="1" applyBorder="1" applyProtection="1">
      <protection locked="0"/>
    </xf>
    <xf numFmtId="0" fontId="30" fillId="2" borderId="6" xfId="1" applyFont="1" applyFill="1" applyBorder="1" applyProtection="1">
      <protection locked="0"/>
    </xf>
    <xf numFmtId="0" fontId="64" fillId="0" borderId="0" xfId="1" applyFont="1" applyBorder="1" applyProtection="1">
      <protection locked="0"/>
    </xf>
    <xf numFmtId="0" fontId="64" fillId="0" borderId="0" xfId="1" applyFont="1" applyProtection="1">
      <protection locked="0"/>
    </xf>
    <xf numFmtId="0" fontId="73" fillId="0" borderId="0" xfId="1" applyFont="1" applyProtection="1">
      <protection locked="0"/>
    </xf>
    <xf numFmtId="0" fontId="73" fillId="0" borderId="0" xfId="1" applyFont="1" applyBorder="1" applyProtection="1">
      <protection locked="0"/>
    </xf>
    <xf numFmtId="4" fontId="73" fillId="0" borderId="0" xfId="1" applyNumberFormat="1" applyFont="1" applyProtection="1">
      <protection locked="0"/>
    </xf>
    <xf numFmtId="0" fontId="49" fillId="0" borderId="0" xfId="1" applyFont="1" applyFill="1" applyProtection="1">
      <protection locked="0"/>
    </xf>
    <xf numFmtId="0" fontId="41" fillId="0" borderId="0" xfId="7" applyFont="1" applyFill="1" applyProtection="1">
      <protection locked="0"/>
    </xf>
    <xf numFmtId="0" fontId="19" fillId="0" borderId="0" xfId="7" applyProtection="1">
      <protection locked="0"/>
    </xf>
    <xf numFmtId="164" fontId="19" fillId="0" borderId="0" xfId="7" applyNumberFormat="1" applyProtection="1">
      <protection locked="0"/>
    </xf>
    <xf numFmtId="3" fontId="61" fillId="0" borderId="0" xfId="7" applyNumberFormat="1" applyFont="1" applyFill="1" applyProtection="1">
      <protection locked="0"/>
    </xf>
    <xf numFmtId="164" fontId="19" fillId="0" borderId="0" xfId="7" applyNumberFormat="1" applyBorder="1" applyProtection="1">
      <protection locked="0"/>
    </xf>
    <xf numFmtId="0" fontId="17" fillId="0" borderId="10" xfId="7" applyFont="1" applyBorder="1" applyProtection="1">
      <protection locked="0"/>
    </xf>
    <xf numFmtId="0" fontId="17" fillId="0" borderId="8" xfId="7" applyFont="1" applyBorder="1" applyProtection="1">
      <protection locked="0"/>
    </xf>
    <xf numFmtId="0" fontId="17" fillId="0" borderId="9" xfId="7" applyFont="1" applyBorder="1" applyProtection="1">
      <protection locked="0"/>
    </xf>
    <xf numFmtId="0" fontId="72" fillId="0" borderId="8" xfId="7" applyFont="1" applyBorder="1" applyAlignment="1" applyProtection="1">
      <alignment horizontal="center"/>
      <protection locked="0"/>
    </xf>
    <xf numFmtId="164" fontId="17" fillId="4" borderId="0" xfId="7" applyNumberFormat="1" applyFont="1" applyFill="1" applyBorder="1" applyProtection="1">
      <protection locked="0"/>
    </xf>
    <xf numFmtId="0" fontId="17" fillId="4" borderId="0" xfId="7" applyFont="1" applyFill="1" applyBorder="1" applyProtection="1">
      <protection locked="0"/>
    </xf>
    <xf numFmtId="3" fontId="45" fillId="0" borderId="1" xfId="7" applyNumberFormat="1" applyFont="1" applyFill="1" applyBorder="1" applyProtection="1">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19" fillId="0" borderId="0" xfId="7" applyBorder="1" applyProtection="1">
      <protection locked="0"/>
    </xf>
    <xf numFmtId="0" fontId="45" fillId="4" borderId="0" xfId="7" applyNumberFormat="1" applyFont="1" applyFill="1" applyBorder="1" applyAlignment="1" applyProtection="1">
      <alignment horizontal="center"/>
      <protection locked="0"/>
    </xf>
    <xf numFmtId="3" fontId="45" fillId="0" borderId="4" xfId="7" applyNumberFormat="1" applyFont="1" applyFill="1" applyBorder="1" applyProtection="1">
      <protection locked="0"/>
    </xf>
    <xf numFmtId="0" fontId="15" fillId="0" borderId="1" xfId="7" applyNumberFormat="1" applyFont="1" applyFill="1" applyBorder="1" applyAlignment="1" applyProtection="1">
      <alignment horizontal="center"/>
      <protection locked="0"/>
    </xf>
    <xf numFmtId="0" fontId="15" fillId="0" borderId="7" xfId="7" applyNumberFormat="1" applyFont="1" applyFill="1" applyBorder="1" applyAlignment="1" applyProtection="1">
      <alignment horizontal="center"/>
      <protection locked="0"/>
    </xf>
    <xf numFmtId="3" fontId="50" fillId="4" borderId="11" xfId="7" applyNumberFormat="1" applyFont="1" applyFill="1" applyBorder="1" applyProtection="1">
      <protection locked="0"/>
    </xf>
    <xf numFmtId="0" fontId="13" fillId="0" borderId="6" xfId="7" applyFont="1" applyFill="1" applyBorder="1" applyAlignment="1" applyProtection="1">
      <alignment horizontal="center"/>
      <protection locked="0"/>
    </xf>
    <xf numFmtId="168" fontId="15" fillId="0" borderId="6" xfId="7" applyNumberFormat="1" applyFont="1" applyFill="1" applyBorder="1" applyAlignment="1" applyProtection="1">
      <alignment horizontal="center"/>
      <protection locked="0"/>
    </xf>
    <xf numFmtId="168" fontId="13" fillId="4" borderId="0" xfId="7" applyNumberFormat="1" applyFont="1" applyFill="1" applyBorder="1" applyAlignment="1" applyProtection="1">
      <alignment horizontal="center"/>
      <protection locked="0"/>
    </xf>
    <xf numFmtId="0" fontId="13" fillId="4" borderId="0" xfId="7" applyNumberFormat="1" applyFont="1" applyFill="1" applyBorder="1" applyAlignment="1" applyProtection="1">
      <alignment horizontal="center"/>
      <protection locked="0"/>
    </xf>
    <xf numFmtId="0" fontId="45" fillId="0" borderId="4" xfId="7" applyFont="1" applyFill="1" applyBorder="1" applyProtection="1">
      <protection locked="0"/>
    </xf>
    <xf numFmtId="4" fontId="30" fillId="4" borderId="15" xfId="7" applyNumberFormat="1" applyFont="1" applyFill="1" applyBorder="1" applyAlignment="1" applyProtection="1">
      <alignment horizontal="right"/>
    </xf>
    <xf numFmtId="4" fontId="30" fillId="4" borderId="2"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protection locked="0"/>
    </xf>
    <xf numFmtId="4" fontId="30" fillId="4" borderId="4" xfId="7" applyNumberFormat="1" applyFont="1" applyFill="1" applyBorder="1" applyAlignment="1" applyProtection="1">
      <alignment horizontal="right"/>
    </xf>
    <xf numFmtId="4" fontId="30" fillId="4" borderId="4" xfId="7" applyNumberFormat="1" applyFont="1" applyFill="1" applyBorder="1" applyAlignment="1" applyProtection="1">
      <alignment horizontal="right"/>
      <protection locked="0"/>
    </xf>
    <xf numFmtId="4" fontId="30" fillId="4" borderId="7" xfId="7" applyNumberFormat="1" applyFont="1" applyFill="1" applyBorder="1" applyAlignment="1" applyProtection="1">
      <alignment horizontal="right"/>
      <protection locked="0"/>
    </xf>
    <xf numFmtId="0" fontId="36" fillId="0" borderId="0" xfId="7" applyFont="1" applyBorder="1" applyProtection="1">
      <protection locked="0"/>
    </xf>
    <xf numFmtId="0" fontId="36" fillId="0" borderId="0" xfId="7" applyFont="1" applyProtection="1">
      <protection locked="0"/>
    </xf>
    <xf numFmtId="0" fontId="30" fillId="0" borderId="4" xfId="7" applyFont="1" applyFill="1" applyBorder="1" applyProtection="1">
      <protection locked="0"/>
    </xf>
    <xf numFmtId="4" fontId="30" fillId="4" borderId="2" xfId="7" applyNumberFormat="1" applyFont="1" applyFill="1" applyBorder="1" applyAlignment="1" applyProtection="1">
      <alignment horizontal="right"/>
    </xf>
    <xf numFmtId="4" fontId="30" fillId="4" borderId="0" xfId="7" applyNumberFormat="1" applyFont="1" applyFill="1" applyBorder="1" applyAlignment="1" applyProtection="1">
      <alignment horizontal="right"/>
      <protection locked="0"/>
    </xf>
    <xf numFmtId="0" fontId="53" fillId="0" borderId="0" xfId="7" applyFont="1" applyBorder="1" applyProtection="1">
      <protection locked="0"/>
    </xf>
    <xf numFmtId="0" fontId="53" fillId="0" borderId="0" xfId="7" applyFont="1" applyProtection="1">
      <protection locked="0"/>
    </xf>
    <xf numFmtId="4" fontId="30" fillId="4" borderId="3" xfId="1" applyNumberFormat="1" applyFont="1" applyFill="1" applyBorder="1" applyAlignment="1" applyProtection="1">
      <alignment horizontal="right"/>
    </xf>
    <xf numFmtId="4" fontId="30" fillId="4" borderId="3" xfId="1" applyNumberFormat="1" applyFont="1" applyFill="1" applyBorder="1" applyAlignment="1" applyProtection="1">
      <alignment horizontal="right"/>
      <protection locked="0"/>
    </xf>
    <xf numFmtId="4" fontId="30" fillId="0" borderId="3" xfId="1" applyNumberFormat="1" applyFont="1" applyFill="1" applyBorder="1" applyAlignment="1" applyProtection="1">
      <alignment horizontal="right"/>
      <protection locked="0"/>
    </xf>
    <xf numFmtId="3" fontId="30" fillId="4" borderId="2" xfId="7" applyNumberFormat="1" applyFont="1" applyFill="1" applyBorder="1" applyAlignment="1" applyProtection="1">
      <alignment horizontal="right"/>
    </xf>
    <xf numFmtId="3" fontId="30" fillId="4" borderId="0"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protection locked="0"/>
    </xf>
    <xf numFmtId="0" fontId="30" fillId="0" borderId="11" xfId="7" applyFont="1" applyFill="1" applyBorder="1" applyProtection="1">
      <protection locked="0"/>
    </xf>
    <xf numFmtId="3" fontId="30" fillId="4" borderId="5" xfId="7" applyNumberFormat="1" applyFont="1" applyFill="1" applyBorder="1" applyAlignment="1" applyProtection="1">
      <alignment horizontal="right"/>
    </xf>
    <xf numFmtId="3" fontId="30" fillId="4" borderId="5" xfId="7" applyNumberFormat="1" applyFont="1" applyFill="1" applyBorder="1" applyAlignment="1" applyProtection="1">
      <alignment horizontal="right"/>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xf>
    <xf numFmtId="3" fontId="30" fillId="4" borderId="11" xfId="7" applyNumberFormat="1" applyFont="1" applyFill="1" applyBorder="1" applyAlignment="1" applyProtection="1">
      <alignment horizontal="right"/>
      <protection locked="0"/>
    </xf>
    <xf numFmtId="0" fontId="30" fillId="0" borderId="0" xfId="7" applyFont="1" applyFill="1" applyProtection="1">
      <protection locked="0"/>
    </xf>
    <xf numFmtId="0" fontId="30" fillId="0" borderId="0" xfId="7" applyFont="1" applyProtection="1">
      <protection locked="0"/>
    </xf>
    <xf numFmtId="0" fontId="17" fillId="0" borderId="10" xfId="7" applyFont="1" applyFill="1" applyBorder="1" applyProtection="1">
      <protection locked="0"/>
    </xf>
    <xf numFmtId="0" fontId="17" fillId="0" borderId="8" xfId="7" applyFont="1" applyFill="1" applyBorder="1" applyProtection="1">
      <protection locked="0"/>
    </xf>
    <xf numFmtId="0" fontId="17" fillId="0" borderId="9" xfId="7" applyFont="1" applyFill="1" applyBorder="1" applyProtection="1">
      <protection locked="0"/>
    </xf>
    <xf numFmtId="3" fontId="0" fillId="0" borderId="0" xfId="0" applyNumberFormat="1" applyFill="1"/>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17" fillId="0" borderId="4" xfId="847" applyNumberFormat="1" applyFont="1" applyFill="1" applyBorder="1" applyAlignment="1">
      <alignment horizontal="right"/>
    </xf>
    <xf numFmtId="3" fontId="49" fillId="0" borderId="0" xfId="1" applyNumberFormat="1" applyFont="1" applyProtection="1">
      <protection locked="0"/>
    </xf>
    <xf numFmtId="3" fontId="16" fillId="0" borderId="7" xfId="1" applyNumberFormat="1" applyFont="1" applyFill="1" applyBorder="1" applyAlignment="1">
      <alignment horizontal="center"/>
    </xf>
    <xf numFmtId="3" fontId="16" fillId="0" borderId="6" xfId="1" applyNumberFormat="1" applyFont="1" applyFill="1" applyBorder="1" applyAlignment="1">
      <alignment horizontal="center"/>
    </xf>
    <xf numFmtId="3" fontId="17" fillId="15" borderId="3" xfId="847" applyNumberFormat="1" applyFont="1" applyFill="1" applyBorder="1" applyAlignment="1">
      <alignment horizontal="left"/>
    </xf>
    <xf numFmtId="14" fontId="30" fillId="0" borderId="0" xfId="1" applyNumberFormat="1" applyFont="1" applyAlignment="1">
      <alignment horizontal="center"/>
    </xf>
    <xf numFmtId="0" fontId="15" fillId="11" borderId="0" xfId="0" applyFont="1" applyFill="1" applyBorder="1" applyAlignment="1">
      <alignment horizontal="center"/>
    </xf>
    <xf numFmtId="0" fontId="15" fillId="11"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11"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4" borderId="0" xfId="0" applyNumberFormat="1" applyFont="1" applyFill="1" applyBorder="1" applyAlignment="1">
      <alignment horizontal="center"/>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4" borderId="0" xfId="7" applyNumberFormat="1" applyFont="1" applyFill="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cellXfs>
  <cellStyles count="848">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Komma 2" xfId="847"/>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1357">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 formatCode="0"/>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30" formatCode="@"/>
      <alignment horizontal="right"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top" textRotation="0" wrapText="1" relativeIndent="0" justifyLastLine="0" shrinkToFit="0" readingOrder="0"/>
      <border diagonalUp="0" diagonalDown="0">
        <left style="medium">
          <color rgb="FFCCCCCC"/>
        </left>
        <right style="medium">
          <color rgb="FFCCCCCC"/>
        </right>
        <top/>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top" textRotation="0" wrapText="1" relativeIndent="0" justifyLastLine="0" shrinkToFit="0" readingOrder="0"/>
      <border diagonalUp="0" diagonalDown="0">
        <left style="medium">
          <color rgb="FFCCCCCC"/>
        </left>
        <right style="medium">
          <color rgb="FFCCCCCC"/>
        </right>
        <top/>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top" textRotation="0" wrapText="1" relativeIndent="0" justifyLastLine="0" shrinkToFit="0" readingOrder="0"/>
    </dxf>
    <dxf>
      <font>
        <b/>
        <i val="0"/>
        <strike val="0"/>
        <condense val="0"/>
        <extend val="0"/>
        <outline val="0"/>
        <shadow val="0"/>
        <u val="none"/>
        <vertAlign val="baseline"/>
        <sz val="8"/>
        <color rgb="FFFFFFFF"/>
        <name val="Arial"/>
        <scheme val="none"/>
      </font>
      <fill>
        <patternFill patternType="solid">
          <fgColor indexed="64"/>
          <bgColor rgb="FF666666"/>
        </patternFill>
      </fill>
      <alignment horizontal="center" vertical="center" textRotation="0" wrapText="1" relativeIndent="0" justifyLastLine="0" shrinkToFit="0" readingOrder="0"/>
      <border diagonalUp="0" diagonalDown="0" outline="0">
        <left style="medium">
          <color rgb="FFFFFFFF"/>
        </left>
        <right style="medium">
          <color rgb="FFFFFFFF"/>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4592962974247"/>
          <c:y val="9.3385194933424245E-2"/>
          <c:w val="0.85192703265093572"/>
          <c:h val="0.68592120144179236"/>
        </c:manualLayout>
      </c:layout>
      <c:barChart>
        <c:barDir val="col"/>
        <c:grouping val="clustered"/>
        <c:varyColors val="0"/>
        <c:ser>
          <c:idx val="0"/>
          <c:order val="0"/>
          <c:tx>
            <c:strRef>
              <c:f>Figurer!$M$8</c:f>
              <c:strCache>
                <c:ptCount val="1"/>
                <c:pt idx="0">
                  <c:v>2017</c:v>
                </c:pt>
              </c:strCache>
            </c:strRef>
          </c:tx>
          <c:spPr>
            <a:solidFill>
              <a:schemeClr val="accent1"/>
            </a:solidFill>
            <a:ln>
              <a:noFill/>
            </a:ln>
            <a:effectLst/>
          </c:spPr>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0</c:v>
                </c:pt>
                <c:pt idx="1">
                  <c:v>101335.864</c:v>
                </c:pt>
                <c:pt idx="2">
                  <c:v>2121279</c:v>
                </c:pt>
                <c:pt idx="3">
                  <c:v>58168</c:v>
                </c:pt>
                <c:pt idx="4">
                  <c:v>487767</c:v>
                </c:pt>
                <c:pt idx="5">
                  <c:v>4414</c:v>
                </c:pt>
                <c:pt idx="6">
                  <c:v>1033220</c:v>
                </c:pt>
                <c:pt idx="7">
                  <c:v>155987</c:v>
                </c:pt>
                <c:pt idx="8">
                  <c:v>11269</c:v>
                </c:pt>
                <c:pt idx="9">
                  <c:v>171195.791</c:v>
                </c:pt>
                <c:pt idx="10">
                  <c:v>6288898.7351200003</c:v>
                </c:pt>
                <c:pt idx="11">
                  <c:v>21438</c:v>
                </c:pt>
                <c:pt idx="12">
                  <c:v>117684.757</c:v>
                </c:pt>
                <c:pt idx="13">
                  <c:v>19934</c:v>
                </c:pt>
                <c:pt idx="14">
                  <c:v>2312</c:v>
                </c:pt>
                <c:pt idx="15">
                  <c:v>817756.21181999997</c:v>
                </c:pt>
                <c:pt idx="16">
                  <c:v>785297</c:v>
                </c:pt>
                <c:pt idx="17">
                  <c:v>782973.22236999997</c:v>
                </c:pt>
                <c:pt idx="18">
                  <c:v>2413053.41</c:v>
                </c:pt>
                <c:pt idx="19">
                  <c:v>0</c:v>
                </c:pt>
                <c:pt idx="20">
                  <c:v>424578.353</c:v>
                </c:pt>
              </c:numCache>
            </c:numRef>
          </c:val>
          <c:extLst>
            <c:ext xmlns:c16="http://schemas.microsoft.com/office/drawing/2014/chart" uri="{C3380CC4-5D6E-409C-BE32-E72D297353CC}">
              <c16:uniqueId val="{00000000-291E-4A74-B4EC-6422F31180D2}"/>
            </c:ext>
          </c:extLst>
        </c:ser>
        <c:ser>
          <c:idx val="1"/>
          <c:order val="1"/>
          <c:tx>
            <c:strRef>
              <c:f>Figurer!$N$8</c:f>
              <c:strCache>
                <c:ptCount val="1"/>
                <c:pt idx="0">
                  <c:v>2018</c:v>
                </c:pt>
              </c:strCache>
            </c:strRef>
          </c:tx>
          <c:spPr>
            <a:solidFill>
              <a:schemeClr val="accent2"/>
            </a:solidFill>
            <a:ln>
              <a:noFill/>
            </a:ln>
            <a:effectLst/>
          </c:spPr>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105522.829</c:v>
                </c:pt>
                <c:pt idx="2">
                  <c:v>1773028</c:v>
                </c:pt>
                <c:pt idx="3">
                  <c:v>66623</c:v>
                </c:pt>
                <c:pt idx="4">
                  <c:v>518678</c:v>
                </c:pt>
                <c:pt idx="5">
                  <c:v>4814</c:v>
                </c:pt>
                <c:pt idx="6">
                  <c:v>1052245</c:v>
                </c:pt>
                <c:pt idx="7">
                  <c:v>178625</c:v>
                </c:pt>
                <c:pt idx="8">
                  <c:v>10248</c:v>
                </c:pt>
                <c:pt idx="9">
                  <c:v>153678.71638</c:v>
                </c:pt>
                <c:pt idx="10">
                  <c:v>6307422.4361200007</c:v>
                </c:pt>
                <c:pt idx="11">
                  <c:v>20618</c:v>
                </c:pt>
                <c:pt idx="12">
                  <c:v>107643.077</c:v>
                </c:pt>
                <c:pt idx="13">
                  <c:v>21888.014999999999</c:v>
                </c:pt>
                <c:pt idx="14">
                  <c:v>620</c:v>
                </c:pt>
                <c:pt idx="15">
                  <c:v>665744.15912939585</c:v>
                </c:pt>
                <c:pt idx="16">
                  <c:v>725316</c:v>
                </c:pt>
                <c:pt idx="17">
                  <c:v>816522.19760999992</c:v>
                </c:pt>
                <c:pt idx="18">
                  <c:v>2307542.6269999999</c:v>
                </c:pt>
                <c:pt idx="19">
                  <c:v>0</c:v>
                </c:pt>
                <c:pt idx="20">
                  <c:v>417186</c:v>
                </c:pt>
              </c:numCache>
            </c:numRef>
          </c:val>
          <c:extLst>
            <c:ext xmlns:c16="http://schemas.microsoft.com/office/drawing/2014/chart" uri="{C3380CC4-5D6E-409C-BE32-E72D297353CC}">
              <c16:uniqueId val="{00000001-291E-4A74-B4EC-6422F31180D2}"/>
            </c:ext>
          </c:extLst>
        </c:ser>
        <c:dLbls>
          <c:showLegendKey val="0"/>
          <c:showVal val="0"/>
          <c:showCatName val="0"/>
          <c:showSerName val="0"/>
          <c:showPercent val="0"/>
          <c:showBubbleSize val="0"/>
        </c:dLbls>
        <c:gapWidth val="219"/>
        <c:overlap val="-27"/>
        <c:axId val="1253050296"/>
        <c:axId val="1253041440"/>
      </c:barChart>
      <c:catAx>
        <c:axId val="1253050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53041440"/>
        <c:crosses val="autoZero"/>
        <c:auto val="1"/>
        <c:lblAlgn val="ctr"/>
        <c:lblOffset val="100"/>
        <c:noMultiLvlLbl val="0"/>
      </c:catAx>
      <c:valAx>
        <c:axId val="12530414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53050296"/>
        <c:crosses val="autoZero"/>
        <c:crossBetween val="between"/>
      </c:valAx>
      <c:spPr>
        <a:noFill/>
        <a:ln>
          <a:no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12292213473315"/>
          <c:y val="0.11665929369352969"/>
          <c:w val="0.76932152230971129"/>
          <c:h val="0.60154901329160204"/>
        </c:manualLayout>
      </c:layout>
      <c:barChart>
        <c:barDir val="col"/>
        <c:grouping val="clustered"/>
        <c:varyColors val="0"/>
        <c:ser>
          <c:idx val="0"/>
          <c:order val="0"/>
          <c:tx>
            <c:strRef>
              <c:f>Figurer!$M$35</c:f>
              <c:strCache>
                <c:ptCount val="1"/>
                <c:pt idx="0">
                  <c:v>2017</c:v>
                </c:pt>
              </c:strCache>
            </c:strRef>
          </c:tx>
          <c:spPr>
            <a:solidFill>
              <a:schemeClr val="accent1"/>
            </a:solidFill>
            <a:ln>
              <a:noFill/>
            </a:ln>
            <a:effectLst/>
          </c:spPr>
          <c:invertIfNegative val="0"/>
          <c:cat>
            <c:strRef>
              <c:f>Figurer!$L$36:$L$45</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Figurer!$M$36:$M$45</c:f>
              <c:numCache>
                <c:formatCode>#,##0</c:formatCode>
                <c:ptCount val="10"/>
                <c:pt idx="0">
                  <c:v>481311.815</c:v>
                </c:pt>
                <c:pt idx="1">
                  <c:v>2020493</c:v>
                </c:pt>
                <c:pt idx="2">
                  <c:v>83001</c:v>
                </c:pt>
                <c:pt idx="3">
                  <c:v>601986</c:v>
                </c:pt>
                <c:pt idx="4">
                  <c:v>17027.863000000001</c:v>
                </c:pt>
                <c:pt idx="5">
                  <c:v>89510</c:v>
                </c:pt>
                <c:pt idx="6">
                  <c:v>2401470.4565099999</c:v>
                </c:pt>
                <c:pt idx="7">
                  <c:v>33664</c:v>
                </c:pt>
                <c:pt idx="8">
                  <c:v>697464.44410999992</c:v>
                </c:pt>
                <c:pt idx="9">
                  <c:v>2537946.216</c:v>
                </c:pt>
              </c:numCache>
            </c:numRef>
          </c:val>
          <c:extLst>
            <c:ext xmlns:c16="http://schemas.microsoft.com/office/drawing/2014/chart" uri="{C3380CC4-5D6E-409C-BE32-E72D297353CC}">
              <c16:uniqueId val="{00000000-FB32-4315-A778-986B62E4B097}"/>
            </c:ext>
          </c:extLst>
        </c:ser>
        <c:ser>
          <c:idx val="1"/>
          <c:order val="1"/>
          <c:tx>
            <c:strRef>
              <c:f>Figurer!$N$35</c:f>
              <c:strCache>
                <c:ptCount val="1"/>
                <c:pt idx="0">
                  <c:v>2018</c:v>
                </c:pt>
              </c:strCache>
            </c:strRef>
          </c:tx>
          <c:spPr>
            <a:solidFill>
              <a:schemeClr val="accent2"/>
            </a:solidFill>
            <a:ln>
              <a:noFill/>
            </a:ln>
            <a:effectLst/>
          </c:spPr>
          <c:invertIfNegative val="0"/>
          <c:cat>
            <c:strRef>
              <c:f>Figurer!$L$36:$L$45</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Figurer!$N$36:$N$45</c:f>
              <c:numCache>
                <c:formatCode>#,##0</c:formatCode>
                <c:ptCount val="10"/>
                <c:pt idx="0">
                  <c:v>512553.30499999999</c:v>
                </c:pt>
                <c:pt idx="1">
                  <c:v>1933331</c:v>
                </c:pt>
                <c:pt idx="2">
                  <c:v>88637</c:v>
                </c:pt>
                <c:pt idx="3">
                  <c:v>681493</c:v>
                </c:pt>
                <c:pt idx="4">
                  <c:v>20875.777999999998</c:v>
                </c:pt>
                <c:pt idx="5">
                  <c:v>108569</c:v>
                </c:pt>
                <c:pt idx="6">
                  <c:v>2294973.0361000001</c:v>
                </c:pt>
                <c:pt idx="7">
                  <c:v>42877</c:v>
                </c:pt>
                <c:pt idx="8">
                  <c:v>912443.09380000003</c:v>
                </c:pt>
                <c:pt idx="9">
                  <c:v>2667749.4759999998</c:v>
                </c:pt>
              </c:numCache>
            </c:numRef>
          </c:val>
          <c:extLst>
            <c:ext xmlns:c16="http://schemas.microsoft.com/office/drawing/2014/chart" uri="{C3380CC4-5D6E-409C-BE32-E72D297353CC}">
              <c16:uniqueId val="{00000001-FB32-4315-A778-986B62E4B097}"/>
            </c:ext>
          </c:extLst>
        </c:ser>
        <c:dLbls>
          <c:showLegendKey val="0"/>
          <c:showVal val="0"/>
          <c:showCatName val="0"/>
          <c:showSerName val="0"/>
          <c:showPercent val="0"/>
          <c:showBubbleSize val="0"/>
        </c:dLbls>
        <c:gapWidth val="219"/>
        <c:overlap val="-27"/>
        <c:axId val="1326037520"/>
        <c:axId val="1326059496"/>
      </c:barChart>
      <c:catAx>
        <c:axId val="132603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326059496"/>
        <c:crosses val="autoZero"/>
        <c:auto val="1"/>
        <c:lblAlgn val="ctr"/>
        <c:lblOffset val="100"/>
        <c:noMultiLvlLbl val="0"/>
      </c:catAx>
      <c:valAx>
        <c:axId val="1326059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32603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4562554680665"/>
          <c:y val="0.10562348001643956"/>
          <c:w val="0.74398818897637797"/>
          <c:h val="0.64476065262003757"/>
        </c:manualLayout>
      </c:layout>
      <c:barChart>
        <c:barDir val="col"/>
        <c:grouping val="clustered"/>
        <c:varyColors val="0"/>
        <c:ser>
          <c:idx val="0"/>
          <c:order val="0"/>
          <c:tx>
            <c:strRef>
              <c:f>Figurer!$M$58</c:f>
              <c:strCache>
                <c:ptCount val="1"/>
                <c:pt idx="0">
                  <c:v>2017</c:v>
                </c:pt>
              </c:strCache>
            </c:strRef>
          </c:tx>
          <c:spPr>
            <a:solidFill>
              <a:schemeClr val="accent1"/>
            </a:solidFill>
            <a:ln>
              <a:noFill/>
            </a:ln>
            <a:effectLst/>
          </c:spPr>
          <c:invertIfNegative val="0"/>
          <c:cat>
            <c:strRef>
              <c:f>Figurer!$L$59:$L$72</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Figurer!$M$59:$M$72</c:f>
              <c:numCache>
                <c:formatCode>#,##0</c:formatCode>
                <c:ptCount val="14"/>
                <c:pt idx="0">
                  <c:v>982925.81900000002</c:v>
                </c:pt>
                <c:pt idx="1">
                  <c:v>203821446</c:v>
                </c:pt>
                <c:pt idx="2">
                  <c:v>0</c:v>
                </c:pt>
                <c:pt idx="3">
                  <c:v>1045718</c:v>
                </c:pt>
                <c:pt idx="4">
                  <c:v>0</c:v>
                </c:pt>
                <c:pt idx="5">
                  <c:v>5573380</c:v>
                </c:pt>
                <c:pt idx="6">
                  <c:v>27115</c:v>
                </c:pt>
                <c:pt idx="7">
                  <c:v>0</c:v>
                </c:pt>
                <c:pt idx="8">
                  <c:v>425409512.87142003</c:v>
                </c:pt>
                <c:pt idx="9">
                  <c:v>1459120</c:v>
                </c:pt>
                <c:pt idx="10">
                  <c:v>49076949.99999997</c:v>
                </c:pt>
                <c:pt idx="11">
                  <c:v>66115112</c:v>
                </c:pt>
                <c:pt idx="12">
                  <c:v>17555674.020039972</c:v>
                </c:pt>
                <c:pt idx="13">
                  <c:v>178438668.08399999</c:v>
                </c:pt>
              </c:numCache>
            </c:numRef>
          </c:val>
          <c:extLst>
            <c:ext xmlns:c16="http://schemas.microsoft.com/office/drawing/2014/chart" uri="{C3380CC4-5D6E-409C-BE32-E72D297353CC}">
              <c16:uniqueId val="{00000000-731A-433F-8963-A2D2C02ADA0C}"/>
            </c:ext>
          </c:extLst>
        </c:ser>
        <c:ser>
          <c:idx val="1"/>
          <c:order val="1"/>
          <c:tx>
            <c:strRef>
              <c:f>Figurer!$N$58</c:f>
              <c:strCache>
                <c:ptCount val="1"/>
                <c:pt idx="0">
                  <c:v>2018</c:v>
                </c:pt>
              </c:strCache>
            </c:strRef>
          </c:tx>
          <c:spPr>
            <a:solidFill>
              <a:schemeClr val="accent2"/>
            </a:solidFill>
            <a:ln>
              <a:noFill/>
            </a:ln>
            <a:effectLst/>
          </c:spPr>
          <c:invertIfNegative val="0"/>
          <c:cat>
            <c:strRef>
              <c:f>Figurer!$L$59:$L$72</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Figurer!$N$59:$N$72</c:f>
              <c:numCache>
                <c:formatCode>#,##0</c:formatCode>
                <c:ptCount val="14"/>
                <c:pt idx="0">
                  <c:v>1056297.5660000001</c:v>
                </c:pt>
                <c:pt idx="1">
                  <c:v>203084238.5</c:v>
                </c:pt>
                <c:pt idx="2">
                  <c:v>0</c:v>
                </c:pt>
                <c:pt idx="3">
                  <c:v>1166853</c:v>
                </c:pt>
                <c:pt idx="4">
                  <c:v>0</c:v>
                </c:pt>
                <c:pt idx="5">
                  <c:v>6138522</c:v>
                </c:pt>
                <c:pt idx="6">
                  <c:v>23193</c:v>
                </c:pt>
                <c:pt idx="7">
                  <c:v>0</c:v>
                </c:pt>
                <c:pt idx="8">
                  <c:v>450711574.44376999</c:v>
                </c:pt>
                <c:pt idx="9">
                  <c:v>1517090</c:v>
                </c:pt>
                <c:pt idx="10">
                  <c:v>49831728.590089791</c:v>
                </c:pt>
                <c:pt idx="11">
                  <c:v>71272663</c:v>
                </c:pt>
                <c:pt idx="12">
                  <c:v>18998939.185520001</c:v>
                </c:pt>
                <c:pt idx="13">
                  <c:v>181070508.74600002</c:v>
                </c:pt>
              </c:numCache>
            </c:numRef>
          </c:val>
          <c:extLst>
            <c:ext xmlns:c16="http://schemas.microsoft.com/office/drawing/2014/chart" uri="{C3380CC4-5D6E-409C-BE32-E72D297353CC}">
              <c16:uniqueId val="{00000001-731A-433F-8963-A2D2C02ADA0C}"/>
            </c:ext>
          </c:extLst>
        </c:ser>
        <c:dLbls>
          <c:showLegendKey val="0"/>
          <c:showVal val="0"/>
          <c:showCatName val="0"/>
          <c:showSerName val="0"/>
          <c:showPercent val="0"/>
          <c:showBubbleSize val="0"/>
        </c:dLbls>
        <c:gapWidth val="219"/>
        <c:overlap val="-27"/>
        <c:axId val="1296099488"/>
        <c:axId val="1296101456"/>
      </c:barChart>
      <c:catAx>
        <c:axId val="129609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96101456"/>
        <c:crosses val="autoZero"/>
        <c:auto val="1"/>
        <c:lblAlgn val="ctr"/>
        <c:lblOffset val="100"/>
        <c:noMultiLvlLbl val="0"/>
      </c:catAx>
      <c:valAx>
        <c:axId val="1296101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layout>
            <c:manualLayout>
              <c:xMode val="edge"/>
              <c:yMode val="edge"/>
              <c:x val="3.0555555555555555E-2"/>
              <c:y val="0.188871755613881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96099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923080357158"/>
          <c:y val="0.10030002932252018"/>
          <c:w val="0.77858433777103175"/>
          <c:h val="0.68089828163551636"/>
        </c:manualLayout>
      </c:layout>
      <c:barChart>
        <c:barDir val="col"/>
        <c:grouping val="clustered"/>
        <c:varyColors val="0"/>
        <c:ser>
          <c:idx val="0"/>
          <c:order val="0"/>
          <c:tx>
            <c:strRef>
              <c:f>Figurer!$M$82</c:f>
              <c:strCache>
                <c:ptCount val="1"/>
                <c:pt idx="0">
                  <c:v>2017</c:v>
                </c:pt>
              </c:strCache>
            </c:strRef>
          </c:tx>
          <c:spPr>
            <a:solidFill>
              <a:schemeClr val="accent1"/>
            </a:solidFill>
            <a:ln>
              <a:noFill/>
            </a:ln>
            <a:effectLst/>
          </c:spPr>
          <c:invertIfNegative val="0"/>
          <c:cat>
            <c:strRef>
              <c:f>Figurer!$L$83:$L$92</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Figurer!$M$83:$M$92</c:f>
              <c:numCache>
                <c:formatCode>#,##0</c:formatCode>
                <c:ptCount val="10"/>
                <c:pt idx="0">
                  <c:v>14971198.460999999</c:v>
                </c:pt>
                <c:pt idx="1">
                  <c:v>64688136</c:v>
                </c:pt>
                <c:pt idx="2">
                  <c:v>2825243</c:v>
                </c:pt>
                <c:pt idx="3">
                  <c:v>19415872</c:v>
                </c:pt>
                <c:pt idx="4">
                  <c:v>2241526.4711500001</c:v>
                </c:pt>
                <c:pt idx="5">
                  <c:v>1965832</c:v>
                </c:pt>
                <c:pt idx="6">
                  <c:v>50143350</c:v>
                </c:pt>
                <c:pt idx="7">
                  <c:v>1836877</c:v>
                </c:pt>
                <c:pt idx="8">
                  <c:v>20880311.99315</c:v>
                </c:pt>
                <c:pt idx="9">
                  <c:v>67802748.372999996</c:v>
                </c:pt>
              </c:numCache>
            </c:numRef>
          </c:val>
          <c:extLst>
            <c:ext xmlns:c16="http://schemas.microsoft.com/office/drawing/2014/chart" uri="{C3380CC4-5D6E-409C-BE32-E72D297353CC}">
              <c16:uniqueId val="{00000000-FEE1-4091-85BE-00CCD0733DBD}"/>
            </c:ext>
          </c:extLst>
        </c:ser>
        <c:ser>
          <c:idx val="1"/>
          <c:order val="1"/>
          <c:tx>
            <c:strRef>
              <c:f>Figurer!$N$82</c:f>
              <c:strCache>
                <c:ptCount val="1"/>
                <c:pt idx="0">
                  <c:v>2018</c:v>
                </c:pt>
              </c:strCache>
            </c:strRef>
          </c:tx>
          <c:spPr>
            <a:solidFill>
              <a:schemeClr val="accent2"/>
            </a:solidFill>
            <a:ln>
              <a:noFill/>
            </a:ln>
            <a:effectLst/>
          </c:spPr>
          <c:invertIfNegative val="0"/>
          <c:cat>
            <c:strRef>
              <c:f>Figurer!$L$83:$L$92</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Figurer!$N$83:$N$92</c:f>
              <c:numCache>
                <c:formatCode>#,##0</c:formatCode>
                <c:ptCount val="10"/>
                <c:pt idx="0">
                  <c:v>16706584.574999999</c:v>
                </c:pt>
                <c:pt idx="1">
                  <c:v>74630254</c:v>
                </c:pt>
                <c:pt idx="2">
                  <c:v>3185848</c:v>
                </c:pt>
                <c:pt idx="3">
                  <c:v>22784107</c:v>
                </c:pt>
                <c:pt idx="4">
                  <c:v>2344983.7411500001</c:v>
                </c:pt>
                <c:pt idx="5">
                  <c:v>2816074</c:v>
                </c:pt>
                <c:pt idx="6">
                  <c:v>58443269.995210707</c:v>
                </c:pt>
                <c:pt idx="7">
                  <c:v>2055445</c:v>
                </c:pt>
                <c:pt idx="8">
                  <c:v>26221241.436800003</c:v>
                </c:pt>
                <c:pt idx="9">
                  <c:v>89292605.564999998</c:v>
                </c:pt>
              </c:numCache>
            </c:numRef>
          </c:val>
          <c:extLst>
            <c:ext xmlns:c16="http://schemas.microsoft.com/office/drawing/2014/chart" uri="{C3380CC4-5D6E-409C-BE32-E72D297353CC}">
              <c16:uniqueId val="{00000001-FEE1-4091-85BE-00CCD0733DBD}"/>
            </c:ext>
          </c:extLst>
        </c:ser>
        <c:dLbls>
          <c:showLegendKey val="0"/>
          <c:showVal val="0"/>
          <c:showCatName val="0"/>
          <c:showSerName val="0"/>
          <c:showPercent val="0"/>
          <c:showBubbleSize val="0"/>
        </c:dLbls>
        <c:gapWidth val="219"/>
        <c:overlap val="-27"/>
        <c:axId val="1296143192"/>
        <c:axId val="1296149096"/>
      </c:barChart>
      <c:catAx>
        <c:axId val="129614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96149096"/>
        <c:crosses val="autoZero"/>
        <c:auto val="1"/>
        <c:lblAlgn val="ctr"/>
        <c:lblOffset val="100"/>
        <c:noMultiLvlLbl val="0"/>
      </c:catAx>
      <c:valAx>
        <c:axId val="1296149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296143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5625546806649"/>
          <c:y val="7.9226235345268931E-2"/>
          <c:w val="0.77998818897637801"/>
          <c:h val="0.63799472690459758"/>
        </c:manualLayout>
      </c:layout>
      <c:barChart>
        <c:barDir val="col"/>
        <c:grouping val="clustered"/>
        <c:varyColors val="0"/>
        <c:ser>
          <c:idx val="0"/>
          <c:order val="0"/>
          <c:tx>
            <c:strRef>
              <c:f>Figurer!$M$108</c:f>
              <c:strCache>
                <c:ptCount val="1"/>
                <c:pt idx="0">
                  <c:v>2017</c:v>
                </c:pt>
              </c:strCache>
            </c:strRef>
          </c:tx>
          <c:spPr>
            <a:solidFill>
              <a:schemeClr val="accent1"/>
            </a:solidFill>
            <a:ln>
              <a:noFill/>
            </a:ln>
            <a:effectLst/>
          </c:spPr>
          <c:invertIfNegative val="0"/>
          <c:dLbls>
            <c:delete val="1"/>
          </c:dLbls>
          <c:cat>
            <c:strRef>
              <c:f>Figurer!$L$109:$L$116</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Figurer!$M$109:$M$116</c:f>
              <c:numCache>
                <c:formatCode>#,##0</c:formatCode>
                <c:ptCount val="8"/>
                <c:pt idx="0">
                  <c:v>3232.74</c:v>
                </c:pt>
                <c:pt idx="1">
                  <c:v>217490</c:v>
                </c:pt>
                <c:pt idx="2">
                  <c:v>20501</c:v>
                </c:pt>
                <c:pt idx="3">
                  <c:v>-36647.545000000013</c:v>
                </c:pt>
                <c:pt idx="4">
                  <c:v>-11503</c:v>
                </c:pt>
                <c:pt idx="5">
                  <c:v>-87133.885309999998</c:v>
                </c:pt>
                <c:pt idx="6">
                  <c:v>8216.899809999999</c:v>
                </c:pt>
                <c:pt idx="7">
                  <c:v>-251182.72399999999</c:v>
                </c:pt>
              </c:numCache>
            </c:numRef>
          </c:val>
          <c:extLst>
            <c:ext xmlns:c16="http://schemas.microsoft.com/office/drawing/2014/chart" uri="{C3380CC4-5D6E-409C-BE32-E72D297353CC}">
              <c16:uniqueId val="{00000000-3C9B-4301-974D-A457170AB8CF}"/>
            </c:ext>
          </c:extLst>
        </c:ser>
        <c:ser>
          <c:idx val="1"/>
          <c:order val="1"/>
          <c:tx>
            <c:strRef>
              <c:f>Figurer!$N$108</c:f>
              <c:strCache>
                <c:ptCount val="1"/>
                <c:pt idx="0">
                  <c:v>2018</c:v>
                </c:pt>
              </c:strCache>
            </c:strRef>
          </c:tx>
          <c:spPr>
            <a:solidFill>
              <a:schemeClr val="accent2"/>
            </a:solidFill>
            <a:ln>
              <a:noFill/>
            </a:ln>
            <a:effectLst/>
          </c:spPr>
          <c:invertIfNegative val="0"/>
          <c:dLbls>
            <c:delete val="1"/>
          </c:dLbls>
          <c:cat>
            <c:strRef>
              <c:f>Figurer!$L$109:$L$116</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Figurer!$N$109:$N$116</c:f>
              <c:numCache>
                <c:formatCode>#,##0</c:formatCode>
                <c:ptCount val="8"/>
                <c:pt idx="0">
                  <c:v>1918.3780000000006</c:v>
                </c:pt>
                <c:pt idx="1">
                  <c:v>33099</c:v>
                </c:pt>
                <c:pt idx="2">
                  <c:v>8758</c:v>
                </c:pt>
                <c:pt idx="3">
                  <c:v>-418198.02100000001</c:v>
                </c:pt>
                <c:pt idx="4">
                  <c:v>163</c:v>
                </c:pt>
                <c:pt idx="5">
                  <c:v>-45945.832359999702</c:v>
                </c:pt>
                <c:pt idx="6">
                  <c:v>14295.352540000002</c:v>
                </c:pt>
                <c:pt idx="7">
                  <c:v>-35442.452000000005</c:v>
                </c:pt>
              </c:numCache>
            </c:numRef>
          </c:val>
          <c:extLst>
            <c:ext xmlns:c16="http://schemas.microsoft.com/office/drawing/2014/chart" uri="{C3380CC4-5D6E-409C-BE32-E72D297353CC}">
              <c16:uniqueId val="{00000001-3C9B-4301-974D-A457170AB8CF}"/>
            </c:ext>
          </c:extLst>
        </c:ser>
        <c:dLbls>
          <c:dLblPos val="outEnd"/>
          <c:showLegendKey val="0"/>
          <c:showVal val="1"/>
          <c:showCatName val="0"/>
          <c:showSerName val="0"/>
          <c:showPercent val="0"/>
          <c:showBubbleSize val="0"/>
        </c:dLbls>
        <c:gapWidth val="219"/>
        <c:overlap val="-27"/>
        <c:axId val="1155495808"/>
        <c:axId val="1155496136"/>
      </c:barChart>
      <c:catAx>
        <c:axId val="11554958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155496136"/>
        <c:crosses val="autoZero"/>
        <c:auto val="1"/>
        <c:lblAlgn val="ctr"/>
        <c:lblOffset val="100"/>
        <c:noMultiLvlLbl val="0"/>
      </c:catAx>
      <c:valAx>
        <c:axId val="11554961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115549580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87292213473316"/>
          <c:y val="0.10293452992769202"/>
          <c:w val="0.82057152230971131"/>
          <c:h val="0.60485298129411269"/>
        </c:manualLayout>
      </c:layout>
      <c:barChart>
        <c:barDir val="col"/>
        <c:grouping val="clustered"/>
        <c:varyColors val="0"/>
        <c:ser>
          <c:idx val="0"/>
          <c:order val="0"/>
          <c:tx>
            <c:strRef>
              <c:f>Figurer!$M$133</c:f>
              <c:strCache>
                <c:ptCount val="1"/>
                <c:pt idx="0">
                  <c:v>2017</c:v>
                </c:pt>
              </c:strCache>
            </c:strRef>
          </c:tx>
          <c:spPr>
            <a:solidFill>
              <a:schemeClr val="accent1"/>
            </a:solidFill>
            <a:ln>
              <a:noFill/>
            </a:ln>
            <a:effectLst/>
          </c:spPr>
          <c:invertIfNegative val="0"/>
          <c:cat>
            <c:strRef>
              <c:f>Figurer!$L$134:$L$142</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Figurer!$M$134:$M$142</c:f>
              <c:numCache>
                <c:formatCode>#,##0</c:formatCode>
                <c:ptCount val="9"/>
                <c:pt idx="0">
                  <c:v>146462.12900000002</c:v>
                </c:pt>
                <c:pt idx="1">
                  <c:v>1318704</c:v>
                </c:pt>
                <c:pt idx="2">
                  <c:v>-12006</c:v>
                </c:pt>
                <c:pt idx="3">
                  <c:v>588342</c:v>
                </c:pt>
                <c:pt idx="4">
                  <c:v>171225</c:v>
                </c:pt>
                <c:pt idx="5">
                  <c:v>-576666.1409</c:v>
                </c:pt>
                <c:pt idx="6">
                  <c:v>13253</c:v>
                </c:pt>
                <c:pt idx="7">
                  <c:v>308703.2453200001</c:v>
                </c:pt>
                <c:pt idx="8">
                  <c:v>-1926593.0959999999</c:v>
                </c:pt>
              </c:numCache>
            </c:numRef>
          </c:val>
          <c:extLst>
            <c:ext xmlns:c16="http://schemas.microsoft.com/office/drawing/2014/chart" uri="{C3380CC4-5D6E-409C-BE32-E72D297353CC}">
              <c16:uniqueId val="{00000000-7A92-42B5-ADB0-86E82F2134F5}"/>
            </c:ext>
          </c:extLst>
        </c:ser>
        <c:ser>
          <c:idx val="1"/>
          <c:order val="1"/>
          <c:tx>
            <c:strRef>
              <c:f>Figurer!$N$133</c:f>
              <c:strCache>
                <c:ptCount val="1"/>
                <c:pt idx="0">
                  <c:v>2018</c:v>
                </c:pt>
              </c:strCache>
            </c:strRef>
          </c:tx>
          <c:spPr>
            <a:solidFill>
              <a:schemeClr val="accent2"/>
            </a:solidFill>
            <a:ln>
              <a:noFill/>
            </a:ln>
            <a:effectLst/>
          </c:spPr>
          <c:invertIfNegative val="0"/>
          <c:cat>
            <c:strRef>
              <c:f>Figurer!$L$134:$L$142</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Figurer!$N$134:$N$142</c:f>
              <c:numCache>
                <c:formatCode>#,##0</c:formatCode>
                <c:ptCount val="9"/>
                <c:pt idx="0">
                  <c:v>-62184.46100000001</c:v>
                </c:pt>
                <c:pt idx="1">
                  <c:v>-846689</c:v>
                </c:pt>
                <c:pt idx="2">
                  <c:v>-35262.409</c:v>
                </c:pt>
                <c:pt idx="3">
                  <c:v>136390</c:v>
                </c:pt>
                <c:pt idx="4">
                  <c:v>98497</c:v>
                </c:pt>
                <c:pt idx="5">
                  <c:v>-60654.12293000007</c:v>
                </c:pt>
                <c:pt idx="6">
                  <c:v>41666</c:v>
                </c:pt>
                <c:pt idx="7">
                  <c:v>977355.9649599999</c:v>
                </c:pt>
                <c:pt idx="8">
                  <c:v>-498335.65299999993</c:v>
                </c:pt>
              </c:numCache>
            </c:numRef>
          </c:val>
          <c:extLst>
            <c:ext xmlns:c16="http://schemas.microsoft.com/office/drawing/2014/chart" uri="{C3380CC4-5D6E-409C-BE32-E72D297353CC}">
              <c16:uniqueId val="{00000001-7A92-42B5-ADB0-86E82F2134F5}"/>
            </c:ext>
          </c:extLst>
        </c:ser>
        <c:dLbls>
          <c:showLegendKey val="0"/>
          <c:showVal val="0"/>
          <c:showCatName val="0"/>
          <c:showSerName val="0"/>
          <c:showPercent val="0"/>
          <c:showBubbleSize val="0"/>
        </c:dLbls>
        <c:gapWidth val="219"/>
        <c:overlap val="-27"/>
        <c:axId val="905657520"/>
        <c:axId val="905659816"/>
      </c:barChart>
      <c:catAx>
        <c:axId val="905657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905659816"/>
        <c:crosses val="autoZero"/>
        <c:auto val="1"/>
        <c:lblAlgn val="ctr"/>
        <c:lblOffset val="100"/>
        <c:noMultiLvlLbl val="0"/>
      </c:catAx>
      <c:valAx>
        <c:axId val="9056598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i 1000 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crossAx val="90565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2018 </a:t>
          </a:r>
          <a:r>
            <a:rPr lang="nb-NO" sz="1100" b="0">
              <a:effectLst/>
              <a:latin typeface="Arial"/>
              <a:ea typeface="ＭＳ 明朝"/>
              <a:cs typeface="Times New Roman"/>
            </a:rPr>
            <a:t>(01.06.2018)</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74082</xdr:colOff>
      <xdr:row>6</xdr:row>
      <xdr:rowOff>25399</xdr:rowOff>
    </xdr:from>
    <xdr:to>
      <xdr:col>9</xdr:col>
      <xdr:colOff>338665</xdr:colOff>
      <xdr:row>26</xdr:row>
      <xdr:rowOff>52917</xdr:rowOff>
    </xdr:to>
    <xdr:graphicFrame macro="">
      <xdr:nvGraphicFramePr>
        <xdr:cNvPr id="4" name="Diagram 3">
          <a:extLst>
            <a:ext uri="{FF2B5EF4-FFF2-40B4-BE49-F238E27FC236}">
              <a16:creationId xmlns:a16="http://schemas.microsoft.com/office/drawing/2014/main" id="{3404C801-B56F-4F16-BDCB-5D28431724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84667</xdr:colOff>
      <xdr:row>30</xdr:row>
      <xdr:rowOff>226482</xdr:rowOff>
    </xdr:from>
    <xdr:to>
      <xdr:col>9</xdr:col>
      <xdr:colOff>322790</xdr:colOff>
      <xdr:row>50</xdr:row>
      <xdr:rowOff>148166</xdr:rowOff>
    </xdr:to>
    <xdr:graphicFrame macro="">
      <xdr:nvGraphicFramePr>
        <xdr:cNvPr id="5" name="Diagram 4">
          <a:extLst>
            <a:ext uri="{FF2B5EF4-FFF2-40B4-BE49-F238E27FC236}">
              <a16:creationId xmlns:a16="http://schemas.microsoft.com/office/drawing/2014/main" id="{9181AB5C-6F29-4B8F-BFE4-C7008CBA3D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74083</xdr:colOff>
      <xdr:row>56</xdr:row>
      <xdr:rowOff>232833</xdr:rowOff>
    </xdr:from>
    <xdr:to>
      <xdr:col>9</xdr:col>
      <xdr:colOff>317500</xdr:colOff>
      <xdr:row>74</xdr:row>
      <xdr:rowOff>179916</xdr:rowOff>
    </xdr:to>
    <xdr:graphicFrame macro="">
      <xdr:nvGraphicFramePr>
        <xdr:cNvPr id="10" name="Diagram 9">
          <a:extLst>
            <a:ext uri="{FF2B5EF4-FFF2-40B4-BE49-F238E27FC236}">
              <a16:creationId xmlns:a16="http://schemas.microsoft.com/office/drawing/2014/main" id="{5F7FD8D0-FE49-43C7-8743-F78B6CED7C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74084</xdr:colOff>
      <xdr:row>82</xdr:row>
      <xdr:rowOff>57149</xdr:rowOff>
    </xdr:from>
    <xdr:to>
      <xdr:col>9</xdr:col>
      <xdr:colOff>132292</xdr:colOff>
      <xdr:row>102</xdr:row>
      <xdr:rowOff>127000</xdr:rowOff>
    </xdr:to>
    <xdr:graphicFrame macro="">
      <xdr:nvGraphicFramePr>
        <xdr:cNvPr id="11" name="Diagram 10">
          <a:extLst>
            <a:ext uri="{FF2B5EF4-FFF2-40B4-BE49-F238E27FC236}">
              <a16:creationId xmlns:a16="http://schemas.microsoft.com/office/drawing/2014/main" id="{1C7ED226-F1DF-4D68-A8D7-51C539C83B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105833</xdr:colOff>
      <xdr:row>109</xdr:row>
      <xdr:rowOff>52916</xdr:rowOff>
    </xdr:from>
    <xdr:to>
      <xdr:col>9</xdr:col>
      <xdr:colOff>190500</xdr:colOff>
      <xdr:row>126</xdr:row>
      <xdr:rowOff>190500</xdr:rowOff>
    </xdr:to>
    <xdr:graphicFrame macro="">
      <xdr:nvGraphicFramePr>
        <xdr:cNvPr id="12" name="Diagram 11">
          <a:extLst>
            <a:ext uri="{FF2B5EF4-FFF2-40B4-BE49-F238E27FC236}">
              <a16:creationId xmlns:a16="http://schemas.microsoft.com/office/drawing/2014/main" id="{4569403C-FCBE-44A7-984B-611745DD24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105833</xdr:colOff>
      <xdr:row>134</xdr:row>
      <xdr:rowOff>63499</xdr:rowOff>
    </xdr:from>
    <xdr:to>
      <xdr:col>9</xdr:col>
      <xdr:colOff>158750</xdr:colOff>
      <xdr:row>153</xdr:row>
      <xdr:rowOff>126999</xdr:rowOff>
    </xdr:to>
    <xdr:graphicFrame macro="">
      <xdr:nvGraphicFramePr>
        <xdr:cNvPr id="13" name="Diagram 12">
          <a:extLst>
            <a:ext uri="{FF2B5EF4-FFF2-40B4-BE49-F238E27FC236}">
              <a16:creationId xmlns:a16="http://schemas.microsoft.com/office/drawing/2014/main" id="{C54A775E-087C-4598-8E95-8C46049C90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Times New Roman" panose="02020603050405020304" pitchFamily="18" charset="0"/>
              <a:ea typeface="+mn-ea"/>
              <a:cs typeface="Times New Roman" panose="02020603050405020304" pitchFamily="18" charset="0"/>
            </a:rPr>
            <a:t>Fra og med 1. kvartal 2018 innrapporteres</a:t>
          </a:r>
          <a:r>
            <a:rPr lang="nb-NO" sz="1100" baseline="0">
              <a:solidFill>
                <a:schemeClr val="dk1"/>
              </a:solidFill>
              <a:effectLst/>
              <a:latin typeface="Times New Roman" panose="02020603050405020304" pitchFamily="18" charset="0"/>
              <a:ea typeface="+mn-ea"/>
              <a:cs typeface="Times New Roman" panose="02020603050405020304" pitchFamily="18" charset="0"/>
            </a:rPr>
            <a:t> </a:t>
          </a:r>
          <a:r>
            <a:rPr lang="nb-NO" sz="1100">
              <a:solidFill>
                <a:schemeClr val="dk1"/>
              </a:solidFill>
              <a:effectLst/>
              <a:latin typeface="Times New Roman" panose="02020603050405020304" pitchFamily="18" charset="0"/>
              <a:ea typeface="+mn-ea"/>
              <a:cs typeface="Times New Roman" panose="02020603050405020304" pitchFamily="18" charset="0"/>
            </a:rPr>
            <a:t>tall for de ulike produktene under Individuell pensjon.</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ACE European Group:</a:t>
          </a:r>
          <a:endParaRPr lang="en-US">
            <a:effectLst/>
          </a:endParaRPr>
        </a:p>
        <a:p>
          <a:pPr rtl="0" eaLnBrk="1" fontAlgn="auto" latinLnBrk="0" hangingPunct="1"/>
          <a:r>
            <a:rPr lang="nb-NO" sz="1100">
              <a:solidFill>
                <a:schemeClr val="dk1"/>
              </a:solidFill>
              <a:effectLst/>
              <a:latin typeface="+mn-lt"/>
              <a:ea typeface="+mn-ea"/>
              <a:cs typeface="+mn-cs"/>
            </a:rPr>
            <a:t>Har ikke levert data.</a:t>
          </a:r>
        </a:p>
        <a:p>
          <a:endParaRPr lang="nb-NO" sz="1100">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FA/Statistikk%20og%20analyse/Livstatistikk/Faste%20statistikker/MA/2018/Q1/Utkast%20Statistikk%20MA%201%20kvartal%202018%20-%20lagt%20inn%20godkjente%20t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 val="Oppslag"/>
      <sheetName val="Utkast Statistikk MA 1 kvarta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
          <cell r="B2">
            <v>1</v>
          </cell>
        </row>
      </sheetData>
      <sheetData sheetId="9" refreshError="1"/>
    </sheetDataSet>
  </externalBook>
</externalLink>
</file>

<file path=xl/tables/table1.xml><?xml version="1.0" encoding="utf-8"?>
<table xmlns="http://schemas.openxmlformats.org/spreadsheetml/2006/main" id="5" name="Parametere" displayName="Parametere" ref="A1:B2" totalsRowShown="0">
  <autoFilter ref="A1:B2"/>
  <tableColumns count="2">
    <tableColumn id="1" name="År"/>
    <tableColumn id="2" name="Kvartal"/>
  </tableColumns>
  <tableStyleInfo name="TableStyleMedium9" showFirstColumn="0" showLastColumn="0" showRowStripes="1" showColumnStripes="0"/>
</table>
</file>

<file path=xl/tables/table2.xml><?xml version="1.0" encoding="utf-8"?>
<table xmlns="http://schemas.openxmlformats.org/spreadsheetml/2006/main" id="4" name="Tabell4" displayName="Tabell4" ref="K1:L7" totalsRowShown="0">
  <autoFilter ref="K1:L7"/>
  <tableColumns count="2">
    <tableColumn id="1" name="Kolonne"/>
    <tableColumn id="2" name="Fratrekk"/>
  </tableColumns>
  <tableStyleInfo name="TableStyleMedium9" showFirstColumn="0" showLastColumn="0" showRowStripes="1" showColumnStripes="0"/>
</table>
</file>

<file path=xl/tables/table3.xml><?xml version="1.0" encoding="utf-8"?>
<table xmlns="http://schemas.openxmlformats.org/spreadsheetml/2006/main" id="2" name="Tabell2" displayName="Tabell2" ref="H1:I13" totalsRowShown="0" headerRowDxfId="7" dataDxfId="6">
  <autoFilter ref="H1:I13"/>
  <tableColumns count="2">
    <tableColumn id="1" name="Mnd" dataDxfId="5"/>
    <tableColumn id="2" name="Dager" dataDxfId="4"/>
  </tableColumns>
  <tableStyleInfo name="TableStyleMedium12" showFirstColumn="0" showLastColumn="0" showRowStripes="1" showColumnStripes="0"/>
</table>
</file>

<file path=xl/tables/table4.xml><?xml version="1.0" encoding="utf-8"?>
<table xmlns="http://schemas.openxmlformats.org/spreadsheetml/2006/main" id="1" name="Tabell1" displayName="Tabell1" ref="D1:F36" totalsRowShown="0" headerRowDxfId="3" headerRowCellStyle="Normal 3">
  <autoFilter ref="D1:F36"/>
  <tableColumns count="3">
    <tableColumn id="1" name="selskap_id" dataDxfId="2" dataCellStyle="Normal 3"/>
    <tableColumn id="2" name="sortering" dataDxfId="1" dataCellStyle="Normal 3"/>
    <tableColumn id="3" name="selskap_navn"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Finans Norge - fra pp">
      <a:dk1>
        <a:sysClr val="windowText" lastClr="000000"/>
      </a:dk1>
      <a:lt1>
        <a:sysClr val="window" lastClr="FFFFFF"/>
      </a:lt1>
      <a:dk2>
        <a:srgbClr val="3B6E8F"/>
      </a:dk2>
      <a:lt2>
        <a:srgbClr val="D8D9DA"/>
      </a:lt2>
      <a:accent1>
        <a:srgbClr val="3B6E8F"/>
      </a:accent1>
      <a:accent2>
        <a:srgbClr val="6F2671"/>
      </a:accent2>
      <a:accent3>
        <a:srgbClr val="A0CF67"/>
      </a:accent3>
      <a:accent4>
        <a:srgbClr val="80A1B6"/>
      </a:accent4>
      <a:accent5>
        <a:srgbClr val="B51E3A"/>
      </a:accent5>
      <a:accent6>
        <a:srgbClr val="D8D9DA"/>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8.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28" workbookViewId="0">
      <selection activeCell="K62" sqref="K62"/>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30"/>
      <c r="C43" s="730"/>
      <c r="D43" s="730"/>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8" x14ac:dyDescent="0.2">
      <c r="A1" s="189" t="s">
        <v>217</v>
      </c>
      <c r="B1" s="722"/>
      <c r="C1" s="265" t="s">
        <v>143</v>
      </c>
      <c r="D1" s="26"/>
      <c r="E1" s="26"/>
      <c r="F1" s="26"/>
      <c r="G1" s="26"/>
      <c r="H1" s="26"/>
      <c r="I1" s="26"/>
      <c r="J1" s="26"/>
      <c r="K1" s="26"/>
      <c r="L1" s="26"/>
      <c r="M1" s="26"/>
      <c r="O1" s="462"/>
    </row>
    <row r="2" spans="1:18" ht="15.75" x14ac:dyDescent="0.25">
      <c r="A2" s="182" t="s">
        <v>29</v>
      </c>
      <c r="B2" s="755"/>
      <c r="C2" s="755"/>
      <c r="D2" s="755"/>
      <c r="E2" s="334"/>
      <c r="F2" s="755"/>
      <c r="G2" s="755"/>
      <c r="H2" s="755"/>
      <c r="I2" s="334"/>
      <c r="J2" s="755"/>
      <c r="K2" s="755"/>
      <c r="L2" s="755"/>
      <c r="M2" s="334"/>
    </row>
    <row r="3" spans="1:18" ht="15.75" x14ac:dyDescent="0.25">
      <c r="A3" s="180"/>
      <c r="B3" s="334"/>
      <c r="C3" s="334"/>
      <c r="D3" s="334"/>
      <c r="E3" s="334"/>
      <c r="F3" s="334"/>
      <c r="G3" s="334"/>
      <c r="H3" s="334"/>
      <c r="I3" s="334"/>
      <c r="J3" s="334"/>
      <c r="K3" s="334"/>
      <c r="L3" s="334"/>
      <c r="M3" s="334"/>
    </row>
    <row r="4" spans="1:18" x14ac:dyDescent="0.2">
      <c r="A4" s="161"/>
      <c r="B4" s="752" t="s">
        <v>0</v>
      </c>
      <c r="C4" s="753"/>
      <c r="D4" s="753"/>
      <c r="E4" s="336"/>
      <c r="F4" s="752" t="s">
        <v>1</v>
      </c>
      <c r="G4" s="753"/>
      <c r="H4" s="753"/>
      <c r="I4" s="339"/>
      <c r="J4" s="752" t="s">
        <v>2</v>
      </c>
      <c r="K4" s="753"/>
      <c r="L4" s="753"/>
      <c r="M4" s="339"/>
    </row>
    <row r="5" spans="1:18"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8" x14ac:dyDescent="0.2">
      <c r="A6" s="723"/>
      <c r="B6" s="173"/>
      <c r="C6" s="173"/>
      <c r="D6" s="263" t="s">
        <v>4</v>
      </c>
      <c r="E6" s="173" t="s">
        <v>31</v>
      </c>
      <c r="F6" s="178"/>
      <c r="G6" s="178"/>
      <c r="H6" s="261" t="s">
        <v>4</v>
      </c>
      <c r="I6" s="173" t="s">
        <v>31</v>
      </c>
      <c r="J6" s="178"/>
      <c r="K6" s="178"/>
      <c r="L6" s="261" t="s">
        <v>4</v>
      </c>
      <c r="M6" s="173" t="s">
        <v>31</v>
      </c>
    </row>
    <row r="7" spans="1:18" ht="15.75" x14ac:dyDescent="0.2">
      <c r="A7" s="14" t="s">
        <v>24</v>
      </c>
      <c r="B7" s="342">
        <v>267705</v>
      </c>
      <c r="C7" s="343">
        <v>190512</v>
      </c>
      <c r="D7" s="384">
        <f>IF(B7=0, "    ---- ", IF(ABS(ROUND(100/B7*C7-100,1))&lt;999,ROUND(100/B7*C7-100,1),IF(ROUND(100/B7*C7-100,1)&gt;999,999,-999)))</f>
        <v>-28.8</v>
      </c>
      <c r="E7" s="11">
        <f>IFERROR(100/'Skjema total MA'!C7*C7,0)</f>
        <v>11.546652631149119</v>
      </c>
      <c r="F7" s="342">
        <v>232308</v>
      </c>
      <c r="G7" s="343">
        <v>152756</v>
      </c>
      <c r="H7" s="384">
        <f>IF(F7=0, "    ---- ", IF(ABS(ROUND(100/F7*G7-100,1))&lt;999,ROUND(100/F7*G7-100,1),IF(ROUND(100/F7*G7-100,1)&gt;999,999,-999)))</f>
        <v>-34.200000000000003</v>
      </c>
      <c r="I7" s="177">
        <f>IFERROR(100/'Skjema total MA'!F7*G7,0)</f>
        <v>7.4994331631262874</v>
      </c>
      <c r="J7" s="344">
        <v>500013</v>
      </c>
      <c r="K7" s="345">
        <v>343268</v>
      </c>
      <c r="L7" s="463">
        <f>IF(J7=0, "    ---- ", IF(ABS(ROUND(100/J7*K7-100,1))&lt;999,ROUND(100/J7*K7-100,1),IF(ROUND(100/J7*K7-100,1)&gt;999,999,-999)))</f>
        <v>-31.3</v>
      </c>
      <c r="M7" s="11">
        <f>IFERROR(100/'Skjema total MA'!I7*K7,0)</f>
        <v>9.310645991932688</v>
      </c>
    </row>
    <row r="8" spans="1:18" ht="15.75" x14ac:dyDescent="0.2">
      <c r="A8" s="21" t="s">
        <v>26</v>
      </c>
      <c r="B8" s="316">
        <v>135034</v>
      </c>
      <c r="C8" s="317">
        <v>133794</v>
      </c>
      <c r="D8" s="183">
        <f t="shared" ref="D8:D12" si="0">IF(B8=0, "    ---- ", IF(ABS(ROUND(100/B8*C8-100,1))&lt;999,ROUND(100/B8*C8-100,1),IF(ROUND(100/B8*C8-100,1)&gt;999,999,-999)))</f>
        <v>-0.9</v>
      </c>
      <c r="E8" s="27">
        <f>IFERROR(100/'Skjema total MA'!C8*C8,0)</f>
        <v>13.074308233114431</v>
      </c>
      <c r="F8" s="320"/>
      <c r="G8" s="321"/>
      <c r="H8" s="183"/>
      <c r="I8" s="193"/>
      <c r="J8" s="250">
        <v>135034</v>
      </c>
      <c r="K8" s="322">
        <v>133794</v>
      </c>
      <c r="L8" s="183">
        <f t="shared" ref="L8:L9" si="1">IF(J8=0, "    ---- ", IF(ABS(ROUND(100/J8*K8-100,1))&lt;999,ROUND(100/J8*K8-100,1),IF(ROUND(100/J8*K8-100,1)&gt;999,999,-999)))</f>
        <v>-0.9</v>
      </c>
      <c r="M8" s="27">
        <f>IFERROR(100/'Skjema total MA'!I8*K8,0)</f>
        <v>13.074308233114431</v>
      </c>
    </row>
    <row r="9" spans="1:18" ht="15.75" x14ac:dyDescent="0.2">
      <c r="A9" s="21" t="s">
        <v>25</v>
      </c>
      <c r="B9" s="316">
        <v>57569.779000000002</v>
      </c>
      <c r="C9" s="317">
        <v>56718</v>
      </c>
      <c r="D9" s="183">
        <f t="shared" si="0"/>
        <v>-1.5</v>
      </c>
      <c r="E9" s="27">
        <f>IFERROR(100/'Skjema total MA'!C9*C9,0)</f>
        <v>10.937156422979704</v>
      </c>
      <c r="F9" s="320"/>
      <c r="G9" s="321"/>
      <c r="H9" s="183"/>
      <c r="I9" s="193"/>
      <c r="J9" s="250">
        <v>57569.779000000002</v>
      </c>
      <c r="K9" s="322">
        <v>56718</v>
      </c>
      <c r="L9" s="183">
        <f t="shared" si="1"/>
        <v>-1.5</v>
      </c>
      <c r="M9" s="27">
        <f>IFERROR(100/'Skjema total MA'!I9*K9,0)</f>
        <v>10.937156422979704</v>
      </c>
    </row>
    <row r="10" spans="1:18" ht="15.75" x14ac:dyDescent="0.2">
      <c r="A10" s="13" t="s">
        <v>466</v>
      </c>
      <c r="B10" s="346">
        <v>17079162</v>
      </c>
      <c r="C10" s="347">
        <v>15278478</v>
      </c>
      <c r="D10" s="188">
        <f t="shared" si="0"/>
        <v>-10.5</v>
      </c>
      <c r="E10" s="11">
        <f>IFERROR(100/'Skjema total MA'!C10*C10,0)</f>
        <v>69.654463825058244</v>
      </c>
      <c r="F10" s="346">
        <v>5432448</v>
      </c>
      <c r="G10" s="347">
        <v>5730168</v>
      </c>
      <c r="H10" s="188">
        <f t="shared" ref="H10:H12" si="2">IF(F10=0, "    ---- ", IF(ABS(ROUND(100/F10*G10-100,1))&lt;999,ROUND(100/F10*G10-100,1),IF(ROUND(100/F10*G10-100,1)&gt;999,999,-999)))</f>
        <v>5.5</v>
      </c>
      <c r="I10" s="177">
        <f>IFERROR(100/'Skjema total MA'!F10*G10,0)</f>
        <v>13.749837094955243</v>
      </c>
      <c r="J10" s="344">
        <v>22511610</v>
      </c>
      <c r="K10" s="345">
        <v>21008646</v>
      </c>
      <c r="L10" s="464">
        <f t="shared" ref="L10:L12" si="3">IF(J10=0, "    ---- ", IF(ABS(ROUND(100/J10*K10-100,1))&lt;999,ROUND(100/J10*K10-100,1),IF(ROUND(100/J10*K10-100,1)&gt;999,999,-999)))</f>
        <v>-6.7</v>
      </c>
      <c r="M10" s="11">
        <f>IFERROR(100/'Skjema total MA'!I10*K10,0)</f>
        <v>33.027729024074098</v>
      </c>
      <c r="R10" s="166"/>
    </row>
    <row r="11" spans="1:18" s="43" customFormat="1" ht="15.75" x14ac:dyDescent="0.2">
      <c r="A11" s="13" t="s">
        <v>467</v>
      </c>
      <c r="B11" s="346">
        <v>5601</v>
      </c>
      <c r="C11" s="347">
        <v>2968</v>
      </c>
      <c r="D11" s="188">
        <f t="shared" si="0"/>
        <v>-47</v>
      </c>
      <c r="E11" s="11">
        <f>IFERROR(100/'Skjema total MA'!C11*C11,0)</f>
        <v>99.999999999999986</v>
      </c>
      <c r="F11" s="346">
        <v>21836</v>
      </c>
      <c r="G11" s="347">
        <v>7815</v>
      </c>
      <c r="H11" s="188">
        <f t="shared" si="2"/>
        <v>-64.2</v>
      </c>
      <c r="I11" s="177">
        <f>IFERROR(100/'Skjema total MA'!F11*G11,0)</f>
        <v>14.894745565740616</v>
      </c>
      <c r="J11" s="344">
        <v>27437</v>
      </c>
      <c r="K11" s="345">
        <v>10783</v>
      </c>
      <c r="L11" s="464">
        <f t="shared" si="3"/>
        <v>-60.7</v>
      </c>
      <c r="M11" s="11">
        <f>IFERROR(100/'Skjema total MA'!I11*K11,0)</f>
        <v>19.451200460564309</v>
      </c>
      <c r="N11" s="160"/>
      <c r="O11" s="165"/>
    </row>
    <row r="12" spans="1:18" s="43" customFormat="1" ht="15.75" x14ac:dyDescent="0.2">
      <c r="A12" s="41" t="s">
        <v>468</v>
      </c>
      <c r="B12" s="348">
        <v>743</v>
      </c>
      <c r="C12" s="349">
        <v>-21</v>
      </c>
      <c r="D12" s="186">
        <f t="shared" si="0"/>
        <v>-102.8</v>
      </c>
      <c r="E12" s="36">
        <f>IFERROR(100/'Skjema total MA'!C12*C12,0)</f>
        <v>100</v>
      </c>
      <c r="F12" s="348">
        <v>7549</v>
      </c>
      <c r="G12" s="349">
        <v>16182</v>
      </c>
      <c r="H12" s="186">
        <f t="shared" si="2"/>
        <v>114.4</v>
      </c>
      <c r="I12" s="186">
        <f>IFERROR(100/'Skjema total MA'!F12*G12,0)</f>
        <v>26.432425355363709</v>
      </c>
      <c r="J12" s="350">
        <v>8292</v>
      </c>
      <c r="K12" s="351">
        <v>16161</v>
      </c>
      <c r="L12" s="465">
        <f t="shared" si="3"/>
        <v>94.9</v>
      </c>
      <c r="M12" s="36">
        <f>IFERROR(100/'Skjema total MA'!I12*K12,0)</f>
        <v>26.407181275249819</v>
      </c>
      <c r="N12" s="160"/>
      <c r="O12" s="165"/>
      <c r="R12" s="160"/>
    </row>
    <row r="13" spans="1:18" s="43" customFormat="1" x14ac:dyDescent="0.2">
      <c r="A13" s="185"/>
      <c r="B13" s="162"/>
      <c r="C13" s="33"/>
      <c r="D13" s="176"/>
      <c r="E13" s="176"/>
      <c r="F13" s="162"/>
      <c r="G13" s="33"/>
      <c r="H13" s="176"/>
      <c r="I13" s="176"/>
      <c r="J13" s="48"/>
      <c r="K13" s="48"/>
      <c r="L13" s="176"/>
      <c r="M13" s="176"/>
      <c r="N13" s="160"/>
      <c r="O13" s="462"/>
    </row>
    <row r="14" spans="1:18" x14ac:dyDescent="0.2">
      <c r="A14" s="170" t="s">
        <v>365</v>
      </c>
      <c r="B14" s="26"/>
    </row>
    <row r="15" spans="1:18" x14ac:dyDescent="0.2">
      <c r="F15" s="163"/>
      <c r="G15" s="163"/>
      <c r="H15" s="163"/>
      <c r="I15" s="163"/>
      <c r="J15" s="163"/>
      <c r="K15" s="163"/>
      <c r="L15" s="163"/>
      <c r="M15" s="163"/>
    </row>
    <row r="16" spans="1:18"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216354</v>
      </c>
      <c r="C22" s="352">
        <v>79321</v>
      </c>
      <c r="D22" s="384">
        <f t="shared" ref="D22:D38" si="4">IF(B22=0, "    ---- ", IF(ABS(ROUND(100/B22*C22-100,1))&lt;999,ROUND(100/B22*C22-100,1),IF(ROUND(100/B22*C22-100,1)&gt;999,999,-999)))</f>
        <v>-63.3</v>
      </c>
      <c r="E22" s="11">
        <f>IFERROR(100/'Skjema total MA'!C22*C22,0)</f>
        <v>15.704703296435678</v>
      </c>
      <c r="F22" s="352">
        <v>41598</v>
      </c>
      <c r="G22" s="352">
        <v>21993</v>
      </c>
      <c r="H22" s="384">
        <f t="shared" ref="H22:H35" si="5">IF(F22=0, "    ---- ", IF(ABS(ROUND(100/F22*G22-100,1))&lt;999,ROUND(100/F22*G22-100,1),IF(ROUND(100/F22*G22-100,1)&gt;999,999,-999)))</f>
        <v>-47.1</v>
      </c>
      <c r="I22" s="11">
        <f>IFERROR(100/'Skjema total MA'!F22*G22,0)</f>
        <v>7.4563296829278318</v>
      </c>
      <c r="J22" s="352">
        <f t="shared" ref="J22:K35" si="6">SUM(B22,F22)</f>
        <v>257952</v>
      </c>
      <c r="K22" s="352">
        <f t="shared" si="6"/>
        <v>101314</v>
      </c>
      <c r="L22" s="463">
        <f t="shared" ref="L22:L38" si="7">IF(J22=0, "    ---- ", IF(ABS(ROUND(100/J22*K22-100,1))&lt;999,ROUND(100/J22*K22-100,1),IF(ROUND(100/J22*K22-100,1)&gt;999,999,-999)))</f>
        <v>-60.7</v>
      </c>
      <c r="M22" s="24">
        <f>IFERROR(100/'Skjema total MA'!I22*K22,0)</f>
        <v>12.663688950883689</v>
      </c>
    </row>
    <row r="23" spans="1:15" ht="15.75" x14ac:dyDescent="0.2">
      <c r="A23" s="49" t="s">
        <v>469</v>
      </c>
      <c r="B23" s="44"/>
      <c r="C23" s="322">
        <v>74728</v>
      </c>
      <c r="D23" s="183" t="str">
        <f t="shared" ref="D23:D25" si="8">IF(B23=0, "    ---- ", IF(ABS(ROUND(100/B23*C23-100,1))&lt;999,ROUND(100/B23*C23-100,1),IF(ROUND(100/B23*C23-100,1)&gt;999,999,-999)))</f>
        <v xml:space="preserve">    ---- </v>
      </c>
      <c r="E23" s="27">
        <f>IFERROR(100/'Skjema total MA'!C23*C23,0)</f>
        <v>31.389042604398899</v>
      </c>
      <c r="F23" s="250"/>
      <c r="G23" s="322">
        <v>18797.054773305401</v>
      </c>
      <c r="H23" s="183" t="str">
        <f t="shared" ref="H23:H25" si="9">IF(F23=0, "    ---- ", IF(ABS(ROUND(100/F23*G23-100,1))&lt;999,ROUND(100/F23*G23-100,1),IF(ROUND(100/F23*G23-100,1)&gt;999,999,-999)))</f>
        <v xml:space="preserve">    ---- </v>
      </c>
      <c r="I23" s="27">
        <f>IFERROR(100/'Skjema total MA'!F23*G23,0)</f>
        <v>36.549649941925075</v>
      </c>
      <c r="J23" s="44"/>
      <c r="K23" s="44">
        <f t="shared" ref="K23:K25" si="10">SUM(C23,G23)</f>
        <v>93525.054773305397</v>
      </c>
      <c r="L23" s="274" t="str">
        <f t="shared" ref="L23:L25" si="11">IF(J23=0, "    ---- ", IF(ABS(ROUND(100/J23*K23-100,1))&lt;999,ROUND(100/J23*K23-100,1),IF(ROUND(100/J23*K23-100,1)&gt;999,999,-999)))</f>
        <v xml:space="preserve">    ---- </v>
      </c>
      <c r="M23" s="23">
        <f>IFERROR(100/'Skjema total MA'!I23*K23,0)</f>
        <v>32.305811965224493</v>
      </c>
    </row>
    <row r="24" spans="1:15" ht="15.75" x14ac:dyDescent="0.2">
      <c r="A24" s="49" t="s">
        <v>470</v>
      </c>
      <c r="B24" s="44"/>
      <c r="C24" s="322"/>
      <c r="D24" s="183"/>
      <c r="E24" s="27"/>
      <c r="F24" s="250"/>
      <c r="G24" s="322">
        <v>110.573814155319</v>
      </c>
      <c r="H24" s="183" t="str">
        <f t="shared" si="9"/>
        <v xml:space="preserve">    ---- </v>
      </c>
      <c r="I24" s="27">
        <f>IFERROR(100/'Skjema total MA'!F24*G24,0)</f>
        <v>1.0836810455657442</v>
      </c>
      <c r="J24" s="44"/>
      <c r="K24" s="44">
        <f t="shared" si="10"/>
        <v>110.573814155319</v>
      </c>
      <c r="L24" s="274" t="str">
        <f t="shared" si="11"/>
        <v xml:space="preserve">    ---- </v>
      </c>
      <c r="M24" s="23">
        <f>IFERROR(100/'Skjema total MA'!I24*K24,0)</f>
        <v>0.85174998862961127</v>
      </c>
    </row>
    <row r="25" spans="1:15" ht="15.75" x14ac:dyDescent="0.2">
      <c r="A25" s="49" t="s">
        <v>471</v>
      </c>
      <c r="B25" s="44"/>
      <c r="C25" s="322">
        <v>4592</v>
      </c>
      <c r="D25" s="183" t="str">
        <f t="shared" si="8"/>
        <v xml:space="preserve">    ---- </v>
      </c>
      <c r="E25" s="27">
        <f>IFERROR(100/'Skjema total MA'!C25*C25,0)</f>
        <v>89.282068730860829</v>
      </c>
      <c r="F25" s="250"/>
      <c r="G25" s="322">
        <v>3085.3714125392798</v>
      </c>
      <c r="H25" s="183" t="str">
        <f t="shared" si="9"/>
        <v xml:space="preserve">    ---- </v>
      </c>
      <c r="I25" s="27">
        <f>IFERROR(100/'Skjema total MA'!F25*G25,0)</f>
        <v>11.30925323782645</v>
      </c>
      <c r="J25" s="44"/>
      <c r="K25" s="44">
        <f t="shared" si="10"/>
        <v>7677.3714125392798</v>
      </c>
      <c r="L25" s="274" t="str">
        <f t="shared" si="11"/>
        <v xml:space="preserve">    ---- </v>
      </c>
      <c r="M25" s="23">
        <f>IFERROR(100/'Skjema total MA'!I25*K25,0)</f>
        <v>23.677261726969132</v>
      </c>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v>186895.44399999999</v>
      </c>
      <c r="C28" s="322">
        <v>197613</v>
      </c>
      <c r="D28" s="183">
        <f t="shared" si="4"/>
        <v>5.7</v>
      </c>
      <c r="E28" s="27">
        <f>IFERROR(100/'Skjema total MA'!C28*C28,0)</f>
        <v>27.92117697075982</v>
      </c>
      <c r="F28" s="250"/>
      <c r="G28" s="322"/>
      <c r="H28" s="183"/>
      <c r="I28" s="27"/>
      <c r="J28" s="44">
        <f t="shared" si="6"/>
        <v>186895.44399999999</v>
      </c>
      <c r="K28" s="44">
        <f t="shared" si="6"/>
        <v>197613</v>
      </c>
      <c r="L28" s="274">
        <f t="shared" si="7"/>
        <v>5.7</v>
      </c>
      <c r="M28" s="23">
        <f>IFERROR(100/'Skjema total MA'!I28*K28,0)</f>
        <v>27.92117697075982</v>
      </c>
    </row>
    <row r="29" spans="1:15" s="3" customFormat="1" ht="15.75" x14ac:dyDescent="0.2">
      <c r="A29" s="13" t="s">
        <v>23</v>
      </c>
      <c r="B29" s="252">
        <v>28508290</v>
      </c>
      <c r="C29" s="252">
        <v>27366508</v>
      </c>
      <c r="D29" s="188">
        <f t="shared" si="4"/>
        <v>-4</v>
      </c>
      <c r="E29" s="11">
        <f>IFERROR(100/'Skjema total MA'!C29*C29,0)</f>
        <v>55.328600016643286</v>
      </c>
      <c r="F29" s="252">
        <v>5659931</v>
      </c>
      <c r="G29" s="252">
        <v>5569600</v>
      </c>
      <c r="H29" s="188">
        <f t="shared" si="5"/>
        <v>-1.6</v>
      </c>
      <c r="I29" s="11">
        <f>IFERROR(100/'Skjema total MA'!F29*G29,0)</f>
        <v>27.85042912101456</v>
      </c>
      <c r="J29" s="252">
        <f t="shared" si="6"/>
        <v>34168221</v>
      </c>
      <c r="K29" s="252">
        <f t="shared" si="6"/>
        <v>32936108</v>
      </c>
      <c r="L29" s="464">
        <f t="shared" si="7"/>
        <v>-3.6</v>
      </c>
      <c r="M29" s="24">
        <f>IFERROR(100/'Skjema total MA'!I29*K29,0)</f>
        <v>47.417352711393825</v>
      </c>
      <c r="N29" s="165"/>
      <c r="O29" s="165"/>
    </row>
    <row r="30" spans="1:15" s="3" customFormat="1" ht="15.75" x14ac:dyDescent="0.2">
      <c r="A30" s="49" t="s">
        <v>469</v>
      </c>
      <c r="B30" s="44"/>
      <c r="C30" s="322">
        <v>5909146.5507965796</v>
      </c>
      <c r="D30" s="183" t="str">
        <f t="shared" ref="D30" si="12">IF(B30=0, "    ---- ", IF(ABS(ROUND(100/B30*C30-100,1))&lt;999,ROUND(100/B30*C30-100,1),IF(ROUND(100/B30*C30-100,1)&gt;999,999,-999)))</f>
        <v xml:space="preserve">    ---- </v>
      </c>
      <c r="E30" s="27">
        <f>IFERROR(100/'Skjema total MA'!C30*C30,0)</f>
        <v>52.386313514662973</v>
      </c>
      <c r="F30" s="250"/>
      <c r="G30" s="322">
        <v>1838118.8439161</v>
      </c>
      <c r="H30" s="183" t="str">
        <f t="shared" ref="H30" si="13">IF(F30=0, "    ---- ", IF(ABS(ROUND(100/F30*G30-100,1))&lt;999,ROUND(100/F30*G30-100,1),IF(ROUND(100/F30*G30-100,1)&gt;999,999,-999)))</f>
        <v xml:space="preserve">    ---- </v>
      </c>
      <c r="I30" s="27">
        <f>IFERROR(100/'Skjema total MA'!F30*G30,0)</f>
        <v>42.873014065036976</v>
      </c>
      <c r="J30" s="44"/>
      <c r="K30" s="44">
        <f t="shared" ref="K30" si="14">SUM(C30,G30)</f>
        <v>7747265.3947126791</v>
      </c>
      <c r="L30" s="274" t="str">
        <f t="shared" ref="L30" si="15">IF(J30=0, "    ---- ", IF(ABS(ROUND(100/J30*K30-100,1))&lt;999,ROUND(100/J30*K30-100,1),IF(ROUND(100/J30*K30-100,1)&gt;999,999,-999)))</f>
        <v xml:space="preserve">    ---- </v>
      </c>
      <c r="M30" s="23">
        <f>IFERROR(100/'Skjema total MA'!I30*K30,0)</f>
        <v>49.766276352245789</v>
      </c>
      <c r="N30" s="165"/>
      <c r="O30" s="165"/>
    </row>
    <row r="31" spans="1:15" s="3" customFormat="1" ht="15.75" x14ac:dyDescent="0.2">
      <c r="A31" s="49" t="s">
        <v>470</v>
      </c>
      <c r="B31" s="44"/>
      <c r="C31" s="322">
        <v>20418900.620353501</v>
      </c>
      <c r="D31" s="183" t="str">
        <f t="shared" ref="D31:D32" si="16">IF(B31=0, "    ---- ", IF(ABS(ROUND(100/B31*C31-100,1))&lt;999,ROUND(100/B31*C31-100,1),IF(ROUND(100/B31*C31-100,1)&gt;999,999,-999)))</f>
        <v xml:space="preserve">    ---- </v>
      </c>
      <c r="E31" s="27">
        <f>IFERROR(100/'Skjema total MA'!C31*C31,0)</f>
        <v>58.52683755564356</v>
      </c>
      <c r="F31" s="250"/>
      <c r="G31" s="322">
        <v>3365589.03816042</v>
      </c>
      <c r="H31" s="183" t="str">
        <f t="shared" ref="H31:H32" si="17">IF(F31=0, "    ---- ", IF(ABS(ROUND(100/F31*G31-100,1))&lt;999,ROUND(100/F31*G31-100,1),IF(ROUND(100/F31*G31-100,1)&gt;999,999,-999)))</f>
        <v xml:space="preserve">    ---- </v>
      </c>
      <c r="I31" s="27">
        <f>IFERROR(100/'Skjema total MA'!F31*G31,0)</f>
        <v>36.11096371490472</v>
      </c>
      <c r="J31" s="44"/>
      <c r="K31" s="44">
        <f t="shared" ref="K31:K32" si="18">SUM(C31,G31)</f>
        <v>23784489.658513922</v>
      </c>
      <c r="L31" s="274" t="str">
        <f t="shared" ref="L31:L32" si="19">IF(J31=0, "    ---- ", IF(ABS(ROUND(100/J31*K31-100,1))&lt;999,ROUND(100/J31*K31-100,1),IF(ROUND(100/J31*K31-100,1)&gt;999,999,-999)))</f>
        <v xml:space="preserve">    ---- </v>
      </c>
      <c r="M31" s="23">
        <f>IFERROR(100/'Skjema total MA'!I31*K31,0)</f>
        <v>53.801046005484835</v>
      </c>
      <c r="N31" s="165"/>
      <c r="O31" s="165"/>
    </row>
    <row r="32" spans="1:15" ht="15.75" x14ac:dyDescent="0.2">
      <c r="A32" s="49" t="s">
        <v>471</v>
      </c>
      <c r="B32" s="44"/>
      <c r="C32" s="322">
        <v>1038460.8288499099</v>
      </c>
      <c r="D32" s="183" t="str">
        <f t="shared" si="16"/>
        <v xml:space="preserve">    ---- </v>
      </c>
      <c r="E32" s="27">
        <f>IFERROR(100/'Skjema total MA'!C32*C32,0)</f>
        <v>79.035870084965325</v>
      </c>
      <c r="F32" s="250"/>
      <c r="G32" s="322">
        <v>365892.11792348197</v>
      </c>
      <c r="H32" s="183" t="str">
        <f t="shared" si="17"/>
        <v xml:space="preserve">    ---- </v>
      </c>
      <c r="I32" s="27">
        <f>IFERROR(100/'Skjema total MA'!F32*G32,0)</f>
        <v>9.4202496787671048</v>
      </c>
      <c r="J32" s="44"/>
      <c r="K32" s="44">
        <f t="shared" si="18"/>
        <v>1404352.9467733919</v>
      </c>
      <c r="L32" s="274" t="str">
        <f t="shared" si="19"/>
        <v xml:space="preserve">    ---- </v>
      </c>
      <c r="M32" s="23">
        <f>IFERROR(100/'Skjema total MA'!I32*K32,0)</f>
        <v>27.017111509977855</v>
      </c>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v>7917</v>
      </c>
      <c r="C34" s="345">
        <v>5188</v>
      </c>
      <c r="D34" s="188">
        <f t="shared" si="4"/>
        <v>-34.5</v>
      </c>
      <c r="E34" s="11">
        <f>IFERROR(100/'Skjema total MA'!C34*C34,0)</f>
        <v>68.240267953909267</v>
      </c>
      <c r="F34" s="344">
        <v>-26726</v>
      </c>
      <c r="G34" s="345">
        <v>-11912</v>
      </c>
      <c r="H34" s="188">
        <f t="shared" si="5"/>
        <v>-55.4</v>
      </c>
      <c r="I34" s="11">
        <f>IFERROR(100/'Skjema total MA'!F34*G34,0)</f>
        <v>-213.50336747254329</v>
      </c>
      <c r="J34" s="252">
        <f t="shared" si="6"/>
        <v>-18809</v>
      </c>
      <c r="K34" s="252">
        <f t="shared" si="6"/>
        <v>-6724</v>
      </c>
      <c r="L34" s="464">
        <f t="shared" si="7"/>
        <v>-64.3</v>
      </c>
      <c r="M34" s="24">
        <f>IFERROR(100/'Skjema total MA'!I34*K34,0)</f>
        <v>-51.009522836122066</v>
      </c>
    </row>
    <row r="35" spans="1:15" ht="15.75" x14ac:dyDescent="0.2">
      <c r="A35" s="13" t="s">
        <v>468</v>
      </c>
      <c r="B35" s="252">
        <v>-22852</v>
      </c>
      <c r="C35" s="345">
        <v>-10549</v>
      </c>
      <c r="D35" s="188">
        <f t="shared" si="4"/>
        <v>-53.8</v>
      </c>
      <c r="E35" s="11">
        <f>IFERROR(100/'Skjema total MA'!C35*C35,0)</f>
        <v>106.07434329702373</v>
      </c>
      <c r="F35" s="344">
        <v>7401</v>
      </c>
      <c r="G35" s="345">
        <v>11305</v>
      </c>
      <c r="H35" s="188">
        <f t="shared" si="5"/>
        <v>52.7</v>
      </c>
      <c r="I35" s="11">
        <f>IFERROR(100/'Skjema total MA'!F35*G35,0)</f>
        <v>41.60512386815487</v>
      </c>
      <c r="J35" s="252">
        <f t="shared" si="6"/>
        <v>-15451</v>
      </c>
      <c r="K35" s="252">
        <f t="shared" si="6"/>
        <v>756</v>
      </c>
      <c r="L35" s="464">
        <f t="shared" si="7"/>
        <v>-104.9</v>
      </c>
      <c r="M35" s="24">
        <f>IFERROR(100/'Skjema total MA'!I35*K35,0)</f>
        <v>4.3884034055410526</v>
      </c>
    </row>
    <row r="36" spans="1:15" ht="15.75" x14ac:dyDescent="0.2">
      <c r="A36" s="12" t="s">
        <v>374</v>
      </c>
      <c r="B36" s="252">
        <v>1042</v>
      </c>
      <c r="C36" s="345">
        <v>771</v>
      </c>
      <c r="D36" s="188">
        <f t="shared" si="4"/>
        <v>-26</v>
      </c>
      <c r="E36" s="11">
        <f>100/'Skjema total MA'!C36*C36</f>
        <v>95.780799862850841</v>
      </c>
      <c r="F36" s="355"/>
      <c r="G36" s="356"/>
      <c r="H36" s="188"/>
      <c r="I36" s="470">
        <f>IFERROR(100/'Skjema total MA'!F36*G36,0)</f>
        <v>0</v>
      </c>
      <c r="J36" s="252">
        <f t="shared" ref="J36:J38" si="20">SUM(B36,F36)</f>
        <v>1042</v>
      </c>
      <c r="K36" s="252">
        <f t="shared" ref="K36:K38" si="21">SUM(C36,G36)</f>
        <v>771</v>
      </c>
      <c r="L36" s="464">
        <f t="shared" si="7"/>
        <v>-26</v>
      </c>
      <c r="M36" s="24">
        <f>IFERROR(100/'Skjema total MA'!I36*K36,0)</f>
        <v>95.780799862850841</v>
      </c>
    </row>
    <row r="37" spans="1:15" ht="15.75" x14ac:dyDescent="0.2">
      <c r="A37" s="12" t="s">
        <v>473</v>
      </c>
      <c r="B37" s="252">
        <v>3574714</v>
      </c>
      <c r="C37" s="345">
        <v>3444373</v>
      </c>
      <c r="D37" s="188">
        <f t="shared" si="4"/>
        <v>-3.6</v>
      </c>
      <c r="E37" s="11">
        <f>100/'Skjema total MA'!C37*C37</f>
        <v>87.681209117935524</v>
      </c>
      <c r="F37" s="355"/>
      <c r="G37" s="357"/>
      <c r="H37" s="188"/>
      <c r="I37" s="470">
        <f>IFERROR(100/'Skjema total MA'!F37*G37,0)</f>
        <v>0</v>
      </c>
      <c r="J37" s="252">
        <f t="shared" si="20"/>
        <v>3574714</v>
      </c>
      <c r="K37" s="252">
        <f t="shared" si="21"/>
        <v>3444373</v>
      </c>
      <c r="L37" s="464">
        <f t="shared" si="7"/>
        <v>-3.6</v>
      </c>
      <c r="M37" s="24">
        <f>IFERROR(100/'Skjema total MA'!I37*K37,0)</f>
        <v>87.681209117935524</v>
      </c>
    </row>
    <row r="38" spans="1:15" ht="15.75" x14ac:dyDescent="0.2">
      <c r="A38" s="12" t="s">
        <v>474</v>
      </c>
      <c r="B38" s="252">
        <v>0</v>
      </c>
      <c r="C38" s="345">
        <v>611</v>
      </c>
      <c r="D38" s="188" t="str">
        <f t="shared" si="4"/>
        <v xml:space="preserve">    ---- </v>
      </c>
      <c r="E38" s="24">
        <f>IFERROR(100/'Skjema total MA'!C37*C38,0)</f>
        <v>1.5553837743780538E-2</v>
      </c>
      <c r="F38" s="355"/>
      <c r="G38" s="356"/>
      <c r="H38" s="188"/>
      <c r="I38" s="470">
        <f>IFERROR(100/'Skjema total MA'!F38*G38,0)</f>
        <v>0</v>
      </c>
      <c r="J38" s="252">
        <f t="shared" si="20"/>
        <v>0</v>
      </c>
      <c r="K38" s="252">
        <f t="shared" si="21"/>
        <v>611</v>
      </c>
      <c r="L38" s="464" t="str">
        <f t="shared" si="7"/>
        <v xml:space="preserve">    ---- </v>
      </c>
      <c r="M38" s="24">
        <f>IFERROR(100/'Skjema total MA'!I38*K38,0)</f>
        <v>100.00000000000001</v>
      </c>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279567</v>
      </c>
      <c r="C47" s="347">
        <f>SUM(C48:C49)</f>
        <v>288689</v>
      </c>
      <c r="D47" s="463">
        <f t="shared" ref="D47:D57" si="22">IF(B47=0, "    ---- ", IF(ABS(ROUND(100/B47*C47-100,1))&lt;999,ROUND(100/B47*C47-100,1),IF(ROUND(100/B47*C47-100,1)&gt;999,999,-999)))</f>
        <v>3.3</v>
      </c>
      <c r="E47" s="11">
        <f>IFERROR(100/'Skjema total MA'!C47*C47,0)</f>
        <v>12.871017091338748</v>
      </c>
      <c r="F47" s="162"/>
      <c r="G47" s="33"/>
      <c r="H47" s="176"/>
      <c r="I47" s="176"/>
      <c r="J47" s="37"/>
      <c r="K47" s="37"/>
      <c r="L47" s="176"/>
      <c r="M47" s="176"/>
      <c r="N47" s="165"/>
      <c r="O47" s="165"/>
    </row>
    <row r="48" spans="1:15" s="3" customFormat="1" ht="15.75" x14ac:dyDescent="0.2">
      <c r="A48" s="38" t="s">
        <v>476</v>
      </c>
      <c r="B48" s="316">
        <v>199199</v>
      </c>
      <c r="C48" s="317">
        <v>200424</v>
      </c>
      <c r="D48" s="274">
        <f t="shared" si="22"/>
        <v>0.6</v>
      </c>
      <c r="E48" s="27">
        <f>IFERROR(100/'Skjema total MA'!C48*C48,0)</f>
        <v>18.007081007901931</v>
      </c>
      <c r="F48" s="162"/>
      <c r="G48" s="33"/>
      <c r="H48" s="162"/>
      <c r="I48" s="162"/>
      <c r="J48" s="33"/>
      <c r="K48" s="33"/>
      <c r="L48" s="176"/>
      <c r="M48" s="176"/>
      <c r="N48" s="165"/>
      <c r="O48" s="165"/>
    </row>
    <row r="49" spans="1:15" s="3" customFormat="1" ht="15.75" x14ac:dyDescent="0.2">
      <c r="A49" s="38" t="s">
        <v>477</v>
      </c>
      <c r="B49" s="44">
        <v>80368</v>
      </c>
      <c r="C49" s="322">
        <v>88265</v>
      </c>
      <c r="D49" s="274">
        <f>IF(B49=0, "    ---- ", IF(ABS(ROUND(100/B49*C49-100,1))&lt;999,ROUND(100/B49*C49-100,1),IF(ROUND(100/B49*C49-100,1)&gt;999,999,-999)))</f>
        <v>9.8000000000000007</v>
      </c>
      <c r="E49" s="27">
        <f>IFERROR(100/'Skjema total MA'!C49*C49,0)</f>
        <v>7.811686155999622</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12701</v>
      </c>
      <c r="C53" s="347">
        <f>SUM(C54:C55)</f>
        <v>4843</v>
      </c>
      <c r="D53" s="464">
        <f t="shared" si="22"/>
        <v>-61.9</v>
      </c>
      <c r="E53" s="11">
        <f>IFERROR(100/'Skjema total MA'!C53*C53,0)</f>
        <v>10.637168361621733</v>
      </c>
      <c r="F53" s="162"/>
      <c r="G53" s="33"/>
      <c r="H53" s="162"/>
      <c r="I53" s="162"/>
      <c r="J53" s="33"/>
      <c r="K53" s="33"/>
      <c r="L53" s="176"/>
      <c r="M53" s="176"/>
      <c r="N53" s="165"/>
      <c r="O53" s="165"/>
    </row>
    <row r="54" spans="1:15" s="3" customFormat="1" ht="15.75" x14ac:dyDescent="0.2">
      <c r="A54" s="38" t="s">
        <v>476</v>
      </c>
      <c r="B54" s="316">
        <v>12701</v>
      </c>
      <c r="C54" s="317">
        <v>4843</v>
      </c>
      <c r="D54" s="274">
        <f t="shared" si="22"/>
        <v>-61.9</v>
      </c>
      <c r="E54" s="27">
        <f>IFERROR(100/'Skjema total MA'!C54*C54,0)</f>
        <v>10.637168361621733</v>
      </c>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27463</v>
      </c>
      <c r="C56" s="347">
        <f>SUM(C57:C58)</f>
        <v>8364</v>
      </c>
      <c r="D56" s="464">
        <f t="shared" si="22"/>
        <v>-69.5</v>
      </c>
      <c r="E56" s="11">
        <f>IFERROR(100/'Skjema total MA'!C56*C56,0)</f>
        <v>19.903810623094934</v>
      </c>
      <c r="F56" s="162"/>
      <c r="G56" s="33"/>
      <c r="H56" s="162"/>
      <c r="I56" s="162"/>
      <c r="J56" s="33"/>
      <c r="K56" s="33"/>
      <c r="L56" s="176"/>
      <c r="M56" s="176"/>
      <c r="N56" s="165"/>
      <c r="O56" s="165"/>
    </row>
    <row r="57" spans="1:15" s="3" customFormat="1" ht="15.75" x14ac:dyDescent="0.2">
      <c r="A57" s="38" t="s">
        <v>476</v>
      </c>
      <c r="B57" s="316">
        <v>27463</v>
      </c>
      <c r="C57" s="317">
        <v>8364</v>
      </c>
      <c r="D57" s="274">
        <f t="shared" si="22"/>
        <v>-69.5</v>
      </c>
      <c r="E57" s="27">
        <f>IFERROR(100/'Skjema total MA'!C57*C57,0)</f>
        <v>19.903810623094934</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1356611</v>
      </c>
      <c r="C66" s="387">
        <f>C67+C68+C75+C76</f>
        <v>1213735</v>
      </c>
      <c r="D66" s="384">
        <f t="shared" ref="D66:D111" si="23">IF(B66=0, "    ---- ", IF(ABS(ROUND(100/B66*C66-100,1))&lt;999,ROUND(100/B66*C66-100,1),IF(ROUND(100/B66*C66-100,1)&gt;999,999,-999)))</f>
        <v>-10.5</v>
      </c>
      <c r="E66" s="11">
        <f>IFERROR(100/'Skjema total MA'!C66*C66,0)</f>
        <v>32.285661440496277</v>
      </c>
      <c r="F66" s="386">
        <f>F67+F68+F75+F76</f>
        <v>1746587</v>
      </c>
      <c r="G66" s="386">
        <f>G67+G68+G75+G76</f>
        <v>1758582</v>
      </c>
      <c r="H66" s="384">
        <f t="shared" ref="H66:H111" si="24">IF(F66=0, "    ---- ", IF(ABS(ROUND(100/F66*G66-100,1))&lt;999,ROUND(100/F66*G66-100,1),IF(ROUND(100/F66*G66-100,1)&gt;999,999,-999)))</f>
        <v>0.7</v>
      </c>
      <c r="I66" s="11">
        <f>IFERROR(100/'Skjema total MA'!F66*G66,0)</f>
        <v>25.446984167560387</v>
      </c>
      <c r="J66" s="345">
        <f t="shared" ref="J66:K86" si="25">SUM(B66,F66)</f>
        <v>3103198</v>
      </c>
      <c r="K66" s="352">
        <f t="shared" si="25"/>
        <v>2972317</v>
      </c>
      <c r="L66" s="464">
        <f t="shared" ref="L66:L111" si="26">IF(J66=0, "    ---- ", IF(ABS(ROUND(100/J66*K66-100,1))&lt;999,ROUND(100/J66*K66-100,1),IF(ROUND(100/J66*K66-100,1)&gt;999,999,-999)))</f>
        <v>-4.2</v>
      </c>
      <c r="M66" s="11">
        <f>IFERROR(100/'Skjema total MA'!I66*K66,0)</f>
        <v>27.856426730968067</v>
      </c>
    </row>
    <row r="67" spans="1:15" x14ac:dyDescent="0.2">
      <c r="A67" s="21" t="s">
        <v>9</v>
      </c>
      <c r="B67" s="44">
        <v>1347841</v>
      </c>
      <c r="C67" s="162">
        <v>1205427</v>
      </c>
      <c r="D67" s="183">
        <f t="shared" si="23"/>
        <v>-10.6</v>
      </c>
      <c r="E67" s="27">
        <f>IFERROR(100/'Skjema total MA'!C67*C67,0)</f>
        <v>38.101975004501398</v>
      </c>
      <c r="F67" s="250"/>
      <c r="G67" s="162"/>
      <c r="H67" s="183"/>
      <c r="I67" s="27"/>
      <c r="J67" s="322">
        <f t="shared" si="25"/>
        <v>1347841</v>
      </c>
      <c r="K67" s="44">
        <f t="shared" si="25"/>
        <v>1205427</v>
      </c>
      <c r="L67" s="274">
        <f t="shared" si="26"/>
        <v>-10.6</v>
      </c>
      <c r="M67" s="27">
        <f>IFERROR(100/'Skjema total MA'!I67*K67,0)</f>
        <v>38.101975004501398</v>
      </c>
    </row>
    <row r="68" spans="1:15" x14ac:dyDescent="0.2">
      <c r="A68" s="21" t="s">
        <v>10</v>
      </c>
      <c r="B68" s="327"/>
      <c r="C68" s="328"/>
      <c r="D68" s="183"/>
      <c r="E68" s="27"/>
      <c r="F68" s="327">
        <v>1746587</v>
      </c>
      <c r="G68" s="328">
        <v>1758582</v>
      </c>
      <c r="H68" s="183">
        <f t="shared" si="24"/>
        <v>0.7</v>
      </c>
      <c r="I68" s="27">
        <f>IFERROR(100/'Skjema total MA'!F68*G68,0)</f>
        <v>25.819939880376115</v>
      </c>
      <c r="J68" s="322">
        <f t="shared" si="25"/>
        <v>1746587</v>
      </c>
      <c r="K68" s="44">
        <f t="shared" si="25"/>
        <v>1758582</v>
      </c>
      <c r="L68" s="274">
        <f t="shared" si="26"/>
        <v>0.7</v>
      </c>
      <c r="M68" s="27">
        <f>IFERROR(100/'Skjema total MA'!I68*K68,0)</f>
        <v>25.471379891184689</v>
      </c>
    </row>
    <row r="69" spans="1:15" ht="15.75" x14ac:dyDescent="0.2">
      <c r="A69" s="729" t="s">
        <v>478</v>
      </c>
      <c r="B69" s="316"/>
      <c r="C69" s="316"/>
      <c r="D69" s="183"/>
      <c r="E69" s="453"/>
      <c r="F69" s="316" t="s">
        <v>458</v>
      </c>
      <c r="G69" s="316" t="s">
        <v>458</v>
      </c>
      <c r="H69" s="183" t="str">
        <f t="shared" ref="H69:H74" si="27">IF(kvartal=4,IF(F69=0, "    ---- ", IF(ABS(ROUND(100/F69*G69-100,1))&lt;999,ROUND(100/F69*G69-100,1),IF(ROUND(100/F69*G69-100,1)&gt;999,999,-999))),"")</f>
        <v/>
      </c>
      <c r="I69" s="453"/>
      <c r="J69" s="325"/>
      <c r="K69" s="325"/>
      <c r="L69" s="183"/>
      <c r="M69" s="23"/>
    </row>
    <row r="70" spans="1:15" x14ac:dyDescent="0.2">
      <c r="A70" s="729" t="s">
        <v>12</v>
      </c>
      <c r="B70" s="329"/>
      <c r="C70" s="330"/>
      <c r="D70" s="183"/>
      <c r="E70" s="453" t="str">
        <f>IF(kvartal=4,IFERROR(100/'Skjema total MA'!B70*C70,0),"")</f>
        <v/>
      </c>
      <c r="F70" s="316" t="s">
        <v>458</v>
      </c>
      <c r="G70" s="316" t="s">
        <v>458</v>
      </c>
      <c r="H70" s="183" t="str">
        <f t="shared" si="27"/>
        <v/>
      </c>
      <c r="I70" s="453"/>
      <c r="J70" s="325"/>
      <c r="K70" s="325"/>
      <c r="L70" s="183"/>
      <c r="M70" s="23"/>
    </row>
    <row r="71" spans="1:15" x14ac:dyDescent="0.2">
      <c r="A71" s="729" t="s">
        <v>13</v>
      </c>
      <c r="B71" s="251"/>
      <c r="C71" s="324"/>
      <c r="D71" s="183"/>
      <c r="E71" s="453" t="str">
        <f>IF(kvartal=4,IFERROR(100/'Skjema total MA'!B71*C71,0),"")</f>
        <v/>
      </c>
      <c r="F71" s="316" t="s">
        <v>458</v>
      </c>
      <c r="G71" s="316" t="s">
        <v>458</v>
      </c>
      <c r="H71" s="183" t="str">
        <f t="shared" si="27"/>
        <v/>
      </c>
      <c r="I71" s="453"/>
      <c r="J71" s="325"/>
      <c r="K71" s="325"/>
      <c r="L71" s="183"/>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t="s">
        <v>458</v>
      </c>
      <c r="G72" s="316" t="s">
        <v>458</v>
      </c>
      <c r="H72" s="183" t="str">
        <f t="shared" si="27"/>
        <v/>
      </c>
      <c r="I72" s="453"/>
      <c r="J72" s="325"/>
      <c r="K72" s="325"/>
      <c r="L72" s="183"/>
      <c r="M72" s="23"/>
    </row>
    <row r="73" spans="1:15" x14ac:dyDescent="0.2">
      <c r="A73" s="729" t="s">
        <v>12</v>
      </c>
      <c r="B73" s="251"/>
      <c r="C73" s="324"/>
      <c r="D73" s="183"/>
      <c r="E73" s="453" t="str">
        <f>IF(kvartal=4,IFERROR(100/'Skjema total MA'!B73*C73,0),"")</f>
        <v/>
      </c>
      <c r="F73" s="316" t="s">
        <v>458</v>
      </c>
      <c r="G73" s="316" t="s">
        <v>458</v>
      </c>
      <c r="H73" s="183" t="str">
        <f t="shared" si="27"/>
        <v/>
      </c>
      <c r="I73" s="453"/>
      <c r="J73" s="325"/>
      <c r="K73" s="325"/>
      <c r="L73" s="183"/>
      <c r="M73" s="23"/>
    </row>
    <row r="74" spans="1:15" s="3" customFormat="1" x14ac:dyDescent="0.2">
      <c r="A74" s="729" t="s">
        <v>13</v>
      </c>
      <c r="B74" s="251"/>
      <c r="C74" s="324"/>
      <c r="D74" s="183"/>
      <c r="E74" s="453" t="str">
        <f>IF(kvartal=4,IFERROR(100/'Skjema total MA'!B74*C74,0),"")</f>
        <v/>
      </c>
      <c r="F74" s="316" t="s">
        <v>458</v>
      </c>
      <c r="G74" s="316" t="s">
        <v>458</v>
      </c>
      <c r="H74" s="183" t="str">
        <f t="shared" si="27"/>
        <v/>
      </c>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v>8770</v>
      </c>
      <c r="C76" s="162">
        <v>8308</v>
      </c>
      <c r="D76" s="183">
        <f t="shared" ref="D76" si="28">IF(B76=0, "    ---- ", IF(ABS(ROUND(100/B76*C76-100,1))&lt;999,ROUND(100/B76*C76-100,1),IF(ROUND(100/B76*C76-100,1)&gt;999,999,-999)))</f>
        <v>-5.3</v>
      </c>
      <c r="E76" s="27">
        <f>IFERROR(100/'Skjema total MA'!C77*C76,0)</f>
        <v>0.26611467819335155</v>
      </c>
      <c r="F76" s="250"/>
      <c r="G76" s="162"/>
      <c r="H76" s="183"/>
      <c r="I76" s="27"/>
      <c r="J76" s="322">
        <f t="shared" ref="J76" si="29">SUM(B76,F76)</f>
        <v>8770</v>
      </c>
      <c r="K76" s="44">
        <f t="shared" ref="K76" si="30">SUM(C76,G76)</f>
        <v>8308</v>
      </c>
      <c r="L76" s="274">
        <f t="shared" ref="L76" si="31">IF(J76=0, "    ---- ", IF(ABS(ROUND(100/J76*K76-100,1))&lt;999,ROUND(100/J76*K76-100,1),IF(ROUND(100/J76*K76-100,1)&gt;999,999,-999)))</f>
        <v>-5.3</v>
      </c>
      <c r="M76" s="27">
        <f>IFERROR(100/'Skjema total MA'!I77*K76,0)</f>
        <v>8.3671472477668263E-2</v>
      </c>
      <c r="N76" s="165"/>
      <c r="O76" s="165"/>
    </row>
    <row r="77" spans="1:15" ht="15.75" x14ac:dyDescent="0.2">
      <c r="A77" s="21" t="s">
        <v>480</v>
      </c>
      <c r="B77" s="250">
        <v>1333711.9650000001</v>
      </c>
      <c r="C77" s="250">
        <v>1190544</v>
      </c>
      <c r="D77" s="183">
        <f t="shared" si="23"/>
        <v>-10.7</v>
      </c>
      <c r="E77" s="27">
        <f>IFERROR(100/'Skjema total MA'!C77*C77,0)</f>
        <v>38.134476821741153</v>
      </c>
      <c r="F77" s="250">
        <v>1746587</v>
      </c>
      <c r="G77" s="162">
        <v>1758582</v>
      </c>
      <c r="H77" s="183">
        <f t="shared" si="24"/>
        <v>0.7</v>
      </c>
      <c r="I77" s="27">
        <f>IFERROR(100/'Skjema total MA'!F77*G77,0)</f>
        <v>25.833585246993017</v>
      </c>
      <c r="J77" s="322">
        <f t="shared" si="25"/>
        <v>3080298.9649999999</v>
      </c>
      <c r="K77" s="44">
        <f t="shared" si="25"/>
        <v>2949126</v>
      </c>
      <c r="L77" s="274">
        <f t="shared" si="26"/>
        <v>-4.3</v>
      </c>
      <c r="M77" s="27">
        <f>IFERROR(100/'Skjema total MA'!I77*K77,0)</f>
        <v>29.701217494243608</v>
      </c>
    </row>
    <row r="78" spans="1:15" x14ac:dyDescent="0.2">
      <c r="A78" s="21" t="s">
        <v>9</v>
      </c>
      <c r="B78" s="250">
        <v>1333711.9650000001</v>
      </c>
      <c r="C78" s="162">
        <v>1190544</v>
      </c>
      <c r="D78" s="183">
        <f t="shared" si="23"/>
        <v>-10.7</v>
      </c>
      <c r="E78" s="27">
        <f>IFERROR(100/'Skjema total MA'!C78*C78,0)</f>
        <v>39.289731450332837</v>
      </c>
      <c r="F78" s="250"/>
      <c r="G78" s="162"/>
      <c r="H78" s="183"/>
      <c r="I78" s="27"/>
      <c r="J78" s="322">
        <f t="shared" si="25"/>
        <v>1333711.9650000001</v>
      </c>
      <c r="K78" s="44">
        <f t="shared" si="25"/>
        <v>1190544</v>
      </c>
      <c r="L78" s="274">
        <f t="shared" si="26"/>
        <v>-10.7</v>
      </c>
      <c r="M78" s="27">
        <f>IFERROR(100/'Skjema total MA'!I78*K78,0)</f>
        <v>39.289731450332837</v>
      </c>
    </row>
    <row r="79" spans="1:15" x14ac:dyDescent="0.2">
      <c r="A79" s="21" t="s">
        <v>10</v>
      </c>
      <c r="B79" s="327"/>
      <c r="C79" s="328"/>
      <c r="D79" s="183"/>
      <c r="E79" s="27"/>
      <c r="F79" s="327">
        <v>1746587</v>
      </c>
      <c r="G79" s="328">
        <v>1758582</v>
      </c>
      <c r="H79" s="183">
        <f t="shared" si="24"/>
        <v>0.7</v>
      </c>
      <c r="I79" s="27">
        <f>IFERROR(100/'Skjema total MA'!F79*G79,0)</f>
        <v>25.833585246993017</v>
      </c>
      <c r="J79" s="322">
        <f t="shared" si="25"/>
        <v>1746587</v>
      </c>
      <c r="K79" s="44">
        <f t="shared" si="25"/>
        <v>1758582</v>
      </c>
      <c r="L79" s="274">
        <f t="shared" si="26"/>
        <v>0.7</v>
      </c>
      <c r="M79" s="27">
        <f>IFERROR(100/'Skjema total MA'!I79*K79,0)</f>
        <v>25.489856570490314</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t="s">
        <v>458</v>
      </c>
      <c r="G80" s="316" t="s">
        <v>458</v>
      </c>
      <c r="H80" s="183" t="str">
        <f t="shared" ref="H80:H85" si="32">IF(kvartal=4,IF(F80=0, "    ---- ", IF(ABS(ROUND(100/F80*G80-100,1))&lt;999,ROUND(100/F80*G80-100,1),IF(ROUND(100/F80*G80-100,1)&gt;999,999,-999))),"")</f>
        <v/>
      </c>
      <c r="I80" s="453"/>
      <c r="J80" s="325"/>
      <c r="K80" s="325"/>
      <c r="L80" s="183"/>
      <c r="M80" s="23"/>
    </row>
    <row r="81" spans="1:13" x14ac:dyDescent="0.2">
      <c r="A81" s="729" t="s">
        <v>12</v>
      </c>
      <c r="B81" s="251"/>
      <c r="C81" s="324"/>
      <c r="D81" s="183"/>
      <c r="E81" s="453" t="str">
        <f>IF(kvartal=4,IFERROR(100/'Skjema total MA'!B81*C81,0),"")</f>
        <v/>
      </c>
      <c r="F81" s="316" t="s">
        <v>458</v>
      </c>
      <c r="G81" s="316" t="s">
        <v>458</v>
      </c>
      <c r="H81" s="183" t="str">
        <f t="shared" si="32"/>
        <v/>
      </c>
      <c r="I81" s="453"/>
      <c r="J81" s="325"/>
      <c r="K81" s="325"/>
      <c r="L81" s="183"/>
      <c r="M81" s="23"/>
    </row>
    <row r="82" spans="1:13" x14ac:dyDescent="0.2">
      <c r="A82" s="729" t="s">
        <v>13</v>
      </c>
      <c r="B82" s="251"/>
      <c r="C82" s="324"/>
      <c r="D82" s="183"/>
      <c r="E82" s="453" t="str">
        <f>IF(kvartal=4,IFERROR(100/'Skjema total MA'!B82*C82,0),"")</f>
        <v/>
      </c>
      <c r="F82" s="316" t="s">
        <v>458</v>
      </c>
      <c r="G82" s="316" t="s">
        <v>458</v>
      </c>
      <c r="H82" s="183" t="str">
        <f t="shared" si="32"/>
        <v/>
      </c>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t="s">
        <v>458</v>
      </c>
      <c r="G83" s="316" t="s">
        <v>458</v>
      </c>
      <c r="H83" s="183" t="str">
        <f t="shared" si="32"/>
        <v/>
      </c>
      <c r="I83" s="453"/>
      <c r="J83" s="325"/>
      <c r="K83" s="325"/>
      <c r="L83" s="183"/>
      <c r="M83" s="23"/>
    </row>
    <row r="84" spans="1:13" x14ac:dyDescent="0.2">
      <c r="A84" s="729" t="s">
        <v>12</v>
      </c>
      <c r="B84" s="251"/>
      <c r="C84" s="324"/>
      <c r="D84" s="183"/>
      <c r="E84" s="453" t="str">
        <f>IF(kvartal=4,IFERROR(100/'Skjema total MA'!B84*C84,0),"")</f>
        <v/>
      </c>
      <c r="F84" s="316" t="s">
        <v>458</v>
      </c>
      <c r="G84" s="316" t="s">
        <v>458</v>
      </c>
      <c r="H84" s="183" t="str">
        <f t="shared" si="32"/>
        <v/>
      </c>
      <c r="I84" s="453"/>
      <c r="J84" s="325"/>
      <c r="K84" s="325"/>
      <c r="L84" s="183"/>
      <c r="M84" s="23"/>
    </row>
    <row r="85" spans="1:13" x14ac:dyDescent="0.2">
      <c r="A85" s="729" t="s">
        <v>13</v>
      </c>
      <c r="B85" s="251"/>
      <c r="C85" s="324"/>
      <c r="D85" s="183"/>
      <c r="E85" s="453" t="str">
        <f>IF(kvartal=4,IFERROR(100/'Skjema total MA'!B85*C85,0),"")</f>
        <v/>
      </c>
      <c r="F85" s="316" t="s">
        <v>458</v>
      </c>
      <c r="G85" s="316" t="s">
        <v>458</v>
      </c>
      <c r="H85" s="183" t="str">
        <f t="shared" si="32"/>
        <v/>
      </c>
      <c r="I85" s="453"/>
      <c r="J85" s="325"/>
      <c r="K85" s="325"/>
      <c r="L85" s="183"/>
      <c r="M85" s="23"/>
    </row>
    <row r="86" spans="1:13" ht="15.75" x14ac:dyDescent="0.2">
      <c r="A86" s="21" t="s">
        <v>481</v>
      </c>
      <c r="B86" s="250">
        <v>14129.035</v>
      </c>
      <c r="C86" s="162">
        <v>14883</v>
      </c>
      <c r="D86" s="183">
        <f t="shared" si="23"/>
        <v>5.3</v>
      </c>
      <c r="E86" s="27">
        <f>IFERROR(100/'Skjema total MA'!C86*C86,0)</f>
        <v>11.030358350647555</v>
      </c>
      <c r="F86" s="250"/>
      <c r="G86" s="162"/>
      <c r="H86" s="183"/>
      <c r="I86" s="27"/>
      <c r="J86" s="322">
        <f t="shared" si="25"/>
        <v>14129.035</v>
      </c>
      <c r="K86" s="44">
        <f t="shared" si="25"/>
        <v>14883</v>
      </c>
      <c r="L86" s="274">
        <f t="shared" si="26"/>
        <v>5.3</v>
      </c>
      <c r="M86" s="27">
        <f>IFERROR(100/'Skjema total MA'!I86*K86,0)</f>
        <v>10.743895160134592</v>
      </c>
    </row>
    <row r="87" spans="1:13" ht="15.75" x14ac:dyDescent="0.2">
      <c r="A87" s="13" t="s">
        <v>466</v>
      </c>
      <c r="B87" s="387">
        <f>B88+B89+B96+B97</f>
        <v>154659280</v>
      </c>
      <c r="C87" s="387">
        <f>C88+C89+C96+C97</f>
        <v>156994879.5</v>
      </c>
      <c r="D87" s="188">
        <f t="shared" si="23"/>
        <v>1.5</v>
      </c>
      <c r="E87" s="11">
        <f>IFERROR(100/'Skjema total MA'!C87*C87,0)</f>
        <v>40.802380490871037</v>
      </c>
      <c r="F87" s="386">
        <f>SUM(F88,F89,F96,F97)</f>
        <v>53595757</v>
      </c>
      <c r="G87" s="386">
        <f>SUM(G88,G89,G96,G97)</f>
        <v>63330486</v>
      </c>
      <c r="H87" s="188">
        <f t="shared" si="24"/>
        <v>18.2</v>
      </c>
      <c r="I87" s="11">
        <f>IFERROR(100/'Skjema total MA'!F87*G87,0)</f>
        <v>27.010896653605297</v>
      </c>
      <c r="J87" s="345">
        <f t="shared" ref="J87:K111" si="33">SUM(B87,F87)</f>
        <v>208255037</v>
      </c>
      <c r="K87" s="252">
        <f t="shared" si="33"/>
        <v>220325365.5</v>
      </c>
      <c r="L87" s="464">
        <f t="shared" si="26"/>
        <v>5.8</v>
      </c>
      <c r="M87" s="11">
        <f>IFERROR(100/'Skjema total MA'!I87*K87,0)</f>
        <v>35.580443027868505</v>
      </c>
    </row>
    <row r="88" spans="1:13" x14ac:dyDescent="0.2">
      <c r="A88" s="21" t="s">
        <v>9</v>
      </c>
      <c r="B88" s="250">
        <v>154303134</v>
      </c>
      <c r="C88" s="162">
        <v>156665966</v>
      </c>
      <c r="D88" s="183">
        <f t="shared" si="23"/>
        <v>1.5</v>
      </c>
      <c r="E88" s="27">
        <f>IFERROR(100/'Skjema total MA'!C88*C88,0)</f>
        <v>41.566732487235193</v>
      </c>
      <c r="F88" s="250"/>
      <c r="G88" s="162"/>
      <c r="H88" s="183"/>
      <c r="I88" s="27"/>
      <c r="J88" s="322">
        <f t="shared" si="33"/>
        <v>154303134</v>
      </c>
      <c r="K88" s="44">
        <f t="shared" si="33"/>
        <v>156665966</v>
      </c>
      <c r="L88" s="274">
        <f t="shared" si="26"/>
        <v>1.5</v>
      </c>
      <c r="M88" s="27">
        <f>IFERROR(100/'Skjema total MA'!I88*K88,0)</f>
        <v>41.566732487235193</v>
      </c>
    </row>
    <row r="89" spans="1:13" x14ac:dyDescent="0.2">
      <c r="A89" s="21" t="s">
        <v>10</v>
      </c>
      <c r="B89" s="250">
        <v>95862</v>
      </c>
      <c r="C89" s="162">
        <v>102388</v>
      </c>
      <c r="D89" s="183">
        <f t="shared" si="23"/>
        <v>6.8</v>
      </c>
      <c r="E89" s="27">
        <f>IFERROR(100/'Skjema total MA'!C89*C89,0)</f>
        <v>3.8185306736029281</v>
      </c>
      <c r="F89" s="250">
        <v>53595757</v>
      </c>
      <c r="G89" s="162">
        <v>63330486</v>
      </c>
      <c r="H89" s="183">
        <f t="shared" si="24"/>
        <v>18.2</v>
      </c>
      <c r="I89" s="27">
        <f>IFERROR(100/'Skjema total MA'!F89*G89,0)</f>
        <v>27.101464323913422</v>
      </c>
      <c r="J89" s="322">
        <f t="shared" si="33"/>
        <v>53691619</v>
      </c>
      <c r="K89" s="44">
        <f t="shared" si="33"/>
        <v>63432874</v>
      </c>
      <c r="L89" s="274">
        <f t="shared" si="26"/>
        <v>18.100000000000001</v>
      </c>
      <c r="M89" s="27">
        <f>IFERROR(100/'Skjema total MA'!I89*K89,0)</f>
        <v>26.837335689193328</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t="s">
        <v>458</v>
      </c>
      <c r="G90" s="316" t="s">
        <v>458</v>
      </c>
      <c r="H90" s="183" t="str">
        <f t="shared" ref="H90" si="34">IF(kvartal=4,IF(F90=0, "    ---- ", IF(ABS(ROUND(100/F90*G90-100,1))&lt;999,ROUND(100/F90*G90-100,1),IF(ROUND(100/F90*G90-100,1)&gt;999,999,-999))),"")</f>
        <v/>
      </c>
      <c r="I90" s="453">
        <f>IFERROR(100/'Skjema total MA'!F90*G90,0)</f>
        <v>0</v>
      </c>
      <c r="J90" s="325" t="str">
        <f t="shared" ref="J90:K90" si="35">IF(kvartal=4,SUM(B90,F90),"")</f>
        <v/>
      </c>
      <c r="K90" s="325" t="str">
        <f t="shared" si="35"/>
        <v/>
      </c>
      <c r="L90" s="183" t="str">
        <f t="shared" ref="L90" si="36">IF(kvartal=4,IF(J90=0, "    ---- ", IF(ABS(ROUND(100/J90*K90-100,1))&lt;999,ROUND(100/J90*K90-100,1),IF(ROUND(100/J90*K90-100,1)&gt;999,999,-999))),"")</f>
        <v/>
      </c>
      <c r="M90" s="23">
        <f>IFERROR(100/'Skjema total MA'!I90*K90,0)</f>
        <v>0</v>
      </c>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v>260284</v>
      </c>
      <c r="C97" s="162">
        <v>226525.5</v>
      </c>
      <c r="D97" s="183">
        <f t="shared" ref="D97" si="37">IF(B97=0, "    ---- ", IF(ABS(ROUND(100/B97*C97-100,1))&lt;999,ROUND(100/B97*C97-100,1),IF(ROUND(100/B97*C97-100,1)&gt;999,999,-999)))</f>
        <v>-13</v>
      </c>
      <c r="E97" s="27">
        <f>IFERROR(100/'Skjema total MA'!C98*C97,0)</f>
        <v>6.0460789366804844E-2</v>
      </c>
      <c r="F97" s="250"/>
      <c r="G97" s="162"/>
      <c r="H97" s="183"/>
      <c r="I97" s="27"/>
      <c r="J97" s="322">
        <f t="shared" ref="J97" si="38">SUM(B97,F97)</f>
        <v>260284</v>
      </c>
      <c r="K97" s="44">
        <f t="shared" ref="K97" si="39">SUM(C97,G97)</f>
        <v>226525.5</v>
      </c>
      <c r="L97" s="274">
        <f t="shared" ref="L97" si="40">IF(J97=0, "    ---- ", IF(ABS(ROUND(100/J97*K97-100,1))&lt;999,ROUND(100/J97*K97-100,1),IF(ROUND(100/J97*K97-100,1)&gt;999,999,-999)))</f>
        <v>-13</v>
      </c>
      <c r="M97" s="27">
        <f>IFERROR(100/'Skjema total MA'!I98*K97,0)</f>
        <v>3.7273909266976046E-2</v>
      </c>
    </row>
    <row r="98" spans="1:13" ht="15.75" x14ac:dyDescent="0.2">
      <c r="A98" s="21" t="s">
        <v>480</v>
      </c>
      <c r="B98" s="250">
        <v>153066552</v>
      </c>
      <c r="C98" s="250">
        <v>155355007</v>
      </c>
      <c r="D98" s="183">
        <f t="shared" si="23"/>
        <v>1.5</v>
      </c>
      <c r="E98" s="27">
        <f>IFERROR(100/'Skjema total MA'!C98*C98,0)</f>
        <v>41.465028684653568</v>
      </c>
      <c r="F98" s="327">
        <v>53443926</v>
      </c>
      <c r="G98" s="327">
        <v>63202304</v>
      </c>
      <c r="H98" s="183">
        <f t="shared" si="24"/>
        <v>18.3</v>
      </c>
      <c r="I98" s="27">
        <f>IFERROR(100/'Skjema total MA'!F98*G98,0)</f>
        <v>27.117662619659622</v>
      </c>
      <c r="J98" s="322">
        <f t="shared" si="33"/>
        <v>206510478</v>
      </c>
      <c r="K98" s="44">
        <f t="shared" si="33"/>
        <v>218557311</v>
      </c>
      <c r="L98" s="274">
        <f t="shared" si="26"/>
        <v>5.8</v>
      </c>
      <c r="M98" s="27">
        <f>IFERROR(100/'Skjema total MA'!I98*K98,0)</f>
        <v>35.962774079952432</v>
      </c>
    </row>
    <row r="99" spans="1:13" x14ac:dyDescent="0.2">
      <c r="A99" s="21" t="s">
        <v>9</v>
      </c>
      <c r="B99" s="327">
        <v>152970690</v>
      </c>
      <c r="C99" s="328">
        <v>155252619</v>
      </c>
      <c r="D99" s="183">
        <f t="shared" si="23"/>
        <v>1.5</v>
      </c>
      <c r="E99" s="27">
        <f>IFERROR(100/'Skjema total MA'!C99*C99,0)</f>
        <v>41.736393377553085</v>
      </c>
      <c r="F99" s="250"/>
      <c r="G99" s="162"/>
      <c r="H99" s="183"/>
      <c r="I99" s="27"/>
      <c r="J99" s="322">
        <f t="shared" si="33"/>
        <v>152970690</v>
      </c>
      <c r="K99" s="44">
        <f t="shared" si="33"/>
        <v>155252619</v>
      </c>
      <c r="L99" s="274">
        <f t="shared" si="26"/>
        <v>1.5</v>
      </c>
      <c r="M99" s="27">
        <f>IFERROR(100/'Skjema total MA'!I99*K99,0)</f>
        <v>41.736393377553085</v>
      </c>
    </row>
    <row r="100" spans="1:13" x14ac:dyDescent="0.2">
      <c r="A100" s="21" t="s">
        <v>10</v>
      </c>
      <c r="B100" s="327">
        <v>95862</v>
      </c>
      <c r="C100" s="328">
        <v>102388</v>
      </c>
      <c r="D100" s="183">
        <f t="shared" si="23"/>
        <v>6.8</v>
      </c>
      <c r="E100" s="27">
        <f>IFERROR(100/'Skjema total MA'!C100*C100,0)</f>
        <v>3.8185306736029281</v>
      </c>
      <c r="F100" s="250">
        <v>53443926</v>
      </c>
      <c r="G100" s="250">
        <v>63202304</v>
      </c>
      <c r="H100" s="183">
        <f t="shared" si="24"/>
        <v>18.3</v>
      </c>
      <c r="I100" s="27">
        <f>IFERROR(100/'Skjema total MA'!F100*G100,0)</f>
        <v>27.117662619659622</v>
      </c>
      <c r="J100" s="322">
        <f t="shared" si="33"/>
        <v>53539788</v>
      </c>
      <c r="K100" s="44">
        <f t="shared" si="33"/>
        <v>63304692</v>
      </c>
      <c r="L100" s="274">
        <f t="shared" si="26"/>
        <v>18.2</v>
      </c>
      <c r="M100" s="27">
        <f>IFERROR(100/'Skjema total MA'!I100*K100,0)</f>
        <v>26.852663768681641</v>
      </c>
    </row>
    <row r="101" spans="1:13" ht="15.75" x14ac:dyDescent="0.2">
      <c r="A101" s="729" t="s">
        <v>478</v>
      </c>
      <c r="B101" s="316" t="s">
        <v>458</v>
      </c>
      <c r="C101" s="316" t="s">
        <v>458</v>
      </c>
      <c r="D101" s="183" t="str">
        <f>IF(kvartal=4,IF(B101=0, "    ---- ", IF(ABS(ROUND(100/B101*C101-100,1))&lt;999,ROUND(100/B101*C101-100,1),IF(ROUND(100/B101*C101-100,1)&gt;999,999,-999))),"")</f>
        <v/>
      </c>
      <c r="E101" s="453" t="str">
        <f>IF(kvartal=4,IFERROR(100/'Skjema total MA'!B101*C101,0),"")</f>
        <v/>
      </c>
      <c r="F101" s="316" t="s">
        <v>458</v>
      </c>
      <c r="G101" s="316" t="s">
        <v>458</v>
      </c>
      <c r="H101" s="183" t="str">
        <f t="shared" ref="H101:H106" si="41">IF(kvartal=4,IF(F101=0, "    ---- ", IF(ABS(ROUND(100/F101*G101-100,1))&lt;999,ROUND(100/F101*G101-100,1),IF(ROUND(100/F101*G101-100,1)&gt;999,999,-999))),"")</f>
        <v/>
      </c>
      <c r="I101" s="453"/>
      <c r="J101" s="325"/>
      <c r="K101" s="325"/>
      <c r="L101" s="183"/>
      <c r="M101" s="23"/>
    </row>
    <row r="102" spans="1:13" x14ac:dyDescent="0.2">
      <c r="A102" s="729" t="s">
        <v>12</v>
      </c>
      <c r="B102" s="251"/>
      <c r="C102" s="324"/>
      <c r="D102" s="183"/>
      <c r="E102" s="453" t="str">
        <f>IF(kvartal=4,IFERROR(100/'Skjema total MA'!B102*C102,0),"")</f>
        <v/>
      </c>
      <c r="F102" s="316" t="s">
        <v>458</v>
      </c>
      <c r="G102" s="316" t="s">
        <v>458</v>
      </c>
      <c r="H102" s="183" t="str">
        <f t="shared" si="41"/>
        <v/>
      </c>
      <c r="I102" s="453"/>
      <c r="J102" s="325"/>
      <c r="K102" s="325"/>
      <c r="L102" s="183"/>
      <c r="M102" s="23"/>
    </row>
    <row r="103" spans="1:13" x14ac:dyDescent="0.2">
      <c r="A103" s="729" t="s">
        <v>13</v>
      </c>
      <c r="B103" s="251"/>
      <c r="C103" s="324"/>
      <c r="D103" s="183"/>
      <c r="E103" s="453" t="str">
        <f>IF(kvartal=4,IFERROR(100/'Skjema total MA'!B103*C103,0),"")</f>
        <v/>
      </c>
      <c r="F103" s="316" t="s">
        <v>458</v>
      </c>
      <c r="G103" s="316" t="s">
        <v>458</v>
      </c>
      <c r="H103" s="183" t="str">
        <f t="shared" si="41"/>
        <v/>
      </c>
      <c r="I103" s="453"/>
      <c r="J103" s="325"/>
      <c r="K103" s="325"/>
      <c r="L103" s="183"/>
      <c r="M103" s="23"/>
    </row>
    <row r="104" spans="1:13" ht="15.75" x14ac:dyDescent="0.2">
      <c r="A104" s="729" t="s">
        <v>479</v>
      </c>
      <c r="B104" s="316" t="s">
        <v>458</v>
      </c>
      <c r="C104" s="316" t="s">
        <v>458</v>
      </c>
      <c r="D104" s="183" t="str">
        <f>IF(kvartal=4,IF(B104=0, "    ---- ", IF(ABS(ROUND(100/B104*C104-100,1))&lt;999,ROUND(100/B104*C104-100,1),IF(ROUND(100/B104*C104-100,1)&gt;999,999,-999))),"")</f>
        <v/>
      </c>
      <c r="E104" s="453" t="str">
        <f>IF(kvartal=4,IFERROR(100/'Skjema total MA'!B104*C104,0),"")</f>
        <v/>
      </c>
      <c r="F104" s="316" t="s">
        <v>458</v>
      </c>
      <c r="G104" s="316" t="s">
        <v>458</v>
      </c>
      <c r="H104" s="183" t="str">
        <f t="shared" si="41"/>
        <v/>
      </c>
      <c r="I104" s="453"/>
      <c r="J104" s="325"/>
      <c r="K104" s="325"/>
      <c r="L104" s="183"/>
      <c r="M104" s="23"/>
    </row>
    <row r="105" spans="1:13" x14ac:dyDescent="0.2">
      <c r="A105" s="729" t="s">
        <v>12</v>
      </c>
      <c r="B105" s="251"/>
      <c r="C105" s="324"/>
      <c r="D105" s="183"/>
      <c r="E105" s="453" t="str">
        <f>IF(kvartal=4,IFERROR(100/'Skjema total MA'!B105*C105,0),"")</f>
        <v/>
      </c>
      <c r="F105" s="316" t="s">
        <v>458</v>
      </c>
      <c r="G105" s="316" t="s">
        <v>458</v>
      </c>
      <c r="H105" s="183" t="str">
        <f t="shared" si="41"/>
        <v/>
      </c>
      <c r="I105" s="453"/>
      <c r="J105" s="325"/>
      <c r="K105" s="325"/>
      <c r="L105" s="183"/>
      <c r="M105" s="23"/>
    </row>
    <row r="106" spans="1:13" x14ac:dyDescent="0.2">
      <c r="A106" s="729" t="s">
        <v>13</v>
      </c>
      <c r="B106" s="251"/>
      <c r="C106" s="324"/>
      <c r="D106" s="183"/>
      <c r="E106" s="453" t="str">
        <f>IF(kvartal=4,IFERROR(100/'Skjema total MA'!B106*C106,0),"")</f>
        <v/>
      </c>
      <c r="F106" s="316" t="s">
        <v>458</v>
      </c>
      <c r="G106" s="316" t="s">
        <v>458</v>
      </c>
      <c r="H106" s="183" t="str">
        <f t="shared" si="41"/>
        <v/>
      </c>
      <c r="I106" s="453"/>
      <c r="J106" s="325"/>
      <c r="K106" s="325"/>
      <c r="L106" s="183"/>
      <c r="M106" s="23"/>
    </row>
    <row r="107" spans="1:13" ht="15.75" x14ac:dyDescent="0.2">
      <c r="A107" s="21" t="s">
        <v>481</v>
      </c>
      <c r="B107" s="250">
        <v>1332444</v>
      </c>
      <c r="C107" s="162">
        <v>1413347</v>
      </c>
      <c r="D107" s="183">
        <f t="shared" si="23"/>
        <v>6.1</v>
      </c>
      <c r="E107" s="27">
        <f>IFERROR(100/'Skjema total MA'!C107*C107,0)</f>
        <v>28.735350027046021</v>
      </c>
      <c r="F107" s="250">
        <v>151831</v>
      </c>
      <c r="G107" s="162">
        <v>128182</v>
      </c>
      <c r="H107" s="183">
        <f t="shared" si="24"/>
        <v>-15.6</v>
      </c>
      <c r="I107" s="27">
        <f>IFERROR(100/'Skjema total MA'!F107*G107,0)</f>
        <v>20.935442226102118</v>
      </c>
      <c r="J107" s="322">
        <f t="shared" si="33"/>
        <v>1484275</v>
      </c>
      <c r="K107" s="44">
        <f t="shared" si="33"/>
        <v>1541529</v>
      </c>
      <c r="L107" s="274">
        <f t="shared" si="26"/>
        <v>3.9</v>
      </c>
      <c r="M107" s="27">
        <f>IFERROR(100/'Skjema total MA'!I107*K107,0)</f>
        <v>27.871876777618414</v>
      </c>
    </row>
    <row r="108" spans="1:13" ht="15.75" x14ac:dyDescent="0.2">
      <c r="A108" s="21" t="s">
        <v>482</v>
      </c>
      <c r="B108" s="250">
        <v>123954955</v>
      </c>
      <c r="C108" s="250">
        <v>131157944</v>
      </c>
      <c r="D108" s="183">
        <f t="shared" si="23"/>
        <v>5.8</v>
      </c>
      <c r="E108" s="27">
        <f>IFERROR(100/'Skjema total MA'!C108*C108,0)</f>
        <v>42.686854183462849</v>
      </c>
      <c r="F108" s="250">
        <v>218332.38399999999</v>
      </c>
      <c r="G108" s="250">
        <v>310679</v>
      </c>
      <c r="H108" s="183">
        <f t="shared" si="24"/>
        <v>42.3</v>
      </c>
      <c r="I108" s="27">
        <f>IFERROR(100/'Skjema total MA'!F108*G108,0)</f>
        <v>2.0133416526872447</v>
      </c>
      <c r="J108" s="322">
        <f t="shared" si="33"/>
        <v>124173287.384</v>
      </c>
      <c r="K108" s="44">
        <f t="shared" si="33"/>
        <v>131468623</v>
      </c>
      <c r="L108" s="274">
        <f t="shared" si="26"/>
        <v>5.9</v>
      </c>
      <c r="M108" s="27">
        <f>IFERROR(100/'Skjema total MA'!I108*K108,0)</f>
        <v>40.741832085489506</v>
      </c>
    </row>
    <row r="109" spans="1:13" ht="15.75" x14ac:dyDescent="0.2">
      <c r="A109" s="21" t="s">
        <v>483</v>
      </c>
      <c r="B109" s="250">
        <v>0</v>
      </c>
      <c r="C109" s="250">
        <v>102388</v>
      </c>
      <c r="D109" s="183" t="str">
        <f t="shared" si="23"/>
        <v xml:space="preserve">    ---- </v>
      </c>
      <c r="E109" s="27">
        <f>IFERROR(100/'Skjema total MA'!C109*C109,0)</f>
        <v>9.6912151268382374</v>
      </c>
      <c r="F109" s="250">
        <v>15948160</v>
      </c>
      <c r="G109" s="250">
        <v>19464169</v>
      </c>
      <c r="H109" s="183">
        <f t="shared" si="24"/>
        <v>22</v>
      </c>
      <c r="I109" s="27">
        <f>IFERROR(100/'Skjema total MA'!F109*G109,0)</f>
        <v>26.299867453312572</v>
      </c>
      <c r="J109" s="322">
        <f t="shared" si="33"/>
        <v>15948160</v>
      </c>
      <c r="K109" s="44">
        <f t="shared" si="33"/>
        <v>19566557</v>
      </c>
      <c r="L109" s="274">
        <f t="shared" si="26"/>
        <v>22.7</v>
      </c>
      <c r="M109" s="27">
        <f>IFERROR(100/'Skjema total MA'!I109*K109,0)</f>
        <v>26.066109165845592</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209865</v>
      </c>
      <c r="C111" s="176">
        <f>SUM(C112:C114)</f>
        <v>65193</v>
      </c>
      <c r="D111" s="188">
        <f t="shared" si="23"/>
        <v>-68.900000000000006</v>
      </c>
      <c r="E111" s="11">
        <f>IFERROR(100/'Skjema total MA'!C111*C111,0)</f>
        <v>14.687676787049941</v>
      </c>
      <c r="F111" s="344">
        <f>SUM(F112:F114)</f>
        <v>1875183</v>
      </c>
      <c r="G111" s="176">
        <f>SUM(G112:G114)</f>
        <v>1069373</v>
      </c>
      <c r="H111" s="188">
        <f t="shared" si="24"/>
        <v>-43</v>
      </c>
      <c r="I111" s="11">
        <f>IFERROR(100/'Skjema total MA'!F111*G111,0)</f>
        <v>22.2783763808504</v>
      </c>
      <c r="J111" s="345">
        <f t="shared" si="33"/>
        <v>2085048</v>
      </c>
      <c r="K111" s="252">
        <f t="shared" si="33"/>
        <v>1134566</v>
      </c>
      <c r="L111" s="464">
        <f t="shared" si="26"/>
        <v>-45.6</v>
      </c>
      <c r="M111" s="11">
        <f>IFERROR(100/'Skjema total MA'!I111*K111,0)</f>
        <v>21.635874572738036</v>
      </c>
    </row>
    <row r="112" spans="1:13" x14ac:dyDescent="0.2">
      <c r="A112" s="21" t="s">
        <v>9</v>
      </c>
      <c r="B112" s="250">
        <v>209865</v>
      </c>
      <c r="C112" s="162">
        <v>65193</v>
      </c>
      <c r="D112" s="183">
        <f t="shared" ref="D112:D124" si="42">IF(B112=0, "    ---- ", IF(ABS(ROUND(100/B112*C112-100,1))&lt;999,ROUND(100/B112*C112-100,1),IF(ROUND(100/B112*C112-100,1)&gt;999,999,-999)))</f>
        <v>-68.900000000000006</v>
      </c>
      <c r="E112" s="27">
        <f>IFERROR(100/'Skjema total MA'!C112*C112,0)</f>
        <v>15.197098131322289</v>
      </c>
      <c r="F112" s="250"/>
      <c r="G112" s="162"/>
      <c r="H112" s="183"/>
      <c r="I112" s="27"/>
      <c r="J112" s="322">
        <f t="shared" ref="J112:K124" si="43">SUM(B112,F112)</f>
        <v>209865</v>
      </c>
      <c r="K112" s="44">
        <f t="shared" si="43"/>
        <v>65193</v>
      </c>
      <c r="L112" s="274">
        <f t="shared" ref="L112:L124" si="44">IF(J112=0, "    ---- ", IF(ABS(ROUND(100/J112*K112-100,1))&lt;999,ROUND(100/J112*K112-100,1),IF(ROUND(100/J112*K112-100,1)&gt;999,999,-999)))</f>
        <v>-68.900000000000006</v>
      </c>
      <c r="M112" s="27">
        <f>IFERROR(100/'Skjema total MA'!I112*K112,0)</f>
        <v>15.188433587528925</v>
      </c>
    </row>
    <row r="113" spans="1:14" x14ac:dyDescent="0.2">
      <c r="A113" s="21" t="s">
        <v>10</v>
      </c>
      <c r="B113" s="250"/>
      <c r="C113" s="162"/>
      <c r="D113" s="183"/>
      <c r="E113" s="27"/>
      <c r="F113" s="250">
        <v>1875183</v>
      </c>
      <c r="G113" s="162">
        <v>1069373</v>
      </c>
      <c r="H113" s="183">
        <f t="shared" ref="H113:H121" si="45">IF(F113=0, "    ---- ", IF(ABS(ROUND(100/F113*G113-100,1))&lt;999,ROUND(100/F113*G113-100,1),IF(ROUND(100/F113*G113-100,1)&gt;999,999,-999)))</f>
        <v>-43</v>
      </c>
      <c r="I113" s="27">
        <f>IFERROR(100/'Skjema total MA'!F113*G113,0)</f>
        <v>22.342646114062827</v>
      </c>
      <c r="J113" s="322">
        <f t="shared" si="43"/>
        <v>1875183</v>
      </c>
      <c r="K113" s="44">
        <f t="shared" si="43"/>
        <v>1069373</v>
      </c>
      <c r="L113" s="274">
        <f t="shared" si="44"/>
        <v>-43</v>
      </c>
      <c r="M113" s="27">
        <f>IFERROR(100/'Skjema total MA'!I113*K113,0)</f>
        <v>22.342646114062827</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t="s">
        <v>458</v>
      </c>
      <c r="C115" s="316" t="s">
        <v>458</v>
      </c>
      <c r="D115" s="183" t="str">
        <f>IF(kvartal=4,IF(B115=0, "    ---- ", IF(ABS(ROUND(100/B115*C115-100,1))&lt;999,ROUND(100/B115*C115-100,1),IF(ROUND(100/B115*C115-100,1)&gt;999,999,-999))),"")</f>
        <v/>
      </c>
      <c r="E115" s="453" t="str">
        <f>IF(kvartal=4,IFERROR(100/'Skjema total MA'!B115*C115,0),"")</f>
        <v/>
      </c>
      <c r="F115" s="316"/>
      <c r="G115" s="316"/>
      <c r="H115" s="183"/>
      <c r="I115" s="453"/>
      <c r="J115" s="325"/>
      <c r="K115" s="325"/>
      <c r="L115" s="183"/>
      <c r="M115" s="23"/>
    </row>
    <row r="116" spans="1:14" ht="15.75" x14ac:dyDescent="0.2">
      <c r="A116" s="21" t="s">
        <v>482</v>
      </c>
      <c r="B116" s="250">
        <v>0</v>
      </c>
      <c r="C116" s="250">
        <v>22705</v>
      </c>
      <c r="D116" s="183" t="str">
        <f t="shared" si="42"/>
        <v xml:space="preserve">    ---- </v>
      </c>
      <c r="E116" s="27">
        <f>IFERROR(100/'Skjema total MA'!C116*C116,0)</f>
        <v>48.996574950804877</v>
      </c>
      <c r="F116" s="250"/>
      <c r="G116" s="250"/>
      <c r="H116" s="183"/>
      <c r="I116" s="27"/>
      <c r="J116" s="322">
        <f t="shared" si="43"/>
        <v>0</v>
      </c>
      <c r="K116" s="44">
        <f t="shared" si="43"/>
        <v>22705</v>
      </c>
      <c r="L116" s="274" t="str">
        <f t="shared" si="44"/>
        <v xml:space="preserve">    ---- </v>
      </c>
      <c r="M116" s="27">
        <f>IFERROR(100/'Skjema total MA'!I116*K116,0)</f>
        <v>48.421301559463338</v>
      </c>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28002</v>
      </c>
      <c r="C119" s="176">
        <f>SUM(C120:C122)</f>
        <v>51431</v>
      </c>
      <c r="D119" s="188">
        <f t="shared" si="42"/>
        <v>83.7</v>
      </c>
      <c r="E119" s="11">
        <f>IFERROR(100/'Skjema total MA'!C119*C119,0)</f>
        <v>30.222200637695153</v>
      </c>
      <c r="F119" s="344">
        <f>SUM(F120:F122)</f>
        <v>536639</v>
      </c>
      <c r="G119" s="176">
        <f>SUM(G120:G122)</f>
        <v>1884478</v>
      </c>
      <c r="H119" s="188">
        <f t="shared" si="45"/>
        <v>251.2</v>
      </c>
      <c r="I119" s="11">
        <f>IFERROR(100/'Skjema total MA'!F119*G119,0)</f>
        <v>37.547474101314826</v>
      </c>
      <c r="J119" s="345">
        <f t="shared" si="43"/>
        <v>564641</v>
      </c>
      <c r="K119" s="252">
        <f t="shared" si="43"/>
        <v>1935909</v>
      </c>
      <c r="L119" s="464">
        <f t="shared" si="44"/>
        <v>242.9</v>
      </c>
      <c r="M119" s="11">
        <f>IFERROR(100/'Skjema total MA'!I119*K119,0)</f>
        <v>37.307242059502364</v>
      </c>
    </row>
    <row r="120" spans="1:14" x14ac:dyDescent="0.2">
      <c r="A120" s="21" t="s">
        <v>9</v>
      </c>
      <c r="B120" s="250">
        <v>28002</v>
      </c>
      <c r="C120" s="162">
        <v>51431</v>
      </c>
      <c r="D120" s="183">
        <f t="shared" si="42"/>
        <v>83.7</v>
      </c>
      <c r="E120" s="27">
        <f>IFERROR(100/'Skjema total MA'!C120*C120,0)</f>
        <v>44.549673973738535</v>
      </c>
      <c r="F120" s="250"/>
      <c r="G120" s="162"/>
      <c r="H120" s="183"/>
      <c r="I120" s="27"/>
      <c r="J120" s="322">
        <f t="shared" si="43"/>
        <v>28002</v>
      </c>
      <c r="K120" s="44">
        <f t="shared" si="43"/>
        <v>51431</v>
      </c>
      <c r="L120" s="274">
        <f t="shared" si="44"/>
        <v>83.7</v>
      </c>
      <c r="M120" s="27">
        <f>IFERROR(100/'Skjema total MA'!I120*K120,0)</f>
        <v>44.549673973738535</v>
      </c>
    </row>
    <row r="121" spans="1:14" x14ac:dyDescent="0.2">
      <c r="A121" s="21" t="s">
        <v>10</v>
      </c>
      <c r="B121" s="250"/>
      <c r="C121" s="162"/>
      <c r="D121" s="183"/>
      <c r="E121" s="27"/>
      <c r="F121" s="250">
        <v>536639</v>
      </c>
      <c r="G121" s="162">
        <v>1884478</v>
      </c>
      <c r="H121" s="183">
        <f t="shared" si="45"/>
        <v>251.2</v>
      </c>
      <c r="I121" s="27">
        <f>IFERROR(100/'Skjema total MA'!F121*G121,0)</f>
        <v>37.546365938640477</v>
      </c>
      <c r="J121" s="322">
        <f t="shared" si="43"/>
        <v>536639</v>
      </c>
      <c r="K121" s="44">
        <f t="shared" si="43"/>
        <v>1884478</v>
      </c>
      <c r="L121" s="274">
        <f t="shared" si="44"/>
        <v>251.2</v>
      </c>
      <c r="M121" s="27">
        <f>IFERROR(100/'Skjema total MA'!I121*K121,0)</f>
        <v>37.49108665125695</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t="s">
        <v>458</v>
      </c>
      <c r="C123" s="316" t="s">
        <v>458</v>
      </c>
      <c r="D123" s="183" t="str">
        <f>IF(kvartal=4,IF(B123=0, "    ---- ", IF(ABS(ROUND(100/B123*C123-100,1))&lt;999,ROUND(100/B123*C123-100,1),IF(ROUND(100/B123*C123-100,1)&gt;999,999,-999))),"")</f>
        <v/>
      </c>
      <c r="E123" s="453" t="str">
        <f>IF(kvartal=4,IFERROR(100/'Skjema total MA'!B123*C123,0),"")</f>
        <v/>
      </c>
      <c r="F123" s="316"/>
      <c r="G123" s="316"/>
      <c r="H123" s="183"/>
      <c r="I123" s="453"/>
      <c r="J123" s="325" t="str">
        <f>IF(kvartal=4,SUM(B123,F123),"")</f>
        <v/>
      </c>
      <c r="K123" s="325" t="str">
        <f>IF(kvartal=4,SUM(C123,G123),"")</f>
        <v/>
      </c>
      <c r="L123" s="183" t="str">
        <f>IF(kvartal=4,IF(J123=0, "    ---- ", IF(ABS(ROUND(100/J123*K123-100,1))&lt;999,ROUND(100/J123*K123-100,1),IF(ROUND(100/J123*K123-100,1)&gt;999,999,-999))),"")</f>
        <v/>
      </c>
      <c r="M123" s="23">
        <f>IFERROR(100/'Skjema total MA'!I123*K123,0)</f>
        <v>0</v>
      </c>
    </row>
    <row r="124" spans="1:14" ht="15.75" x14ac:dyDescent="0.2">
      <c r="A124" s="21" t="s">
        <v>482</v>
      </c>
      <c r="B124" s="250">
        <v>0</v>
      </c>
      <c r="C124" s="250">
        <v>31895</v>
      </c>
      <c r="D124" s="183" t="str">
        <f t="shared" si="42"/>
        <v xml:space="preserve">    ---- </v>
      </c>
      <c r="E124" s="27">
        <f>IFERROR(100/'Skjema total MA'!C124*C124,0)</f>
        <v>94.716952959632309</v>
      </c>
      <c r="F124" s="250"/>
      <c r="G124" s="250"/>
      <c r="H124" s="183"/>
      <c r="I124" s="27"/>
      <c r="J124" s="322">
        <f t="shared" si="43"/>
        <v>0</v>
      </c>
      <c r="K124" s="44">
        <f t="shared" si="43"/>
        <v>31895</v>
      </c>
      <c r="L124" s="274" t="str">
        <f t="shared" si="44"/>
        <v xml:space="preserve">    ---- </v>
      </c>
      <c r="M124" s="27">
        <f>IFERROR(100/'Skjema total MA'!I124*K124,0)</f>
        <v>91.406428690504811</v>
      </c>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04" priority="138">
      <formula>kvartal &lt; 4</formula>
    </cfRule>
  </conditionalFormatting>
  <conditionalFormatting sqref="B69">
    <cfRule type="expression" dxfId="1203" priority="106">
      <formula>kvartal &lt; 4</formula>
    </cfRule>
  </conditionalFormatting>
  <conditionalFormatting sqref="C69">
    <cfRule type="expression" dxfId="1202" priority="105">
      <formula>kvartal &lt; 4</formula>
    </cfRule>
  </conditionalFormatting>
  <conditionalFormatting sqref="B72">
    <cfRule type="expression" dxfId="1201" priority="104">
      <formula>kvartal &lt; 4</formula>
    </cfRule>
  </conditionalFormatting>
  <conditionalFormatting sqref="C72">
    <cfRule type="expression" dxfId="1200" priority="103">
      <formula>kvartal &lt; 4</formula>
    </cfRule>
  </conditionalFormatting>
  <conditionalFormatting sqref="B80">
    <cfRule type="expression" dxfId="1199" priority="102">
      <formula>kvartal &lt; 4</formula>
    </cfRule>
  </conditionalFormatting>
  <conditionalFormatting sqref="C80">
    <cfRule type="expression" dxfId="1198" priority="101">
      <formula>kvartal &lt; 4</formula>
    </cfRule>
  </conditionalFormatting>
  <conditionalFormatting sqref="B83">
    <cfRule type="expression" dxfId="1197" priority="100">
      <formula>kvartal &lt; 4</formula>
    </cfRule>
  </conditionalFormatting>
  <conditionalFormatting sqref="C83">
    <cfRule type="expression" dxfId="1196" priority="99">
      <formula>kvartal &lt; 4</formula>
    </cfRule>
  </conditionalFormatting>
  <conditionalFormatting sqref="B90">
    <cfRule type="expression" dxfId="1195" priority="90">
      <formula>kvartal &lt; 4</formula>
    </cfRule>
  </conditionalFormatting>
  <conditionalFormatting sqref="C90">
    <cfRule type="expression" dxfId="1194" priority="89">
      <formula>kvartal &lt; 4</formula>
    </cfRule>
  </conditionalFormatting>
  <conditionalFormatting sqref="B93">
    <cfRule type="expression" dxfId="1193" priority="88">
      <formula>kvartal &lt; 4</formula>
    </cfRule>
  </conditionalFormatting>
  <conditionalFormatting sqref="C93">
    <cfRule type="expression" dxfId="1192" priority="87">
      <formula>kvartal &lt; 4</formula>
    </cfRule>
  </conditionalFormatting>
  <conditionalFormatting sqref="B101">
    <cfRule type="expression" dxfId="1191" priority="86">
      <formula>kvartal &lt; 4</formula>
    </cfRule>
  </conditionalFormatting>
  <conditionalFormatting sqref="C101">
    <cfRule type="expression" dxfId="1190" priority="85">
      <formula>kvartal &lt; 4</formula>
    </cfRule>
  </conditionalFormatting>
  <conditionalFormatting sqref="B104">
    <cfRule type="expression" dxfId="1189" priority="84">
      <formula>kvartal &lt; 4</formula>
    </cfRule>
  </conditionalFormatting>
  <conditionalFormatting sqref="C104">
    <cfRule type="expression" dxfId="1188" priority="83">
      <formula>kvartal &lt; 4</formula>
    </cfRule>
  </conditionalFormatting>
  <conditionalFormatting sqref="B115">
    <cfRule type="expression" dxfId="1187" priority="82">
      <formula>kvartal &lt; 4</formula>
    </cfRule>
  </conditionalFormatting>
  <conditionalFormatting sqref="C115">
    <cfRule type="expression" dxfId="1186" priority="81">
      <formula>kvartal &lt; 4</formula>
    </cfRule>
  </conditionalFormatting>
  <conditionalFormatting sqref="B123">
    <cfRule type="expression" dxfId="1185" priority="80">
      <formula>kvartal &lt; 4</formula>
    </cfRule>
  </conditionalFormatting>
  <conditionalFormatting sqref="C123">
    <cfRule type="expression" dxfId="1184" priority="79">
      <formula>kvartal &lt; 4</formula>
    </cfRule>
  </conditionalFormatting>
  <conditionalFormatting sqref="F70">
    <cfRule type="expression" dxfId="1183" priority="78">
      <formula>kvartal &lt; 4</formula>
    </cfRule>
  </conditionalFormatting>
  <conditionalFormatting sqref="G70">
    <cfRule type="expression" dxfId="1182" priority="77">
      <formula>kvartal &lt; 4</formula>
    </cfRule>
  </conditionalFormatting>
  <conditionalFormatting sqref="F71:G71">
    <cfRule type="expression" dxfId="1181" priority="76">
      <formula>kvartal &lt; 4</formula>
    </cfRule>
  </conditionalFormatting>
  <conditionalFormatting sqref="F73:G74">
    <cfRule type="expression" dxfId="1180" priority="75">
      <formula>kvartal &lt; 4</formula>
    </cfRule>
  </conditionalFormatting>
  <conditionalFormatting sqref="F81:G82">
    <cfRule type="expression" dxfId="1179" priority="74">
      <formula>kvartal &lt; 4</formula>
    </cfRule>
  </conditionalFormatting>
  <conditionalFormatting sqref="F84:G85">
    <cfRule type="expression" dxfId="1178" priority="73">
      <formula>kvartal &lt; 4</formula>
    </cfRule>
  </conditionalFormatting>
  <conditionalFormatting sqref="F91:G92">
    <cfRule type="expression" dxfId="1177" priority="68">
      <formula>kvartal &lt; 4</formula>
    </cfRule>
  </conditionalFormatting>
  <conditionalFormatting sqref="F94:G95">
    <cfRule type="expression" dxfId="1176" priority="67">
      <formula>kvartal &lt; 4</formula>
    </cfRule>
  </conditionalFormatting>
  <conditionalFormatting sqref="F102:G103">
    <cfRule type="expression" dxfId="1175" priority="66">
      <formula>kvartal &lt; 4</formula>
    </cfRule>
  </conditionalFormatting>
  <conditionalFormatting sqref="F105:G106">
    <cfRule type="expression" dxfId="1174" priority="65">
      <formula>kvartal &lt; 4</formula>
    </cfRule>
  </conditionalFormatting>
  <conditionalFormatting sqref="F115">
    <cfRule type="expression" dxfId="1173" priority="64">
      <formula>kvartal &lt; 4</formula>
    </cfRule>
  </conditionalFormatting>
  <conditionalFormatting sqref="G115">
    <cfRule type="expression" dxfId="1172" priority="63">
      <formula>kvartal &lt; 4</formula>
    </cfRule>
  </conditionalFormatting>
  <conditionalFormatting sqref="F123:G123">
    <cfRule type="expression" dxfId="1171" priority="62">
      <formula>kvartal &lt; 4</formula>
    </cfRule>
  </conditionalFormatting>
  <conditionalFormatting sqref="F69:G69">
    <cfRule type="expression" dxfId="1170" priority="61">
      <formula>kvartal &lt; 4</formula>
    </cfRule>
  </conditionalFormatting>
  <conditionalFormatting sqref="F72:G72">
    <cfRule type="expression" dxfId="1169" priority="60">
      <formula>kvartal &lt; 4</formula>
    </cfRule>
  </conditionalFormatting>
  <conditionalFormatting sqref="F80:G80">
    <cfRule type="expression" dxfId="1168" priority="59">
      <formula>kvartal &lt; 4</formula>
    </cfRule>
  </conditionalFormatting>
  <conditionalFormatting sqref="F83:G83">
    <cfRule type="expression" dxfId="1167" priority="58">
      <formula>kvartal &lt; 4</formula>
    </cfRule>
  </conditionalFormatting>
  <conditionalFormatting sqref="F90:G90">
    <cfRule type="expression" dxfId="1166" priority="52">
      <formula>kvartal &lt; 4</formula>
    </cfRule>
  </conditionalFormatting>
  <conditionalFormatting sqref="F93">
    <cfRule type="expression" dxfId="1165" priority="51">
      <formula>kvartal &lt; 4</formula>
    </cfRule>
  </conditionalFormatting>
  <conditionalFormatting sqref="G93">
    <cfRule type="expression" dxfId="1164" priority="50">
      <formula>kvartal &lt; 4</formula>
    </cfRule>
  </conditionalFormatting>
  <conditionalFormatting sqref="F101">
    <cfRule type="expression" dxfId="1163" priority="49">
      <formula>kvartal &lt; 4</formula>
    </cfRule>
  </conditionalFormatting>
  <conditionalFormatting sqref="G101">
    <cfRule type="expression" dxfId="1162" priority="48">
      <formula>kvartal &lt; 4</formula>
    </cfRule>
  </conditionalFormatting>
  <conditionalFormatting sqref="G104">
    <cfRule type="expression" dxfId="1161" priority="47">
      <formula>kvartal &lt; 4</formula>
    </cfRule>
  </conditionalFormatting>
  <conditionalFormatting sqref="F104">
    <cfRule type="expression" dxfId="1160" priority="46">
      <formula>kvartal &lt; 4</formula>
    </cfRule>
  </conditionalFormatting>
  <conditionalFormatting sqref="J69:K73">
    <cfRule type="expression" dxfId="1159" priority="45">
      <formula>kvartal &lt; 4</formula>
    </cfRule>
  </conditionalFormatting>
  <conditionalFormatting sqref="J74:K74">
    <cfRule type="expression" dxfId="1158" priority="44">
      <formula>kvartal &lt; 4</formula>
    </cfRule>
  </conditionalFormatting>
  <conditionalFormatting sqref="J80:K85">
    <cfRule type="expression" dxfId="1157" priority="43">
      <formula>kvartal &lt; 4</formula>
    </cfRule>
  </conditionalFormatting>
  <conditionalFormatting sqref="J90:K95">
    <cfRule type="expression" dxfId="1156" priority="40">
      <formula>kvartal &lt; 4</formula>
    </cfRule>
  </conditionalFormatting>
  <conditionalFormatting sqref="J101:K106">
    <cfRule type="expression" dxfId="1155" priority="39">
      <formula>kvartal &lt; 4</formula>
    </cfRule>
  </conditionalFormatting>
  <conditionalFormatting sqref="J115:K115">
    <cfRule type="expression" dxfId="1154" priority="38">
      <formula>kvartal &lt; 4</formula>
    </cfRule>
  </conditionalFormatting>
  <conditionalFormatting sqref="J123:K123">
    <cfRule type="expression" dxfId="1153" priority="37">
      <formula>kvartal &lt; 4</formula>
    </cfRule>
  </conditionalFormatting>
  <conditionalFormatting sqref="A50:A52">
    <cfRule type="expression" dxfId="1152" priority="18">
      <formula>kvartal &lt; 4</formula>
    </cfRule>
  </conditionalFormatting>
  <conditionalFormatting sqref="A69:A74">
    <cfRule type="expression" dxfId="1151" priority="6">
      <formula>kvartal &lt; 4</formula>
    </cfRule>
  </conditionalFormatting>
  <conditionalFormatting sqref="A115">
    <cfRule type="expression" dxfId="1150" priority="5">
      <formula>kvartal &lt; 4</formula>
    </cfRule>
  </conditionalFormatting>
  <conditionalFormatting sqref="A123">
    <cfRule type="expression" dxfId="1149" priority="4">
      <formula>kvartal &lt; 4</formula>
    </cfRule>
  </conditionalFormatting>
  <conditionalFormatting sqref="A80:A85">
    <cfRule type="expression" dxfId="1148" priority="3">
      <formula>kvartal &lt; 4</formula>
    </cfRule>
  </conditionalFormatting>
  <conditionalFormatting sqref="A90:A95">
    <cfRule type="expression" dxfId="1147" priority="2">
      <formula>kvartal &lt; 4</formula>
    </cfRule>
  </conditionalFormatting>
  <conditionalFormatting sqref="A101:A106">
    <cfRule type="expression" dxfId="1146" priority="1">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146</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58168</v>
      </c>
      <c r="C7" s="343">
        <v>66623</v>
      </c>
      <c r="D7" s="384">
        <f>IF(B7=0, "    ---- ", IF(ABS(ROUND(100/B7*C7-100,1))&lt;999,ROUND(100/B7*C7-100,1),IF(ROUND(100/B7*C7-100,1)&gt;999,999,-999)))</f>
        <v>14.5</v>
      </c>
      <c r="E7" s="11">
        <f>IFERROR(100/'Skjema total MA'!C7*C7,0)</f>
        <v>4.0379222214088761</v>
      </c>
      <c r="F7" s="342"/>
      <c r="G7" s="343"/>
      <c r="H7" s="384"/>
      <c r="I7" s="177"/>
      <c r="J7" s="344">
        <v>58168</v>
      </c>
      <c r="K7" s="345">
        <v>66623</v>
      </c>
      <c r="L7" s="463">
        <f>IF(J7=0, "    ---- ", IF(ABS(ROUND(100/J7*K7-100,1))&lt;999,ROUND(100/J7*K7-100,1),IF(ROUND(100/J7*K7-100,1)&gt;999,999,-999)))</f>
        <v>14.5</v>
      </c>
      <c r="M7" s="11">
        <f>IFERROR(100/'Skjema total MA'!I7*K7,0)</f>
        <v>1.8070521223083174</v>
      </c>
    </row>
    <row r="8" spans="1:15" ht="15.75" x14ac:dyDescent="0.2">
      <c r="A8" s="21" t="s">
        <v>26</v>
      </c>
      <c r="B8" s="316">
        <v>27953</v>
      </c>
      <c r="C8" s="317">
        <v>32965</v>
      </c>
      <c r="D8" s="183">
        <f t="shared" ref="D8:D9" si="0">IF(B8=0, "    ---- ", IF(ABS(ROUND(100/B8*C8-100,1))&lt;999,ROUND(100/B8*C8-100,1),IF(ROUND(100/B8*C8-100,1)&gt;999,999,-999)))</f>
        <v>17.899999999999999</v>
      </c>
      <c r="E8" s="27">
        <f>IFERROR(100/'Skjema total MA'!C8*C8,0)</f>
        <v>3.2213295880578889</v>
      </c>
      <c r="F8" s="320"/>
      <c r="G8" s="321"/>
      <c r="H8" s="183"/>
      <c r="I8" s="193"/>
      <c r="J8" s="250">
        <v>27953</v>
      </c>
      <c r="K8" s="322">
        <v>32965</v>
      </c>
      <c r="L8" s="183">
        <f t="shared" ref="L8:L9" si="1">IF(J8=0, "    ---- ", IF(ABS(ROUND(100/J8*K8-100,1))&lt;999,ROUND(100/J8*K8-100,1),IF(ROUND(100/J8*K8-100,1)&gt;999,999,-999)))</f>
        <v>17.899999999999999</v>
      </c>
      <c r="M8" s="27">
        <f>IFERROR(100/'Skjema total MA'!I8*K8,0)</f>
        <v>3.2213295880578889</v>
      </c>
    </row>
    <row r="9" spans="1:15" ht="15.75" x14ac:dyDescent="0.2">
      <c r="A9" s="21" t="s">
        <v>25</v>
      </c>
      <c r="B9" s="316">
        <v>30215</v>
      </c>
      <c r="C9" s="317">
        <v>33658</v>
      </c>
      <c r="D9" s="183">
        <f t="shared" si="0"/>
        <v>11.4</v>
      </c>
      <c r="E9" s="27">
        <f>IFERROR(100/'Skjema total MA'!C9*C9,0)</f>
        <v>6.4904053542905409</v>
      </c>
      <c r="F9" s="320"/>
      <c r="G9" s="321"/>
      <c r="H9" s="183"/>
      <c r="I9" s="193"/>
      <c r="J9" s="250">
        <v>30215</v>
      </c>
      <c r="K9" s="322">
        <v>33658</v>
      </c>
      <c r="L9" s="183">
        <f t="shared" si="1"/>
        <v>11.4</v>
      </c>
      <c r="M9" s="27">
        <f>IFERROR(100/'Skjema total MA'!I9*K9,0)</f>
        <v>6.4904053542905409</v>
      </c>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45" priority="138">
      <formula>kvartal &lt; 4</formula>
    </cfRule>
  </conditionalFormatting>
  <conditionalFormatting sqref="B69">
    <cfRule type="expression" dxfId="1144" priority="106">
      <formula>kvartal &lt; 4</formula>
    </cfRule>
  </conditionalFormatting>
  <conditionalFormatting sqref="C69">
    <cfRule type="expression" dxfId="1143" priority="105">
      <formula>kvartal &lt; 4</formula>
    </cfRule>
  </conditionalFormatting>
  <conditionalFormatting sqref="B72">
    <cfRule type="expression" dxfId="1142" priority="104">
      <formula>kvartal &lt; 4</formula>
    </cfRule>
  </conditionalFormatting>
  <conditionalFormatting sqref="C72">
    <cfRule type="expression" dxfId="1141" priority="103">
      <formula>kvartal &lt; 4</formula>
    </cfRule>
  </conditionalFormatting>
  <conditionalFormatting sqref="B80">
    <cfRule type="expression" dxfId="1140" priority="102">
      <formula>kvartal &lt; 4</formula>
    </cfRule>
  </conditionalFormatting>
  <conditionalFormatting sqref="C80">
    <cfRule type="expression" dxfId="1139" priority="101">
      <formula>kvartal &lt; 4</formula>
    </cfRule>
  </conditionalFormatting>
  <conditionalFormatting sqref="B83">
    <cfRule type="expression" dxfId="1138" priority="100">
      <formula>kvartal &lt; 4</formula>
    </cfRule>
  </conditionalFormatting>
  <conditionalFormatting sqref="C83">
    <cfRule type="expression" dxfId="1137" priority="99">
      <formula>kvartal &lt; 4</formula>
    </cfRule>
  </conditionalFormatting>
  <conditionalFormatting sqref="B90">
    <cfRule type="expression" dxfId="1136" priority="90">
      <formula>kvartal &lt; 4</formula>
    </cfRule>
  </conditionalFormatting>
  <conditionalFormatting sqref="C90">
    <cfRule type="expression" dxfId="1135" priority="89">
      <formula>kvartal &lt; 4</formula>
    </cfRule>
  </conditionalFormatting>
  <conditionalFormatting sqref="B93">
    <cfRule type="expression" dxfId="1134" priority="88">
      <formula>kvartal &lt; 4</formula>
    </cfRule>
  </conditionalFormatting>
  <conditionalFormatting sqref="C93">
    <cfRule type="expression" dxfId="1133" priority="87">
      <formula>kvartal &lt; 4</formula>
    </cfRule>
  </conditionalFormatting>
  <conditionalFormatting sqref="B101">
    <cfRule type="expression" dxfId="1132" priority="86">
      <formula>kvartal &lt; 4</formula>
    </cfRule>
  </conditionalFormatting>
  <conditionalFormatting sqref="C101">
    <cfRule type="expression" dxfId="1131" priority="85">
      <formula>kvartal &lt; 4</formula>
    </cfRule>
  </conditionalFormatting>
  <conditionalFormatting sqref="B104">
    <cfRule type="expression" dxfId="1130" priority="84">
      <formula>kvartal &lt; 4</formula>
    </cfRule>
  </conditionalFormatting>
  <conditionalFormatting sqref="C104">
    <cfRule type="expression" dxfId="1129" priority="83">
      <formula>kvartal &lt; 4</formula>
    </cfRule>
  </conditionalFormatting>
  <conditionalFormatting sqref="B115">
    <cfRule type="expression" dxfId="1128" priority="82">
      <formula>kvartal &lt; 4</formula>
    </cfRule>
  </conditionalFormatting>
  <conditionalFormatting sqref="C115">
    <cfRule type="expression" dxfId="1127" priority="81">
      <formula>kvartal &lt; 4</formula>
    </cfRule>
  </conditionalFormatting>
  <conditionalFormatting sqref="B123">
    <cfRule type="expression" dxfId="1126" priority="80">
      <formula>kvartal &lt; 4</formula>
    </cfRule>
  </conditionalFormatting>
  <conditionalFormatting sqref="C123">
    <cfRule type="expression" dxfId="1125" priority="79">
      <formula>kvartal &lt; 4</formula>
    </cfRule>
  </conditionalFormatting>
  <conditionalFormatting sqref="F70">
    <cfRule type="expression" dxfId="1124" priority="78">
      <formula>kvartal &lt; 4</formula>
    </cfRule>
  </conditionalFormatting>
  <conditionalFormatting sqref="G70">
    <cfRule type="expression" dxfId="1123" priority="77">
      <formula>kvartal &lt; 4</formula>
    </cfRule>
  </conditionalFormatting>
  <conditionalFormatting sqref="F71:G71">
    <cfRule type="expression" dxfId="1122" priority="76">
      <formula>kvartal &lt; 4</formula>
    </cfRule>
  </conditionalFormatting>
  <conditionalFormatting sqref="F73:G74">
    <cfRule type="expression" dxfId="1121" priority="75">
      <formula>kvartal &lt; 4</formula>
    </cfRule>
  </conditionalFormatting>
  <conditionalFormatting sqref="F81:G82">
    <cfRule type="expression" dxfId="1120" priority="74">
      <formula>kvartal &lt; 4</formula>
    </cfRule>
  </conditionalFormatting>
  <conditionalFormatting sqref="F84:G85">
    <cfRule type="expression" dxfId="1119" priority="73">
      <formula>kvartal &lt; 4</formula>
    </cfRule>
  </conditionalFormatting>
  <conditionalFormatting sqref="F91:G92">
    <cfRule type="expression" dxfId="1118" priority="68">
      <formula>kvartal &lt; 4</formula>
    </cfRule>
  </conditionalFormatting>
  <conditionalFormatting sqref="F94:G95">
    <cfRule type="expression" dxfId="1117" priority="67">
      <formula>kvartal &lt; 4</formula>
    </cfRule>
  </conditionalFormatting>
  <conditionalFormatting sqref="F102:G103">
    <cfRule type="expression" dxfId="1116" priority="66">
      <formula>kvartal &lt; 4</formula>
    </cfRule>
  </conditionalFormatting>
  <conditionalFormatting sqref="F105:G106">
    <cfRule type="expression" dxfId="1115" priority="65">
      <formula>kvartal &lt; 4</formula>
    </cfRule>
  </conditionalFormatting>
  <conditionalFormatting sqref="F115">
    <cfRule type="expression" dxfId="1114" priority="64">
      <formula>kvartal &lt; 4</formula>
    </cfRule>
  </conditionalFormatting>
  <conditionalFormatting sqref="G115">
    <cfRule type="expression" dxfId="1113" priority="63">
      <formula>kvartal &lt; 4</formula>
    </cfRule>
  </conditionalFormatting>
  <conditionalFormatting sqref="F123:G123">
    <cfRule type="expression" dxfId="1112" priority="62">
      <formula>kvartal &lt; 4</formula>
    </cfRule>
  </conditionalFormatting>
  <conditionalFormatting sqref="F69:G69">
    <cfRule type="expression" dxfId="1111" priority="61">
      <formula>kvartal &lt; 4</formula>
    </cfRule>
  </conditionalFormatting>
  <conditionalFormatting sqref="F72:G72">
    <cfRule type="expression" dxfId="1110" priority="60">
      <formula>kvartal &lt; 4</formula>
    </cfRule>
  </conditionalFormatting>
  <conditionalFormatting sqref="F80:G80">
    <cfRule type="expression" dxfId="1109" priority="59">
      <formula>kvartal &lt; 4</formula>
    </cfRule>
  </conditionalFormatting>
  <conditionalFormatting sqref="F83:G83">
    <cfRule type="expression" dxfId="1108" priority="58">
      <formula>kvartal &lt; 4</formula>
    </cfRule>
  </conditionalFormatting>
  <conditionalFormatting sqref="F90:G90">
    <cfRule type="expression" dxfId="1107" priority="52">
      <formula>kvartal &lt; 4</formula>
    </cfRule>
  </conditionalFormatting>
  <conditionalFormatting sqref="F93">
    <cfRule type="expression" dxfId="1106" priority="51">
      <formula>kvartal &lt; 4</formula>
    </cfRule>
  </conditionalFormatting>
  <conditionalFormatting sqref="G93">
    <cfRule type="expression" dxfId="1105" priority="50">
      <formula>kvartal &lt; 4</formula>
    </cfRule>
  </conditionalFormatting>
  <conditionalFormatting sqref="F101">
    <cfRule type="expression" dxfId="1104" priority="49">
      <formula>kvartal &lt; 4</formula>
    </cfRule>
  </conditionalFormatting>
  <conditionalFormatting sqref="G101">
    <cfRule type="expression" dxfId="1103" priority="48">
      <formula>kvartal &lt; 4</formula>
    </cfRule>
  </conditionalFormatting>
  <conditionalFormatting sqref="G104">
    <cfRule type="expression" dxfId="1102" priority="47">
      <formula>kvartal &lt; 4</formula>
    </cfRule>
  </conditionalFormatting>
  <conditionalFormatting sqref="F104">
    <cfRule type="expression" dxfId="1101" priority="46">
      <formula>kvartal &lt; 4</formula>
    </cfRule>
  </conditionalFormatting>
  <conditionalFormatting sqref="J69:K73">
    <cfRule type="expression" dxfId="1100" priority="45">
      <formula>kvartal &lt; 4</formula>
    </cfRule>
  </conditionalFormatting>
  <conditionalFormatting sqref="J74:K74">
    <cfRule type="expression" dxfId="1099" priority="44">
      <formula>kvartal &lt; 4</formula>
    </cfRule>
  </conditionalFormatting>
  <conditionalFormatting sqref="J80:K85">
    <cfRule type="expression" dxfId="1098" priority="43">
      <formula>kvartal &lt; 4</formula>
    </cfRule>
  </conditionalFormatting>
  <conditionalFormatting sqref="J90:K95">
    <cfRule type="expression" dxfId="1097" priority="40">
      <formula>kvartal &lt; 4</formula>
    </cfRule>
  </conditionalFormatting>
  <conditionalFormatting sqref="J101:K106">
    <cfRule type="expression" dxfId="1096" priority="39">
      <formula>kvartal &lt; 4</formula>
    </cfRule>
  </conditionalFormatting>
  <conditionalFormatting sqref="J115:K115">
    <cfRule type="expression" dxfId="1095" priority="38">
      <formula>kvartal &lt; 4</formula>
    </cfRule>
  </conditionalFormatting>
  <conditionalFormatting sqref="J123:K123">
    <cfRule type="expression" dxfId="1094" priority="37">
      <formula>kvartal &lt; 4</formula>
    </cfRule>
  </conditionalFormatting>
  <conditionalFormatting sqref="A50:A52">
    <cfRule type="expression" dxfId="1093" priority="18">
      <formula>kvartal &lt; 4</formula>
    </cfRule>
  </conditionalFormatting>
  <conditionalFormatting sqref="A69:A74">
    <cfRule type="expression" dxfId="1092" priority="6">
      <formula>kvartal &lt; 4</formula>
    </cfRule>
  </conditionalFormatting>
  <conditionalFormatting sqref="A115">
    <cfRule type="expression" dxfId="1091" priority="5">
      <formula>kvartal &lt; 4</formula>
    </cfRule>
  </conditionalFormatting>
  <conditionalFormatting sqref="A123">
    <cfRule type="expression" dxfId="1090" priority="4">
      <formula>kvartal &lt; 4</formula>
    </cfRule>
  </conditionalFormatting>
  <conditionalFormatting sqref="A80:A85">
    <cfRule type="expression" dxfId="1089" priority="3">
      <formula>kvartal &lt; 4</formula>
    </cfRule>
  </conditionalFormatting>
  <conditionalFormatting sqref="A90:A95">
    <cfRule type="expression" dxfId="1088" priority="2">
      <formula>kvartal &lt; 4</formula>
    </cfRule>
  </conditionalFormatting>
  <conditionalFormatting sqref="A101:A106">
    <cfRule type="expression" dxfId="1087"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8" x14ac:dyDescent="0.2">
      <c r="A1" s="189" t="s">
        <v>217</v>
      </c>
      <c r="B1" s="722"/>
      <c r="C1" s="265" t="s">
        <v>149</v>
      </c>
      <c r="D1" s="26"/>
      <c r="E1" s="26"/>
      <c r="F1" s="26"/>
      <c r="G1" s="26"/>
      <c r="H1" s="26"/>
      <c r="I1" s="26"/>
      <c r="J1" s="26"/>
      <c r="K1" s="26"/>
      <c r="L1" s="26"/>
      <c r="M1" s="26"/>
      <c r="O1" s="462"/>
    </row>
    <row r="2" spans="1:18" ht="15.75" x14ac:dyDescent="0.25">
      <c r="A2" s="182" t="s">
        <v>29</v>
      </c>
      <c r="B2" s="755"/>
      <c r="C2" s="755"/>
      <c r="D2" s="755"/>
      <c r="E2" s="334"/>
      <c r="F2" s="755"/>
      <c r="G2" s="755"/>
      <c r="H2" s="755"/>
      <c r="I2" s="334"/>
      <c r="J2" s="755"/>
      <c r="K2" s="755"/>
      <c r="L2" s="755"/>
      <c r="M2" s="334"/>
    </row>
    <row r="3" spans="1:18" ht="15.75" x14ac:dyDescent="0.25">
      <c r="A3" s="180"/>
      <c r="B3" s="334"/>
      <c r="C3" s="334"/>
      <c r="D3" s="334"/>
      <c r="E3" s="334"/>
      <c r="F3" s="334"/>
      <c r="G3" s="334"/>
      <c r="H3" s="334"/>
      <c r="I3" s="334"/>
      <c r="J3" s="334"/>
      <c r="K3" s="334"/>
      <c r="L3" s="334"/>
      <c r="M3" s="334"/>
    </row>
    <row r="4" spans="1:18" x14ac:dyDescent="0.2">
      <c r="A4" s="161"/>
      <c r="B4" s="752" t="s">
        <v>0</v>
      </c>
      <c r="C4" s="753"/>
      <c r="D4" s="753"/>
      <c r="E4" s="336"/>
      <c r="F4" s="752" t="s">
        <v>1</v>
      </c>
      <c r="G4" s="753"/>
      <c r="H4" s="753"/>
      <c r="I4" s="339"/>
      <c r="J4" s="752" t="s">
        <v>2</v>
      </c>
      <c r="K4" s="753"/>
      <c r="L4" s="753"/>
      <c r="M4" s="339"/>
    </row>
    <row r="5" spans="1:18"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8" x14ac:dyDescent="0.2">
      <c r="A6" s="723"/>
      <c r="B6" s="173"/>
      <c r="C6" s="173"/>
      <c r="D6" s="263" t="s">
        <v>4</v>
      </c>
      <c r="E6" s="173" t="s">
        <v>31</v>
      </c>
      <c r="F6" s="178"/>
      <c r="G6" s="178"/>
      <c r="H6" s="261" t="s">
        <v>4</v>
      </c>
      <c r="I6" s="173" t="s">
        <v>31</v>
      </c>
      <c r="J6" s="178"/>
      <c r="K6" s="178"/>
      <c r="L6" s="261" t="s">
        <v>4</v>
      </c>
      <c r="M6" s="173" t="s">
        <v>31</v>
      </c>
    </row>
    <row r="7" spans="1:18" ht="15.75" x14ac:dyDescent="0.2">
      <c r="A7" s="14" t="s">
        <v>24</v>
      </c>
      <c r="B7" s="342">
        <v>262338</v>
      </c>
      <c r="C7" s="343">
        <v>285492</v>
      </c>
      <c r="D7" s="384">
        <f>IF(B7=0, "    ---- ", IF(ABS(ROUND(100/B7*C7-100,1))&lt;999,ROUND(100/B7*C7-100,1),IF(ROUND(100/B7*C7-100,1)&gt;999,999,-999)))</f>
        <v>8.8000000000000007</v>
      </c>
      <c r="E7" s="11">
        <f>IFERROR(100/'Skjema total MA'!C7*C7,0)</f>
        <v>17.303250991916645</v>
      </c>
      <c r="F7" s="342"/>
      <c r="G7" s="343"/>
      <c r="H7" s="384"/>
      <c r="I7" s="177"/>
      <c r="J7" s="344">
        <v>262338</v>
      </c>
      <c r="K7" s="345">
        <v>285492</v>
      </c>
      <c r="L7" s="463">
        <f>IF(J7=0, "    ---- ", IF(ABS(ROUND(100/J7*K7-100,1))&lt;999,ROUND(100/J7*K7-100,1),IF(ROUND(100/J7*K7-100,1)&gt;999,999,-999)))</f>
        <v>8.8000000000000007</v>
      </c>
      <c r="M7" s="11">
        <f>IFERROR(100/'Skjema total MA'!I7*K7,0)</f>
        <v>7.7435558966429925</v>
      </c>
    </row>
    <row r="8" spans="1:18" ht="15.75" x14ac:dyDescent="0.2">
      <c r="A8" s="21" t="s">
        <v>26</v>
      </c>
      <c r="B8" s="316">
        <v>137521</v>
      </c>
      <c r="C8" s="317">
        <v>152417</v>
      </c>
      <c r="D8" s="183">
        <f t="shared" ref="D8:D10" si="0">IF(B8=0, "    ---- ", IF(ABS(ROUND(100/B8*C8-100,1))&lt;999,ROUND(100/B8*C8-100,1),IF(ROUND(100/B8*C8-100,1)&gt;999,999,-999)))</f>
        <v>10.8</v>
      </c>
      <c r="E8" s="27">
        <f>IFERROR(100/'Skjema total MA'!C8*C8,0)</f>
        <v>14.894142024056402</v>
      </c>
      <c r="F8" s="320"/>
      <c r="G8" s="321"/>
      <c r="H8" s="183"/>
      <c r="I8" s="193"/>
      <c r="J8" s="250">
        <v>137521</v>
      </c>
      <c r="K8" s="322">
        <v>152417</v>
      </c>
      <c r="L8" s="183">
        <f t="shared" ref="L8:L9" si="1">IF(J8=0, "    ---- ", IF(ABS(ROUND(100/J8*K8-100,1))&lt;999,ROUND(100/J8*K8-100,1),IF(ROUND(100/J8*K8-100,1)&gt;999,999,-999)))</f>
        <v>10.8</v>
      </c>
      <c r="M8" s="27">
        <f>IFERROR(100/'Skjema total MA'!I8*K8,0)</f>
        <v>14.894142024056402</v>
      </c>
    </row>
    <row r="9" spans="1:18" ht="15.75" x14ac:dyDescent="0.2">
      <c r="A9" s="21" t="s">
        <v>25</v>
      </c>
      <c r="B9" s="316">
        <v>124817</v>
      </c>
      <c r="C9" s="317">
        <v>133075</v>
      </c>
      <c r="D9" s="183">
        <f t="shared" si="0"/>
        <v>6.6</v>
      </c>
      <c r="E9" s="27">
        <f>IFERROR(100/'Skjema total MA'!C9*C9,0)</f>
        <v>25.661378944744598</v>
      </c>
      <c r="F9" s="320"/>
      <c r="G9" s="321"/>
      <c r="H9" s="183"/>
      <c r="I9" s="193"/>
      <c r="J9" s="250">
        <v>124817</v>
      </c>
      <c r="K9" s="322">
        <v>133075</v>
      </c>
      <c r="L9" s="183">
        <f t="shared" si="1"/>
        <v>6.6</v>
      </c>
      <c r="M9" s="27">
        <f>IFERROR(100/'Skjema total MA'!I9*K9,0)</f>
        <v>25.661378944744598</v>
      </c>
    </row>
    <row r="10" spans="1:18" ht="15.75" x14ac:dyDescent="0.2">
      <c r="A10" s="13" t="s">
        <v>466</v>
      </c>
      <c r="B10" s="346">
        <v>418743</v>
      </c>
      <c r="C10" s="347">
        <v>477077</v>
      </c>
      <c r="D10" s="188">
        <f t="shared" si="0"/>
        <v>13.9</v>
      </c>
      <c r="E10" s="11">
        <f>IFERROR(100/'Skjema total MA'!C10*C10,0)</f>
        <v>2.1749903778548698</v>
      </c>
      <c r="F10" s="346"/>
      <c r="G10" s="347"/>
      <c r="H10" s="188"/>
      <c r="I10" s="177"/>
      <c r="J10" s="344">
        <v>418743</v>
      </c>
      <c r="K10" s="345">
        <v>477077</v>
      </c>
      <c r="L10" s="464">
        <f t="shared" ref="L10" si="2">IF(J10=0, "    ---- ", IF(ABS(ROUND(100/J10*K10-100,1))&lt;999,ROUND(100/J10*K10-100,1),IF(ROUND(100/J10*K10-100,1)&gt;999,999,-999)))</f>
        <v>13.9</v>
      </c>
      <c r="M10" s="11">
        <f>IFERROR(100/'Skjema total MA'!I10*K10,0)</f>
        <v>0.75001358391293749</v>
      </c>
    </row>
    <row r="11" spans="1:18" s="43" customFormat="1" ht="15.75" x14ac:dyDescent="0.2">
      <c r="A11" s="13" t="s">
        <v>467</v>
      </c>
      <c r="B11" s="346"/>
      <c r="C11" s="347"/>
      <c r="D11" s="188"/>
      <c r="E11" s="11"/>
      <c r="F11" s="346"/>
      <c r="G11" s="347"/>
      <c r="H11" s="188"/>
      <c r="I11" s="177"/>
      <c r="J11" s="344"/>
      <c r="K11" s="345"/>
      <c r="L11" s="464"/>
      <c r="M11" s="11"/>
      <c r="N11" s="160"/>
      <c r="O11" s="165"/>
      <c r="R11" s="160"/>
    </row>
    <row r="12" spans="1:18" s="43" customFormat="1" ht="15.75" x14ac:dyDescent="0.2">
      <c r="A12" s="41" t="s">
        <v>468</v>
      </c>
      <c r="B12" s="348"/>
      <c r="C12" s="349"/>
      <c r="D12" s="186"/>
      <c r="E12" s="36"/>
      <c r="F12" s="348"/>
      <c r="G12" s="349"/>
      <c r="H12" s="186"/>
      <c r="I12" s="186"/>
      <c r="J12" s="350"/>
      <c r="K12" s="351"/>
      <c r="L12" s="465"/>
      <c r="M12" s="36"/>
      <c r="N12" s="160"/>
      <c r="O12" s="165"/>
    </row>
    <row r="13" spans="1:18" s="43" customFormat="1" x14ac:dyDescent="0.2">
      <c r="A13" s="185"/>
      <c r="B13" s="162"/>
      <c r="C13" s="33"/>
      <c r="D13" s="176"/>
      <c r="E13" s="176"/>
      <c r="F13" s="162"/>
      <c r="G13" s="33"/>
      <c r="H13" s="176"/>
      <c r="I13" s="176"/>
      <c r="J13" s="48"/>
      <c r="K13" s="48"/>
      <c r="L13" s="176"/>
      <c r="M13" s="176"/>
      <c r="N13" s="160"/>
      <c r="O13" s="462"/>
    </row>
    <row r="14" spans="1:18" x14ac:dyDescent="0.2">
      <c r="A14" s="170" t="s">
        <v>365</v>
      </c>
      <c r="B14" s="26"/>
    </row>
    <row r="15" spans="1:18" x14ac:dyDescent="0.2">
      <c r="F15" s="163"/>
      <c r="G15" s="163"/>
      <c r="H15" s="163"/>
      <c r="I15" s="163"/>
      <c r="J15" s="163"/>
      <c r="K15" s="163"/>
      <c r="L15" s="163"/>
      <c r="M15" s="163"/>
    </row>
    <row r="16" spans="1:18"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125747</v>
      </c>
      <c r="C22" s="352">
        <v>129052</v>
      </c>
      <c r="D22" s="384">
        <f t="shared" ref="D22:D29" si="3">IF(B22=0, "    ---- ", IF(ABS(ROUND(100/B22*C22-100,1))&lt;999,ROUND(100/B22*C22-100,1),IF(ROUND(100/B22*C22-100,1)&gt;999,999,-999)))</f>
        <v>2.6</v>
      </c>
      <c r="E22" s="11">
        <f>IFERROR(100/'Skjema total MA'!C22*C22,0)</f>
        <v>25.550905432503587</v>
      </c>
      <c r="F22" s="352">
        <v>1530</v>
      </c>
      <c r="G22" s="352">
        <v>3315</v>
      </c>
      <c r="H22" s="384">
        <f t="shared" ref="H22:H29" si="4">IF(F22=0, "    ---- ", IF(ABS(ROUND(100/F22*G22-100,1))&lt;999,ROUND(100/F22*G22-100,1),IF(ROUND(100/F22*G22-100,1)&gt;999,999,-999)))</f>
        <v>116.7</v>
      </c>
      <c r="I22" s="11">
        <f>IFERROR(100/'Skjema total MA'!F22*G22,0)</f>
        <v>1.1238909152414751</v>
      </c>
      <c r="J22" s="352">
        <f t="shared" ref="J22:K29" si="5">SUM(B22,F22)</f>
        <v>127277</v>
      </c>
      <c r="K22" s="352">
        <f t="shared" si="5"/>
        <v>132367</v>
      </c>
      <c r="L22" s="463">
        <f>IF(J22=0, "    ---- ", IF(ABS(ROUND(100/J22*K22-100,1))&lt;999,ROUND(100/J22*K22-100,1),IF(ROUND(100/J22*K22-100,1)&gt;999,999,-999)))</f>
        <v>4</v>
      </c>
      <c r="M22" s="24">
        <f>IFERROR(100/'Skjema total MA'!I22*K22,0)</f>
        <v>16.545141987895267</v>
      </c>
    </row>
    <row r="23" spans="1:15" ht="15.75" x14ac:dyDescent="0.2">
      <c r="A23" s="49" t="s">
        <v>469</v>
      </c>
      <c r="B23" s="44"/>
      <c r="C23" s="322">
        <v>128502</v>
      </c>
      <c r="D23" s="183" t="str">
        <f t="shared" ref="D23:D25" si="6">IF(B23=0, "    ---- ", IF(ABS(ROUND(100/B23*C23-100,1))&lt;999,ROUND(100/B23*C23-100,1),IF(ROUND(100/B23*C23-100,1)&gt;999,999,-999)))</f>
        <v xml:space="preserve">    ---- </v>
      </c>
      <c r="E23" s="27">
        <f>IFERROR(100/'Skjema total MA'!C23*C23,0)</f>
        <v>53.976484754716672</v>
      </c>
      <c r="F23" s="250"/>
      <c r="G23" s="322"/>
      <c r="H23" s="183"/>
      <c r="I23" s="27"/>
      <c r="J23" s="44"/>
      <c r="K23" s="44">
        <f t="shared" ref="K23:K26" si="7">SUM(C23,G23)</f>
        <v>128502</v>
      </c>
      <c r="L23" s="274" t="str">
        <f t="shared" ref="L23:L26" si="8">IF(J23=0, "    ---- ", IF(ABS(ROUND(100/J23*K23-100,1))&lt;999,ROUND(100/J23*K23-100,1),IF(ROUND(100/J23*K23-100,1)&gt;999,999,-999)))</f>
        <v xml:space="preserve">    ---- </v>
      </c>
      <c r="M23" s="23">
        <f>IFERROR(100/'Skjema total MA'!I23*K23,0)</f>
        <v>44.387693321513986</v>
      </c>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v>550</v>
      </c>
      <c r="D25" s="183" t="str">
        <f t="shared" si="6"/>
        <v xml:space="preserve">    ---- </v>
      </c>
      <c r="E25" s="27">
        <f>IFERROR(100/'Skjema total MA'!C25*C25,0)</f>
        <v>10.693627570116172</v>
      </c>
      <c r="F25" s="250"/>
      <c r="G25" s="322">
        <v>156</v>
      </c>
      <c r="H25" s="183" t="str">
        <f t="shared" ref="H25:H26" si="9">IF(F25=0, "    ---- ", IF(ABS(ROUND(100/F25*G25-100,1))&lt;999,ROUND(100/F25*G25-100,1),IF(ROUND(100/F25*G25-100,1)&gt;999,999,-999)))</f>
        <v xml:space="preserve">    ---- </v>
      </c>
      <c r="I25" s="27">
        <f>IFERROR(100/'Skjema total MA'!F25*G25,0)</f>
        <v>0.57180911767408349</v>
      </c>
      <c r="J25" s="44"/>
      <c r="K25" s="44">
        <f t="shared" si="7"/>
        <v>706</v>
      </c>
      <c r="L25" s="274" t="str">
        <f t="shared" si="8"/>
        <v xml:space="preserve">    ---- </v>
      </c>
      <c r="M25" s="23">
        <f>IFERROR(100/'Skjema total MA'!I25*K25,0)</f>
        <v>2.1773268324544124</v>
      </c>
    </row>
    <row r="26" spans="1:15" ht="15.75" x14ac:dyDescent="0.2">
      <c r="A26" s="49" t="s">
        <v>472</v>
      </c>
      <c r="B26" s="44"/>
      <c r="C26" s="322"/>
      <c r="D26" s="183"/>
      <c r="E26" s="27"/>
      <c r="F26" s="250"/>
      <c r="G26" s="322">
        <v>3159</v>
      </c>
      <c r="H26" s="183" t="str">
        <f t="shared" si="9"/>
        <v xml:space="preserve">    ---- </v>
      </c>
      <c r="I26" s="27">
        <f>IFERROR(100/'Skjema total MA'!F26*G26,0)</f>
        <v>1.5331731922108076</v>
      </c>
      <c r="J26" s="44"/>
      <c r="K26" s="44">
        <f t="shared" si="7"/>
        <v>3159</v>
      </c>
      <c r="L26" s="274" t="str">
        <f t="shared" si="8"/>
        <v xml:space="preserve">    ---- </v>
      </c>
      <c r="M26" s="23">
        <f>IFERROR(100/'Skjema total MA'!I26*K26,0)</f>
        <v>1.5331731922108076</v>
      </c>
    </row>
    <row r="27" spans="1:15" x14ac:dyDescent="0.2">
      <c r="A27" s="49" t="s">
        <v>11</v>
      </c>
      <c r="B27" s="44"/>
      <c r="C27" s="322"/>
      <c r="D27" s="183"/>
      <c r="E27" s="27"/>
      <c r="F27" s="250"/>
      <c r="G27" s="322"/>
      <c r="H27" s="183"/>
      <c r="I27" s="27"/>
      <c r="J27" s="44"/>
      <c r="K27" s="44"/>
      <c r="L27" s="274"/>
      <c r="M27" s="23"/>
    </row>
    <row r="28" spans="1:15" ht="15.75" x14ac:dyDescent="0.2">
      <c r="A28" s="49" t="s">
        <v>366</v>
      </c>
      <c r="B28" s="44">
        <v>125147</v>
      </c>
      <c r="C28" s="322">
        <v>128502</v>
      </c>
      <c r="D28" s="183">
        <f t="shared" si="3"/>
        <v>2.7</v>
      </c>
      <c r="E28" s="27">
        <f>IFERROR(100/'Skjema total MA'!C28*C28,0)</f>
        <v>18.156331228697397</v>
      </c>
      <c r="F28" s="250"/>
      <c r="G28" s="322"/>
      <c r="H28" s="183"/>
      <c r="I28" s="27"/>
      <c r="J28" s="44">
        <f t="shared" si="5"/>
        <v>125147</v>
      </c>
      <c r="K28" s="44">
        <f t="shared" si="5"/>
        <v>128502</v>
      </c>
      <c r="L28" s="274">
        <f t="shared" ref="L28:L29" si="10">IF(J28=0, "    ---- ", IF(ABS(ROUND(100/J28*K28-100,1))&lt;999,ROUND(100/J28*K28-100,1),IF(ROUND(100/J28*K28-100,1)&gt;999,999,-999)))</f>
        <v>2.7</v>
      </c>
      <c r="M28" s="23">
        <f>IFERROR(100/'Skjema total MA'!I28*K28,0)</f>
        <v>18.156331228697397</v>
      </c>
    </row>
    <row r="29" spans="1:15" s="3" customFormat="1" ht="15.75" x14ac:dyDescent="0.2">
      <c r="A29" s="13" t="s">
        <v>23</v>
      </c>
      <c r="B29" s="252">
        <v>435486</v>
      </c>
      <c r="C29" s="252">
        <v>489340</v>
      </c>
      <c r="D29" s="188">
        <f t="shared" si="3"/>
        <v>12.4</v>
      </c>
      <c r="E29" s="11">
        <f>IFERROR(100/'Skjema total MA'!C29*C29,0)</f>
        <v>0.98932962627691579</v>
      </c>
      <c r="F29" s="252">
        <v>99106</v>
      </c>
      <c r="G29" s="252">
        <v>117784</v>
      </c>
      <c r="H29" s="188">
        <f t="shared" si="4"/>
        <v>18.8</v>
      </c>
      <c r="I29" s="11">
        <f>IFERROR(100/'Skjema total MA'!F29*G29,0)</f>
        <v>0.58897137022220247</v>
      </c>
      <c r="J29" s="252">
        <f t="shared" si="5"/>
        <v>534592</v>
      </c>
      <c r="K29" s="252">
        <f t="shared" si="5"/>
        <v>607124</v>
      </c>
      <c r="L29" s="464">
        <f t="shared" si="10"/>
        <v>13.6</v>
      </c>
      <c r="M29" s="24">
        <f>IFERROR(100/'Skjema total MA'!I29*K29,0)</f>
        <v>0.87406237699828604</v>
      </c>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v>103880</v>
      </c>
      <c r="H32" s="183" t="str">
        <f t="shared" ref="H32:H33" si="11">IF(F32=0, "    ---- ", IF(ABS(ROUND(100/F32*G32-100,1))&lt;999,ROUND(100/F32*G32-100,1),IF(ROUND(100/F32*G32-100,1)&gt;999,999,-999)))</f>
        <v xml:space="preserve">    ---- </v>
      </c>
      <c r="I32" s="27">
        <f>IFERROR(100/'Skjema total MA'!F32*G32,0)</f>
        <v>2.6744919846427897</v>
      </c>
      <c r="J32" s="44"/>
      <c r="K32" s="44">
        <f t="shared" ref="K32:K33" si="12">SUM(C32,G32)</f>
        <v>103880</v>
      </c>
      <c r="L32" s="274" t="str">
        <f t="shared" ref="L32:L33" si="13">IF(J32=0, "    ---- ", IF(ABS(ROUND(100/J32*K32-100,1))&lt;999,ROUND(100/J32*K32-100,1),IF(ROUND(100/J32*K32-100,1)&gt;999,999,-999)))</f>
        <v xml:space="preserve">    ---- </v>
      </c>
      <c r="M32" s="23">
        <f>IFERROR(100/'Skjema total MA'!I32*K32,0)</f>
        <v>1.9984559793923129</v>
      </c>
    </row>
    <row r="33" spans="1:15" ht="15.75" x14ac:dyDescent="0.2">
      <c r="A33" s="49" t="s">
        <v>472</v>
      </c>
      <c r="B33" s="44"/>
      <c r="C33" s="322"/>
      <c r="D33" s="183"/>
      <c r="E33" s="27"/>
      <c r="F33" s="250"/>
      <c r="G33" s="322">
        <v>13904</v>
      </c>
      <c r="H33" s="183" t="str">
        <f t="shared" si="11"/>
        <v xml:space="preserve">    ---- </v>
      </c>
      <c r="I33" s="27">
        <f>IFERROR(100/'Skjema total MA'!F33*G33,0)</f>
        <v>1.4911007960994358</v>
      </c>
      <c r="J33" s="44"/>
      <c r="K33" s="44">
        <f t="shared" si="12"/>
        <v>13904</v>
      </c>
      <c r="L33" s="274" t="str">
        <f t="shared" si="13"/>
        <v xml:space="preserve">    ---- </v>
      </c>
      <c r="M33" s="23">
        <f>IFERROR(100/'Skjema total MA'!I33*K33,0)</f>
        <v>1.4911007960994358</v>
      </c>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29805</v>
      </c>
      <c r="C47" s="347">
        <f>SUM(C48:C49)</f>
        <v>32100</v>
      </c>
      <c r="D47" s="463">
        <f t="shared" ref="D47:D48" si="14">IF(B47=0, "    ---- ", IF(ABS(ROUND(100/B47*C47-100,1))&lt;999,ROUND(100/B47*C47-100,1),IF(ROUND(100/B47*C47-100,1)&gt;999,999,-999)))</f>
        <v>7.7</v>
      </c>
      <c r="E47" s="11">
        <f>IFERROR(100/'Skjema total MA'!C47*C47,0)</f>
        <v>1.4311582659262176</v>
      </c>
      <c r="F47" s="162"/>
      <c r="G47" s="33"/>
      <c r="H47" s="176"/>
      <c r="I47" s="176"/>
      <c r="J47" s="37"/>
      <c r="K47" s="37"/>
      <c r="L47" s="176"/>
      <c r="M47" s="176"/>
      <c r="N47" s="165"/>
      <c r="O47" s="165"/>
    </row>
    <row r="48" spans="1:15" s="3" customFormat="1" ht="15.75" x14ac:dyDescent="0.2">
      <c r="A48" s="38" t="s">
        <v>476</v>
      </c>
      <c r="B48" s="316">
        <v>29805</v>
      </c>
      <c r="C48" s="317">
        <v>32100</v>
      </c>
      <c r="D48" s="274">
        <f t="shared" si="14"/>
        <v>7.7</v>
      </c>
      <c r="E48" s="27">
        <f>IFERROR(100/'Skjema total MA'!C48*C48,0)</f>
        <v>2.8840223743346707</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69877</v>
      </c>
      <c r="C66" s="387">
        <f>C67+C68+C75+C76</f>
        <v>72034</v>
      </c>
      <c r="D66" s="384">
        <f t="shared" ref="D66:D111" si="15">IF(B66=0, "    ---- ", IF(ABS(ROUND(100/B66*C66-100,1))&lt;999,ROUND(100/B66*C66-100,1),IF(ROUND(100/B66*C66-100,1)&gt;999,999,-999)))</f>
        <v>3.1</v>
      </c>
      <c r="E66" s="11">
        <f>IFERROR(100/'Skjema total MA'!C66*C66,0)</f>
        <v>1.9161228243436244</v>
      </c>
      <c r="F66" s="386">
        <f>F67+F68+F75+F76</f>
        <v>81471</v>
      </c>
      <c r="G66" s="386">
        <f>G67+G68+G75+G76</f>
        <v>85322</v>
      </c>
      <c r="H66" s="384">
        <f t="shared" ref="H66:H111" si="16">IF(F66=0, "    ---- ", IF(ABS(ROUND(100/F66*G66-100,1))&lt;999,ROUND(100/F66*G66-100,1),IF(ROUND(100/F66*G66-100,1)&gt;999,999,-999)))</f>
        <v>4.7</v>
      </c>
      <c r="I66" s="11">
        <f>IFERROR(100/'Skjema total MA'!F66*G66,0)</f>
        <v>1.2346240227322851</v>
      </c>
      <c r="J66" s="345">
        <f t="shared" ref="J66:K79" si="17">SUM(B66,F66)</f>
        <v>151348</v>
      </c>
      <c r="K66" s="352">
        <f t="shared" si="17"/>
        <v>157356</v>
      </c>
      <c r="L66" s="464">
        <f t="shared" ref="L66:L111" si="18">IF(J66=0, "    ---- ", IF(ABS(ROUND(100/J66*K66-100,1))&lt;999,ROUND(100/J66*K66-100,1),IF(ROUND(100/J66*K66-100,1)&gt;999,999,-999)))</f>
        <v>4</v>
      </c>
      <c r="M66" s="11">
        <f>IFERROR(100/'Skjema total MA'!I66*K66,0)</f>
        <v>1.4747336453945561</v>
      </c>
    </row>
    <row r="67" spans="1:15" x14ac:dyDescent="0.2">
      <c r="A67" s="21" t="s">
        <v>9</v>
      </c>
      <c r="B67" s="44"/>
      <c r="C67" s="162"/>
      <c r="D67" s="183"/>
      <c r="E67" s="27"/>
      <c r="F67" s="250"/>
      <c r="G67" s="162"/>
      <c r="H67" s="183"/>
      <c r="I67" s="27"/>
      <c r="J67" s="322"/>
      <c r="K67" s="44"/>
      <c r="L67" s="274"/>
      <c r="M67" s="27"/>
    </row>
    <row r="68" spans="1:15" x14ac:dyDescent="0.2">
      <c r="A68" s="21" t="s">
        <v>10</v>
      </c>
      <c r="B68" s="327">
        <v>69877</v>
      </c>
      <c r="C68" s="328">
        <v>72034</v>
      </c>
      <c r="D68" s="183">
        <f t="shared" si="15"/>
        <v>3.1</v>
      </c>
      <c r="E68" s="27">
        <f>IFERROR(100/'Skjema total MA'!C68*C68,0)</f>
        <v>77.286755202511912</v>
      </c>
      <c r="F68" s="327">
        <v>81471</v>
      </c>
      <c r="G68" s="328">
        <v>85322</v>
      </c>
      <c r="H68" s="183">
        <f t="shared" si="16"/>
        <v>4.7</v>
      </c>
      <c r="I68" s="27">
        <f>IFERROR(100/'Skjema total MA'!F68*G68,0)</f>
        <v>1.2527189010654327</v>
      </c>
      <c r="J68" s="322">
        <f t="shared" si="17"/>
        <v>151348</v>
      </c>
      <c r="K68" s="44">
        <f t="shared" si="17"/>
        <v>157356</v>
      </c>
      <c r="L68" s="274">
        <f t="shared" si="18"/>
        <v>4</v>
      </c>
      <c r="M68" s="27">
        <f>IFERROR(100/'Skjema total MA'!I68*K68,0)</f>
        <v>2.2791513015357019</v>
      </c>
    </row>
    <row r="69" spans="1:15" ht="15.75" x14ac:dyDescent="0.2">
      <c r="A69" s="729" t="s">
        <v>478</v>
      </c>
      <c r="B69" s="316" t="s">
        <v>458</v>
      </c>
      <c r="C69" s="316" t="s">
        <v>458</v>
      </c>
      <c r="D69" s="183" t="str">
        <f>IF(kvartal=4,IF(B69=0, "    ---- ", IF(ABS(ROUND(100/B69*C69-100,1))&lt;999,ROUND(100/B69*C69-100,1),IF(ROUND(100/B69*C69-100,1)&gt;999,999,-999))),"")</f>
        <v/>
      </c>
      <c r="E69" s="453" t="str">
        <f>IF(kvartal=4,IFERROR(100/'Skjema total MA'!B69*C69,0),"")</f>
        <v/>
      </c>
      <c r="F69" s="316" t="s">
        <v>458</v>
      </c>
      <c r="G69" s="316" t="s">
        <v>458</v>
      </c>
      <c r="H69" s="183" t="str">
        <f t="shared" ref="H69:H74" si="19">IF(kvartal=4,IF(F69=0, "    ---- ", IF(ABS(ROUND(100/F69*G69-100,1))&lt;999,ROUND(100/F69*G69-100,1),IF(ROUND(100/F69*G69-100,1)&gt;999,999,-999))),"")</f>
        <v/>
      </c>
      <c r="I69" s="453"/>
      <c r="J69" s="325"/>
      <c r="K69" s="325"/>
      <c r="L69" s="183"/>
      <c r="M69" s="23"/>
    </row>
    <row r="70" spans="1:15" x14ac:dyDescent="0.2">
      <c r="A70" s="729" t="s">
        <v>12</v>
      </c>
      <c r="B70" s="329"/>
      <c r="C70" s="330"/>
      <c r="D70" s="183"/>
      <c r="E70" s="453" t="str">
        <f>IF(kvartal=4,IFERROR(100/'Skjema total MA'!B70*C70,0),"")</f>
        <v/>
      </c>
      <c r="F70" s="316" t="s">
        <v>458</v>
      </c>
      <c r="G70" s="316" t="s">
        <v>458</v>
      </c>
      <c r="H70" s="183" t="str">
        <f t="shared" si="19"/>
        <v/>
      </c>
      <c r="I70" s="453"/>
      <c r="J70" s="325"/>
      <c r="K70" s="325"/>
      <c r="L70" s="183"/>
      <c r="M70" s="23"/>
    </row>
    <row r="71" spans="1:15" x14ac:dyDescent="0.2">
      <c r="A71" s="729" t="s">
        <v>13</v>
      </c>
      <c r="B71" s="251"/>
      <c r="C71" s="324"/>
      <c r="D71" s="183"/>
      <c r="E71" s="453" t="str">
        <f>IF(kvartal=4,IFERROR(100/'Skjema total MA'!B71*C71,0),"")</f>
        <v/>
      </c>
      <c r="F71" s="316" t="s">
        <v>458</v>
      </c>
      <c r="G71" s="316" t="s">
        <v>458</v>
      </c>
      <c r="H71" s="183" t="str">
        <f t="shared" si="19"/>
        <v/>
      </c>
      <c r="I71" s="453"/>
      <c r="J71" s="325"/>
      <c r="K71" s="325"/>
      <c r="L71" s="183"/>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t="s">
        <v>458</v>
      </c>
      <c r="G72" s="316" t="s">
        <v>458</v>
      </c>
      <c r="H72" s="183" t="str">
        <f t="shared" si="19"/>
        <v/>
      </c>
      <c r="I72" s="453"/>
      <c r="J72" s="325"/>
      <c r="K72" s="325"/>
      <c r="L72" s="183"/>
      <c r="M72" s="23"/>
    </row>
    <row r="73" spans="1:15" x14ac:dyDescent="0.2">
      <c r="A73" s="729" t="s">
        <v>12</v>
      </c>
      <c r="B73" s="251"/>
      <c r="C73" s="324"/>
      <c r="D73" s="183"/>
      <c r="E73" s="453" t="str">
        <f>IF(kvartal=4,IFERROR(100/'Skjema total MA'!B73*C73,0),"")</f>
        <v/>
      </c>
      <c r="F73" s="316" t="s">
        <v>458</v>
      </c>
      <c r="G73" s="316" t="s">
        <v>458</v>
      </c>
      <c r="H73" s="183" t="str">
        <f t="shared" si="19"/>
        <v/>
      </c>
      <c r="I73" s="453"/>
      <c r="J73" s="325"/>
      <c r="K73" s="325"/>
      <c r="L73" s="183"/>
      <c r="M73" s="23"/>
    </row>
    <row r="74" spans="1:15" s="3" customFormat="1" x14ac:dyDescent="0.2">
      <c r="A74" s="729" t="s">
        <v>13</v>
      </c>
      <c r="B74" s="251"/>
      <c r="C74" s="324"/>
      <c r="D74" s="183"/>
      <c r="E74" s="453" t="str">
        <f>IF(kvartal=4,IFERROR(100/'Skjema total MA'!B74*C74,0),"")</f>
        <v/>
      </c>
      <c r="F74" s="316" t="s">
        <v>458</v>
      </c>
      <c r="G74" s="316" t="s">
        <v>458</v>
      </c>
      <c r="H74" s="183" t="str">
        <f t="shared" si="19"/>
        <v/>
      </c>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v>69877</v>
      </c>
      <c r="C77" s="250">
        <v>72034</v>
      </c>
      <c r="D77" s="183">
        <f t="shared" si="15"/>
        <v>3.1</v>
      </c>
      <c r="E77" s="27">
        <f>IFERROR(100/'Skjema total MA'!C77*C77,0)</f>
        <v>2.3073308532715315</v>
      </c>
      <c r="F77" s="250">
        <v>81471</v>
      </c>
      <c r="G77" s="162">
        <v>85322</v>
      </c>
      <c r="H77" s="183">
        <f t="shared" si="16"/>
        <v>4.7</v>
      </c>
      <c r="I77" s="27">
        <f>IFERROR(100/'Skjema total MA'!F77*G77,0)</f>
        <v>1.2533809401233142</v>
      </c>
      <c r="J77" s="322">
        <f t="shared" si="17"/>
        <v>151348</v>
      </c>
      <c r="K77" s="44">
        <f t="shared" si="17"/>
        <v>157356</v>
      </c>
      <c r="L77" s="274">
        <f t="shared" si="18"/>
        <v>4</v>
      </c>
      <c r="M77" s="27">
        <f>IFERROR(100/'Skjema total MA'!I77*K77,0)</f>
        <v>1.5847626652859854</v>
      </c>
    </row>
    <row r="78" spans="1:15" x14ac:dyDescent="0.2">
      <c r="A78" s="21" t="s">
        <v>9</v>
      </c>
      <c r="B78" s="250"/>
      <c r="C78" s="162"/>
      <c r="D78" s="183"/>
      <c r="E78" s="27"/>
      <c r="F78" s="250"/>
      <c r="G78" s="162"/>
      <c r="H78" s="183"/>
      <c r="I78" s="27"/>
      <c r="J78" s="322"/>
      <c r="K78" s="44"/>
      <c r="L78" s="274"/>
      <c r="M78" s="27"/>
    </row>
    <row r="79" spans="1:15" x14ac:dyDescent="0.2">
      <c r="A79" s="21" t="s">
        <v>10</v>
      </c>
      <c r="B79" s="327">
        <v>69877</v>
      </c>
      <c r="C79" s="328">
        <v>72034</v>
      </c>
      <c r="D79" s="183">
        <f t="shared" si="15"/>
        <v>3.1</v>
      </c>
      <c r="E79" s="27">
        <f>IFERROR(100/'Skjema total MA'!C79*C79,0)</f>
        <v>78.47136670001359</v>
      </c>
      <c r="F79" s="327">
        <v>81471</v>
      </c>
      <c r="G79" s="328">
        <v>85322</v>
      </c>
      <c r="H79" s="183">
        <f t="shared" si="16"/>
        <v>4.7</v>
      </c>
      <c r="I79" s="27">
        <f>IFERROR(100/'Skjema total MA'!F79*G79,0)</f>
        <v>1.2533809401233142</v>
      </c>
      <c r="J79" s="322">
        <f t="shared" si="17"/>
        <v>151348</v>
      </c>
      <c r="K79" s="44">
        <f t="shared" si="17"/>
        <v>157356</v>
      </c>
      <c r="L79" s="274">
        <f t="shared" si="18"/>
        <v>4</v>
      </c>
      <c r="M79" s="27">
        <f>IFERROR(100/'Skjema total MA'!I79*K79,0)</f>
        <v>2.2808045746550767</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t="s">
        <v>458</v>
      </c>
      <c r="G80" s="316" t="s">
        <v>458</v>
      </c>
      <c r="H80" s="183" t="str">
        <f t="shared" ref="H80:H85" si="20">IF(kvartal=4,IF(F80=0, "    ---- ", IF(ABS(ROUND(100/F80*G80-100,1))&lt;999,ROUND(100/F80*G80-100,1),IF(ROUND(100/F80*G80-100,1)&gt;999,999,-999))),"")</f>
        <v/>
      </c>
      <c r="I80" s="453"/>
      <c r="J80" s="325"/>
      <c r="K80" s="325"/>
      <c r="L80" s="183"/>
      <c r="M80" s="23"/>
    </row>
    <row r="81" spans="1:13" x14ac:dyDescent="0.2">
      <c r="A81" s="729" t="s">
        <v>12</v>
      </c>
      <c r="B81" s="251"/>
      <c r="C81" s="324"/>
      <c r="D81" s="183"/>
      <c r="E81" s="453" t="str">
        <f>IF(kvartal=4,IFERROR(100/'Skjema total MA'!B81*C81,0),"")</f>
        <v/>
      </c>
      <c r="F81" s="316" t="s">
        <v>458</v>
      </c>
      <c r="G81" s="316" t="s">
        <v>458</v>
      </c>
      <c r="H81" s="183" t="str">
        <f t="shared" si="20"/>
        <v/>
      </c>
      <c r="I81" s="453"/>
      <c r="J81" s="325"/>
      <c r="K81" s="325"/>
      <c r="L81" s="183"/>
      <c r="M81" s="23"/>
    </row>
    <row r="82" spans="1:13" x14ac:dyDescent="0.2">
      <c r="A82" s="729" t="s">
        <v>13</v>
      </c>
      <c r="B82" s="251"/>
      <c r="C82" s="324"/>
      <c r="D82" s="183"/>
      <c r="E82" s="453" t="str">
        <f>IF(kvartal=4,IFERROR(100/'Skjema total MA'!B82*C82,0),"")</f>
        <v/>
      </c>
      <c r="F82" s="316" t="s">
        <v>458</v>
      </c>
      <c r="G82" s="316" t="s">
        <v>458</v>
      </c>
      <c r="H82" s="183" t="str">
        <f t="shared" si="20"/>
        <v/>
      </c>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t="s">
        <v>458</v>
      </c>
      <c r="G83" s="316" t="s">
        <v>458</v>
      </c>
      <c r="H83" s="183" t="str">
        <f t="shared" si="20"/>
        <v/>
      </c>
      <c r="I83" s="453"/>
      <c r="J83" s="325"/>
      <c r="K83" s="325"/>
      <c r="L83" s="183"/>
      <c r="M83" s="23"/>
    </row>
    <row r="84" spans="1:13" x14ac:dyDescent="0.2">
      <c r="A84" s="729" t="s">
        <v>12</v>
      </c>
      <c r="B84" s="251"/>
      <c r="C84" s="324"/>
      <c r="D84" s="183"/>
      <c r="E84" s="453" t="str">
        <f>IF(kvartal=4,IFERROR(100/'Skjema total MA'!B84*C84,0),"")</f>
        <v/>
      </c>
      <c r="F84" s="316" t="s">
        <v>458</v>
      </c>
      <c r="G84" s="316" t="s">
        <v>458</v>
      </c>
      <c r="H84" s="183" t="str">
        <f t="shared" si="20"/>
        <v/>
      </c>
      <c r="I84" s="453"/>
      <c r="J84" s="325"/>
      <c r="K84" s="325"/>
      <c r="L84" s="183"/>
      <c r="M84" s="23"/>
    </row>
    <row r="85" spans="1:13" x14ac:dyDescent="0.2">
      <c r="A85" s="729" t="s">
        <v>13</v>
      </c>
      <c r="B85" s="251"/>
      <c r="C85" s="324"/>
      <c r="D85" s="183"/>
      <c r="E85" s="453" t="str">
        <f>IF(kvartal=4,IFERROR(100/'Skjema total MA'!B85*C85,0),"")</f>
        <v/>
      </c>
      <c r="F85" s="316" t="s">
        <v>458</v>
      </c>
      <c r="G85" s="316" t="s">
        <v>458</v>
      </c>
      <c r="H85" s="183" t="str">
        <f t="shared" si="20"/>
        <v/>
      </c>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f>B88+B89+B96+B97</f>
        <v>191489</v>
      </c>
      <c r="C87" s="387">
        <f>C88+C89+C96+C97</f>
        <v>200436</v>
      </c>
      <c r="D87" s="188">
        <f t="shared" si="15"/>
        <v>4.7</v>
      </c>
      <c r="E87" s="11">
        <f>IFERROR(100/'Skjema total MA'!C87*C87,0)</f>
        <v>5.209256481558195E-2</v>
      </c>
      <c r="F87" s="386">
        <f>SUM(F88,F89,F96,F97)</f>
        <v>2726137</v>
      </c>
      <c r="G87" s="386">
        <f>SUM(G88,G89,G96,G97)</f>
        <v>3068064</v>
      </c>
      <c r="H87" s="188">
        <f t="shared" si="16"/>
        <v>12.5</v>
      </c>
      <c r="I87" s="11">
        <f>IFERROR(100/'Skjema total MA'!F87*G87,0)</f>
        <v>1.3085508238583055</v>
      </c>
      <c r="J87" s="345">
        <f t="shared" ref="J87:K111" si="21">SUM(B87,F87)</f>
        <v>2917626</v>
      </c>
      <c r="K87" s="252">
        <f t="shared" si="21"/>
        <v>3268500</v>
      </c>
      <c r="L87" s="464">
        <f t="shared" si="18"/>
        <v>12</v>
      </c>
      <c r="M87" s="11">
        <f>IFERROR(100/'Skjema total MA'!I87*K87,0)</f>
        <v>0.52783154482767991</v>
      </c>
    </row>
    <row r="88" spans="1:13" x14ac:dyDescent="0.2">
      <c r="A88" s="21" t="s">
        <v>9</v>
      </c>
      <c r="B88" s="250"/>
      <c r="C88" s="162"/>
      <c r="D88" s="183"/>
      <c r="E88" s="27"/>
      <c r="F88" s="250"/>
      <c r="G88" s="162"/>
      <c r="H88" s="183"/>
      <c r="I88" s="27"/>
      <c r="J88" s="322"/>
      <c r="K88" s="44"/>
      <c r="L88" s="274"/>
      <c r="M88" s="27"/>
    </row>
    <row r="89" spans="1:13" x14ac:dyDescent="0.2">
      <c r="A89" s="21" t="s">
        <v>10</v>
      </c>
      <c r="B89" s="250">
        <v>191489</v>
      </c>
      <c r="C89" s="162">
        <v>200436</v>
      </c>
      <c r="D89" s="183">
        <f t="shared" si="15"/>
        <v>4.7</v>
      </c>
      <c r="E89" s="27">
        <f>IFERROR(100/'Skjema total MA'!C89*C89,0)</f>
        <v>7.4752023097850975</v>
      </c>
      <c r="F89" s="250">
        <v>2726137</v>
      </c>
      <c r="G89" s="162">
        <v>3068064</v>
      </c>
      <c r="H89" s="183">
        <f t="shared" si="16"/>
        <v>12.5</v>
      </c>
      <c r="I89" s="27">
        <f>IFERROR(100/'Skjema total MA'!F89*G89,0)</f>
        <v>1.3129384012540677</v>
      </c>
      <c r="J89" s="322">
        <f t="shared" si="21"/>
        <v>2917626</v>
      </c>
      <c r="K89" s="44">
        <f t="shared" si="21"/>
        <v>3268500</v>
      </c>
      <c r="L89" s="274">
        <f t="shared" si="18"/>
        <v>12</v>
      </c>
      <c r="M89" s="27">
        <f>IFERROR(100/'Skjema total MA'!I89*K89,0)</f>
        <v>1.382844985080266</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t="s">
        <v>458</v>
      </c>
      <c r="G90" s="316" t="s">
        <v>458</v>
      </c>
      <c r="H90" s="183" t="str">
        <f t="shared" ref="H90:H95" si="22">IF(kvartal=4,IF(F90=0, "    ---- ", IF(ABS(ROUND(100/F90*G90-100,1))&lt;999,ROUND(100/F90*G90-100,1),IF(ROUND(100/F90*G90-100,1)&gt;999,999,-999))),"")</f>
        <v/>
      </c>
      <c r="I90" s="453"/>
      <c r="J90" s="325"/>
      <c r="K90" s="325"/>
      <c r="L90" s="183"/>
      <c r="M90" s="23"/>
    </row>
    <row r="91" spans="1:13" x14ac:dyDescent="0.2">
      <c r="A91" s="729" t="s">
        <v>12</v>
      </c>
      <c r="B91" s="251"/>
      <c r="C91" s="324"/>
      <c r="D91" s="183"/>
      <c r="E91" s="453" t="str">
        <f>IF(kvartal=4,IFERROR(100/'Skjema total MA'!B91*C91,0),"")</f>
        <v/>
      </c>
      <c r="F91" s="316" t="s">
        <v>458</v>
      </c>
      <c r="G91" s="316" t="s">
        <v>458</v>
      </c>
      <c r="H91" s="183" t="str">
        <f t="shared" si="22"/>
        <v/>
      </c>
      <c r="I91" s="453"/>
      <c r="J91" s="325"/>
      <c r="K91" s="325"/>
      <c r="L91" s="183"/>
      <c r="M91" s="23"/>
    </row>
    <row r="92" spans="1:13" x14ac:dyDescent="0.2">
      <c r="A92" s="729" t="s">
        <v>13</v>
      </c>
      <c r="B92" s="251"/>
      <c r="C92" s="324"/>
      <c r="D92" s="183"/>
      <c r="E92" s="453" t="str">
        <f>IF(kvartal=4,IFERROR(100/'Skjema total MA'!B92*C92,0),"")</f>
        <v/>
      </c>
      <c r="F92" s="316" t="s">
        <v>458</v>
      </c>
      <c r="G92" s="316" t="s">
        <v>458</v>
      </c>
      <c r="H92" s="183" t="str">
        <f t="shared" si="22"/>
        <v/>
      </c>
      <c r="I92" s="453"/>
      <c r="J92" s="325"/>
      <c r="K92" s="325"/>
      <c r="L92" s="183"/>
      <c r="M92" s="23"/>
    </row>
    <row r="93" spans="1:13" ht="15.75" x14ac:dyDescent="0.2">
      <c r="A93" s="729" t="s">
        <v>479</v>
      </c>
      <c r="B93" s="316" t="s">
        <v>458</v>
      </c>
      <c r="C93" s="316" t="s">
        <v>458</v>
      </c>
      <c r="D93" s="183" t="str">
        <f>IF(kvartal=4,IF(B93=0, "    ---- ", IF(ABS(ROUND(100/B93*C93-100,1))&lt;999,ROUND(100/B93*C93-100,1),IF(ROUND(100/B93*C93-100,1)&gt;999,999,-999))),"")</f>
        <v/>
      </c>
      <c r="E93" s="453" t="str">
        <f>IF(kvartal=4,IFERROR(100/'Skjema total MA'!B93*C93,0),"")</f>
        <v/>
      </c>
      <c r="F93" s="316" t="s">
        <v>458</v>
      </c>
      <c r="G93" s="316" t="s">
        <v>458</v>
      </c>
      <c r="H93" s="183" t="str">
        <f t="shared" si="22"/>
        <v/>
      </c>
      <c r="I93" s="453"/>
      <c r="J93" s="325"/>
      <c r="K93" s="325"/>
      <c r="L93" s="183"/>
      <c r="M93" s="23"/>
    </row>
    <row r="94" spans="1:13" x14ac:dyDescent="0.2">
      <c r="A94" s="729" t="s">
        <v>12</v>
      </c>
      <c r="B94" s="251"/>
      <c r="C94" s="324"/>
      <c r="D94" s="183"/>
      <c r="E94" s="453" t="str">
        <f>IF(kvartal=4,IFERROR(100/'Skjema total MA'!B94*C94,0),"")</f>
        <v/>
      </c>
      <c r="F94" s="316" t="s">
        <v>458</v>
      </c>
      <c r="G94" s="316" t="s">
        <v>458</v>
      </c>
      <c r="H94" s="183" t="str">
        <f t="shared" si="22"/>
        <v/>
      </c>
      <c r="I94" s="453"/>
      <c r="J94" s="325"/>
      <c r="K94" s="325"/>
      <c r="L94" s="183"/>
      <c r="M94" s="23"/>
    </row>
    <row r="95" spans="1:13" x14ac:dyDescent="0.2">
      <c r="A95" s="729" t="s">
        <v>13</v>
      </c>
      <c r="B95" s="251"/>
      <c r="C95" s="324"/>
      <c r="D95" s="183"/>
      <c r="E95" s="453" t="str">
        <f>IF(kvartal=4,IFERROR(100/'Skjema total MA'!B95*C95,0),"")</f>
        <v/>
      </c>
      <c r="F95" s="316" t="s">
        <v>458</v>
      </c>
      <c r="G95" s="316" t="s">
        <v>458</v>
      </c>
      <c r="H95" s="183" t="str">
        <f t="shared" si="22"/>
        <v/>
      </c>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v>191489</v>
      </c>
      <c r="C98" s="250">
        <v>200436</v>
      </c>
      <c r="D98" s="183">
        <f t="shared" si="15"/>
        <v>4.7</v>
      </c>
      <c r="E98" s="27">
        <f>IFERROR(100/'Skjema total MA'!C98*C98,0)</f>
        <v>5.349737127839866E-2</v>
      </c>
      <c r="F98" s="327">
        <v>2726137</v>
      </c>
      <c r="G98" s="327">
        <v>3068064</v>
      </c>
      <c r="H98" s="183">
        <f t="shared" si="16"/>
        <v>12.5</v>
      </c>
      <c r="I98" s="27">
        <f>IFERROR(100/'Skjema total MA'!F98*G98,0)</f>
        <v>1.3163875235865352</v>
      </c>
      <c r="J98" s="322">
        <f t="shared" si="21"/>
        <v>2917626</v>
      </c>
      <c r="K98" s="44">
        <f t="shared" si="21"/>
        <v>3268500</v>
      </c>
      <c r="L98" s="274">
        <f t="shared" si="18"/>
        <v>12</v>
      </c>
      <c r="M98" s="27">
        <f>IFERROR(100/'Skjema total MA'!I98*K98,0)</f>
        <v>0.53781924083209698</v>
      </c>
    </row>
    <row r="99" spans="1:13" x14ac:dyDescent="0.2">
      <c r="A99" s="21" t="s">
        <v>9</v>
      </c>
      <c r="B99" s="327"/>
      <c r="C99" s="328"/>
      <c r="D99" s="183"/>
      <c r="E99" s="27"/>
      <c r="F99" s="250"/>
      <c r="G99" s="162"/>
      <c r="H99" s="183"/>
      <c r="I99" s="27"/>
      <c r="J99" s="322"/>
      <c r="K99" s="44"/>
      <c r="L99" s="274"/>
      <c r="M99" s="27"/>
    </row>
    <row r="100" spans="1:13" x14ac:dyDescent="0.2">
      <c r="A100" s="21" t="s">
        <v>10</v>
      </c>
      <c r="B100" s="327">
        <v>191489</v>
      </c>
      <c r="C100" s="328">
        <v>200436</v>
      </c>
      <c r="D100" s="183">
        <f t="shared" si="15"/>
        <v>4.7</v>
      </c>
      <c r="E100" s="27">
        <f>IFERROR(100/'Skjema total MA'!C100*C100,0)</f>
        <v>7.4752023097850975</v>
      </c>
      <c r="F100" s="250">
        <v>2726137</v>
      </c>
      <c r="G100" s="250">
        <v>3068064</v>
      </c>
      <c r="H100" s="183">
        <f t="shared" si="16"/>
        <v>12.5</v>
      </c>
      <c r="I100" s="27">
        <f>IFERROR(100/'Skjema total MA'!F100*G100,0)</f>
        <v>1.3163875235865352</v>
      </c>
      <c r="J100" s="322">
        <f t="shared" si="21"/>
        <v>2917626</v>
      </c>
      <c r="K100" s="44">
        <f t="shared" si="21"/>
        <v>3268500</v>
      </c>
      <c r="L100" s="274">
        <f t="shared" si="18"/>
        <v>12</v>
      </c>
      <c r="M100" s="27">
        <f>IFERROR(100/'Skjema total MA'!I100*K100,0)</f>
        <v>1.3864364355162795</v>
      </c>
    </row>
    <row r="101" spans="1:13" ht="15.75" x14ac:dyDescent="0.2">
      <c r="A101" s="729" t="s">
        <v>478</v>
      </c>
      <c r="B101" s="316" t="s">
        <v>458</v>
      </c>
      <c r="C101" s="316" t="s">
        <v>458</v>
      </c>
      <c r="D101" s="183" t="str">
        <f>IF(kvartal=4,IF(B101=0, "    ---- ", IF(ABS(ROUND(100/B101*C101-100,1))&lt;999,ROUND(100/B101*C101-100,1),IF(ROUND(100/B101*C101-100,1)&gt;999,999,-999))),"")</f>
        <v/>
      </c>
      <c r="E101" s="453" t="str">
        <f>IF(kvartal=4,IFERROR(100/'Skjema total MA'!B101*C101,0),"")</f>
        <v/>
      </c>
      <c r="F101" s="316" t="s">
        <v>458</v>
      </c>
      <c r="G101" s="316" t="s">
        <v>458</v>
      </c>
      <c r="H101" s="183" t="str">
        <f t="shared" ref="H101:H106" si="23">IF(kvartal=4,IF(F101=0, "    ---- ", IF(ABS(ROUND(100/F101*G101-100,1))&lt;999,ROUND(100/F101*G101-100,1),IF(ROUND(100/F101*G101-100,1)&gt;999,999,-999))),"")</f>
        <v/>
      </c>
      <c r="I101" s="453"/>
      <c r="J101" s="325"/>
      <c r="K101" s="325"/>
      <c r="L101" s="183"/>
      <c r="M101" s="23"/>
    </row>
    <row r="102" spans="1:13" x14ac:dyDescent="0.2">
      <c r="A102" s="729" t="s">
        <v>12</v>
      </c>
      <c r="B102" s="251"/>
      <c r="C102" s="324"/>
      <c r="D102" s="183"/>
      <c r="E102" s="453" t="str">
        <f>IF(kvartal=4,IFERROR(100/'Skjema total MA'!B102*C102,0),"")</f>
        <v/>
      </c>
      <c r="F102" s="316" t="s">
        <v>458</v>
      </c>
      <c r="G102" s="316" t="s">
        <v>458</v>
      </c>
      <c r="H102" s="183" t="str">
        <f t="shared" si="23"/>
        <v/>
      </c>
      <c r="I102" s="453"/>
      <c r="J102" s="325"/>
      <c r="K102" s="325"/>
      <c r="L102" s="183"/>
      <c r="M102" s="23"/>
    </row>
    <row r="103" spans="1:13" x14ac:dyDescent="0.2">
      <c r="A103" s="729" t="s">
        <v>13</v>
      </c>
      <c r="B103" s="251"/>
      <c r="C103" s="324"/>
      <c r="D103" s="183"/>
      <c r="E103" s="453" t="str">
        <f>IF(kvartal=4,IFERROR(100/'Skjema total MA'!B103*C103,0),"")</f>
        <v/>
      </c>
      <c r="F103" s="316" t="s">
        <v>458</v>
      </c>
      <c r="G103" s="316" t="s">
        <v>458</v>
      </c>
      <c r="H103" s="183" t="str">
        <f t="shared" si="23"/>
        <v/>
      </c>
      <c r="I103" s="453"/>
      <c r="J103" s="325"/>
      <c r="K103" s="325"/>
      <c r="L103" s="183"/>
      <c r="M103" s="23"/>
    </row>
    <row r="104" spans="1:13" ht="15.75" x14ac:dyDescent="0.2">
      <c r="A104" s="729" t="s">
        <v>479</v>
      </c>
      <c r="B104" s="316" t="s">
        <v>458</v>
      </c>
      <c r="C104" s="316" t="s">
        <v>458</v>
      </c>
      <c r="D104" s="183" t="str">
        <f>IF(kvartal=4,IF(B104=0, "    ---- ", IF(ABS(ROUND(100/B104*C104-100,1))&lt;999,ROUND(100/B104*C104-100,1),IF(ROUND(100/B104*C104-100,1)&gt;999,999,-999))),"")</f>
        <v/>
      </c>
      <c r="E104" s="453" t="str">
        <f>IF(kvartal=4,IFERROR(100/'Skjema total MA'!B104*C104,0),"")</f>
        <v/>
      </c>
      <c r="F104" s="316" t="s">
        <v>458</v>
      </c>
      <c r="G104" s="316" t="s">
        <v>458</v>
      </c>
      <c r="H104" s="183" t="str">
        <f t="shared" si="23"/>
        <v/>
      </c>
      <c r="I104" s="453"/>
      <c r="J104" s="325"/>
      <c r="K104" s="325"/>
      <c r="L104" s="183"/>
      <c r="M104" s="23"/>
    </row>
    <row r="105" spans="1:13" x14ac:dyDescent="0.2">
      <c r="A105" s="729" t="s">
        <v>12</v>
      </c>
      <c r="B105" s="251"/>
      <c r="C105" s="324"/>
      <c r="D105" s="183"/>
      <c r="E105" s="453" t="str">
        <f>IF(kvartal=4,IFERROR(100/'Skjema total MA'!B105*C105,0),"")</f>
        <v/>
      </c>
      <c r="F105" s="316" t="s">
        <v>458</v>
      </c>
      <c r="G105" s="316" t="s">
        <v>458</v>
      </c>
      <c r="H105" s="183" t="str">
        <f t="shared" si="23"/>
        <v/>
      </c>
      <c r="I105" s="453"/>
      <c r="J105" s="325"/>
      <c r="K105" s="325"/>
      <c r="L105" s="183"/>
      <c r="M105" s="23"/>
    </row>
    <row r="106" spans="1:13" x14ac:dyDescent="0.2">
      <c r="A106" s="729" t="s">
        <v>13</v>
      </c>
      <c r="B106" s="251"/>
      <c r="C106" s="324"/>
      <c r="D106" s="183"/>
      <c r="E106" s="453" t="str">
        <f>IF(kvartal=4,IFERROR(100/'Skjema total MA'!B106*C106,0),"")</f>
        <v/>
      </c>
      <c r="F106" s="316" t="s">
        <v>458</v>
      </c>
      <c r="G106" s="316" t="s">
        <v>458</v>
      </c>
      <c r="H106" s="183" t="str">
        <f t="shared" si="23"/>
        <v/>
      </c>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128</v>
      </c>
      <c r="C111" s="176">
        <f>SUM(C112:C114)</f>
        <v>0</v>
      </c>
      <c r="D111" s="188">
        <f t="shared" si="15"/>
        <v>-100</v>
      </c>
      <c r="E111" s="11">
        <f>IFERROR(100/'Skjema total MA'!C111*C111,0)</f>
        <v>0</v>
      </c>
      <c r="F111" s="344">
        <f>SUM(F112:F114)</f>
        <v>28787</v>
      </c>
      <c r="G111" s="176">
        <f>SUM(G112:G114)</f>
        <v>12609.424999999999</v>
      </c>
      <c r="H111" s="188">
        <f t="shared" si="16"/>
        <v>-56.2</v>
      </c>
      <c r="I111" s="11">
        <f>IFERROR(100/'Skjema total MA'!F111*G111,0)</f>
        <v>0.26269366824868828</v>
      </c>
      <c r="J111" s="345">
        <f t="shared" si="21"/>
        <v>28915</v>
      </c>
      <c r="K111" s="252">
        <f t="shared" si="21"/>
        <v>12609.424999999999</v>
      </c>
      <c r="L111" s="464">
        <f t="shared" si="18"/>
        <v>-56.4</v>
      </c>
      <c r="M111" s="11">
        <f>IFERROR(100/'Skjema total MA'!I111*K111,0)</f>
        <v>0.2404584111760332</v>
      </c>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v>128</v>
      </c>
      <c r="C113" s="162">
        <v>0</v>
      </c>
      <c r="D113" s="183">
        <f t="shared" ref="D113:D121" si="24">IF(B113=0, "    ---- ", IF(ABS(ROUND(100/B113*C113-100,1))&lt;999,ROUND(100/B113*C113-100,1),IF(ROUND(100/B113*C113-100,1)&gt;999,999,-999)))</f>
        <v>-100</v>
      </c>
      <c r="E113" s="27">
        <f>IFERROR(100/'Skjema total MA'!C113*C113,0)</f>
        <v>0</v>
      </c>
      <c r="F113" s="250">
        <v>28787</v>
      </c>
      <c r="G113" s="162">
        <v>12609.424999999999</v>
      </c>
      <c r="H113" s="183">
        <f t="shared" ref="H113:H121" si="25">IF(F113=0, "    ---- ", IF(ABS(ROUND(100/F113*G113-100,1))&lt;999,ROUND(100/F113*G113-100,1),IF(ROUND(100/F113*G113-100,1)&gt;999,999,-999)))</f>
        <v>-56.2</v>
      </c>
      <c r="I113" s="27">
        <f>IFERROR(100/'Skjema total MA'!F113*G113,0)</f>
        <v>0.26345149959538594</v>
      </c>
      <c r="J113" s="322">
        <f t="shared" ref="J113:K121" si="26">SUM(B113,F113)</f>
        <v>28915</v>
      </c>
      <c r="K113" s="44">
        <f t="shared" si="26"/>
        <v>12609.424999999999</v>
      </c>
      <c r="L113" s="274">
        <f t="shared" ref="L113:L121" si="27">IF(J113=0, "    ---- ", IF(ABS(ROUND(100/J113*K113-100,1))&lt;999,ROUND(100/J113*K113-100,1),IF(ROUND(100/J113*K113-100,1)&gt;999,999,-999)))</f>
        <v>-56.4</v>
      </c>
      <c r="M113" s="27">
        <f>IFERROR(100/'Skjema total MA'!I113*K113,0)</f>
        <v>0.26345149959538594</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771</v>
      </c>
      <c r="C119" s="176">
        <f>SUM(C120:C122)</f>
        <v>1389.318</v>
      </c>
      <c r="D119" s="188">
        <f t="shared" si="24"/>
        <v>80.2</v>
      </c>
      <c r="E119" s="11">
        <f>IFERROR(100/'Skjema total MA'!C119*C119,0)</f>
        <v>0.81639959062746892</v>
      </c>
      <c r="F119" s="344">
        <f>SUM(F120:F122)</f>
        <v>40793</v>
      </c>
      <c r="G119" s="176">
        <f>SUM(G120:G122)</f>
        <v>47871.834000000003</v>
      </c>
      <c r="H119" s="188">
        <f t="shared" si="25"/>
        <v>17.399999999999999</v>
      </c>
      <c r="I119" s="11">
        <f>IFERROR(100/'Skjema total MA'!F119*G119,0)</f>
        <v>0.95382723878837683</v>
      </c>
      <c r="J119" s="345">
        <f t="shared" si="26"/>
        <v>41564</v>
      </c>
      <c r="K119" s="252">
        <f t="shared" si="26"/>
        <v>49261.152000000002</v>
      </c>
      <c r="L119" s="464">
        <f t="shared" si="27"/>
        <v>18.5</v>
      </c>
      <c r="M119" s="11">
        <f>IFERROR(100/'Skjema total MA'!I119*K119,0)</f>
        <v>0.9493203047219364</v>
      </c>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v>771</v>
      </c>
      <c r="C121" s="162">
        <v>1389.318</v>
      </c>
      <c r="D121" s="183">
        <f t="shared" si="24"/>
        <v>80.2</v>
      </c>
      <c r="E121" s="27">
        <f>IFERROR(100/'Skjema total MA'!C121*C121,0)</f>
        <v>18.773450065267671</v>
      </c>
      <c r="F121" s="250">
        <v>40793</v>
      </c>
      <c r="G121" s="162">
        <v>47871.834000000003</v>
      </c>
      <c r="H121" s="183">
        <f t="shared" si="25"/>
        <v>17.399999999999999</v>
      </c>
      <c r="I121" s="27">
        <f>IFERROR(100/'Skjema total MA'!F121*G121,0)</f>
        <v>0.95379908787359202</v>
      </c>
      <c r="J121" s="322">
        <f t="shared" si="26"/>
        <v>41564</v>
      </c>
      <c r="K121" s="44">
        <f t="shared" si="26"/>
        <v>49261.152000000002</v>
      </c>
      <c r="L121" s="274">
        <f t="shared" si="27"/>
        <v>18.5</v>
      </c>
      <c r="M121" s="27">
        <f>IFERROR(100/'Skjema total MA'!I121*K121,0)</f>
        <v>0.98003485218333131</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86" priority="138">
      <formula>kvartal &lt; 4</formula>
    </cfRule>
  </conditionalFormatting>
  <conditionalFormatting sqref="B69">
    <cfRule type="expression" dxfId="1085" priority="106">
      <formula>kvartal &lt; 4</formula>
    </cfRule>
  </conditionalFormatting>
  <conditionalFormatting sqref="C69">
    <cfRule type="expression" dxfId="1084" priority="105">
      <formula>kvartal &lt; 4</formula>
    </cfRule>
  </conditionalFormatting>
  <conditionalFormatting sqref="B72">
    <cfRule type="expression" dxfId="1083" priority="104">
      <formula>kvartal &lt; 4</formula>
    </cfRule>
  </conditionalFormatting>
  <conditionalFormatting sqref="C72">
    <cfRule type="expression" dxfId="1082" priority="103">
      <formula>kvartal &lt; 4</formula>
    </cfRule>
  </conditionalFormatting>
  <conditionalFormatting sqref="B80">
    <cfRule type="expression" dxfId="1081" priority="102">
      <formula>kvartal &lt; 4</formula>
    </cfRule>
  </conditionalFormatting>
  <conditionalFormatting sqref="C80">
    <cfRule type="expression" dxfId="1080" priority="101">
      <formula>kvartal &lt; 4</formula>
    </cfRule>
  </conditionalFormatting>
  <conditionalFormatting sqref="B83">
    <cfRule type="expression" dxfId="1079" priority="100">
      <formula>kvartal &lt; 4</formula>
    </cfRule>
  </conditionalFormatting>
  <conditionalFormatting sqref="C83">
    <cfRule type="expression" dxfId="1078" priority="99">
      <formula>kvartal &lt; 4</formula>
    </cfRule>
  </conditionalFormatting>
  <conditionalFormatting sqref="B90">
    <cfRule type="expression" dxfId="1077" priority="90">
      <formula>kvartal &lt; 4</formula>
    </cfRule>
  </conditionalFormatting>
  <conditionalFormatting sqref="C90">
    <cfRule type="expression" dxfId="1076" priority="89">
      <formula>kvartal &lt; 4</formula>
    </cfRule>
  </conditionalFormatting>
  <conditionalFormatting sqref="B93">
    <cfRule type="expression" dxfId="1075" priority="88">
      <formula>kvartal &lt; 4</formula>
    </cfRule>
  </conditionalFormatting>
  <conditionalFormatting sqref="C93">
    <cfRule type="expression" dxfId="1074" priority="87">
      <formula>kvartal &lt; 4</formula>
    </cfRule>
  </conditionalFormatting>
  <conditionalFormatting sqref="B101">
    <cfRule type="expression" dxfId="1073" priority="86">
      <formula>kvartal &lt; 4</formula>
    </cfRule>
  </conditionalFormatting>
  <conditionalFormatting sqref="C101">
    <cfRule type="expression" dxfId="1072" priority="85">
      <formula>kvartal &lt; 4</formula>
    </cfRule>
  </conditionalFormatting>
  <conditionalFormatting sqref="B104">
    <cfRule type="expression" dxfId="1071" priority="84">
      <formula>kvartal &lt; 4</formula>
    </cfRule>
  </conditionalFormatting>
  <conditionalFormatting sqref="C104">
    <cfRule type="expression" dxfId="1070" priority="83">
      <formula>kvartal &lt; 4</formula>
    </cfRule>
  </conditionalFormatting>
  <conditionalFormatting sqref="B115">
    <cfRule type="expression" dxfId="1069" priority="82">
      <formula>kvartal &lt; 4</formula>
    </cfRule>
  </conditionalFormatting>
  <conditionalFormatting sqref="C115">
    <cfRule type="expression" dxfId="1068" priority="81">
      <formula>kvartal &lt; 4</formula>
    </cfRule>
  </conditionalFormatting>
  <conditionalFormatting sqref="B123">
    <cfRule type="expression" dxfId="1067" priority="80">
      <formula>kvartal &lt; 4</formula>
    </cfRule>
  </conditionalFormatting>
  <conditionalFormatting sqref="C123">
    <cfRule type="expression" dxfId="1066" priority="79">
      <formula>kvartal &lt; 4</formula>
    </cfRule>
  </conditionalFormatting>
  <conditionalFormatting sqref="F70">
    <cfRule type="expression" dxfId="1065" priority="78">
      <formula>kvartal &lt; 4</formula>
    </cfRule>
  </conditionalFormatting>
  <conditionalFormatting sqref="G70">
    <cfRule type="expression" dxfId="1064" priority="77">
      <formula>kvartal &lt; 4</formula>
    </cfRule>
  </conditionalFormatting>
  <conditionalFormatting sqref="F71:G71">
    <cfRule type="expression" dxfId="1063" priority="76">
      <formula>kvartal &lt; 4</formula>
    </cfRule>
  </conditionalFormatting>
  <conditionalFormatting sqref="F73:G74">
    <cfRule type="expression" dxfId="1062" priority="75">
      <formula>kvartal &lt; 4</formula>
    </cfRule>
  </conditionalFormatting>
  <conditionalFormatting sqref="F81:G82">
    <cfRule type="expression" dxfId="1061" priority="74">
      <formula>kvartal &lt; 4</formula>
    </cfRule>
  </conditionalFormatting>
  <conditionalFormatting sqref="F84:G85">
    <cfRule type="expression" dxfId="1060" priority="73">
      <formula>kvartal &lt; 4</formula>
    </cfRule>
  </conditionalFormatting>
  <conditionalFormatting sqref="F91:G92">
    <cfRule type="expression" dxfId="1059" priority="68">
      <formula>kvartal &lt; 4</formula>
    </cfRule>
  </conditionalFormatting>
  <conditionalFormatting sqref="F94:G95">
    <cfRule type="expression" dxfId="1058" priority="67">
      <formula>kvartal &lt; 4</formula>
    </cfRule>
  </conditionalFormatting>
  <conditionalFormatting sqref="F102:G103">
    <cfRule type="expression" dxfId="1057" priority="66">
      <formula>kvartal &lt; 4</formula>
    </cfRule>
  </conditionalFormatting>
  <conditionalFormatting sqref="F105:G106">
    <cfRule type="expression" dxfId="1056" priority="65">
      <formula>kvartal &lt; 4</formula>
    </cfRule>
  </conditionalFormatting>
  <conditionalFormatting sqref="F115">
    <cfRule type="expression" dxfId="1055" priority="64">
      <formula>kvartal &lt; 4</formula>
    </cfRule>
  </conditionalFormatting>
  <conditionalFormatting sqref="G115">
    <cfRule type="expression" dxfId="1054" priority="63">
      <formula>kvartal &lt; 4</formula>
    </cfRule>
  </conditionalFormatting>
  <conditionalFormatting sqref="F123:G123">
    <cfRule type="expression" dxfId="1053" priority="62">
      <formula>kvartal &lt; 4</formula>
    </cfRule>
  </conditionalFormatting>
  <conditionalFormatting sqref="F69:G69">
    <cfRule type="expression" dxfId="1052" priority="61">
      <formula>kvartal &lt; 4</formula>
    </cfRule>
  </conditionalFormatting>
  <conditionalFormatting sqref="F72:G72">
    <cfRule type="expression" dxfId="1051" priority="60">
      <formula>kvartal &lt; 4</formula>
    </cfRule>
  </conditionalFormatting>
  <conditionalFormatting sqref="F80:G80">
    <cfRule type="expression" dxfId="1050" priority="59">
      <formula>kvartal &lt; 4</formula>
    </cfRule>
  </conditionalFormatting>
  <conditionalFormatting sqref="F83:G83">
    <cfRule type="expression" dxfId="1049" priority="58">
      <formula>kvartal &lt; 4</formula>
    </cfRule>
  </conditionalFormatting>
  <conditionalFormatting sqref="F90:G90">
    <cfRule type="expression" dxfId="1048" priority="52">
      <formula>kvartal &lt; 4</formula>
    </cfRule>
  </conditionalFormatting>
  <conditionalFormatting sqref="F93">
    <cfRule type="expression" dxfId="1047" priority="51">
      <formula>kvartal &lt; 4</formula>
    </cfRule>
  </conditionalFormatting>
  <conditionalFormatting sqref="G93">
    <cfRule type="expression" dxfId="1046" priority="50">
      <formula>kvartal &lt; 4</formula>
    </cfRule>
  </conditionalFormatting>
  <conditionalFormatting sqref="F101">
    <cfRule type="expression" dxfId="1045" priority="49">
      <formula>kvartal &lt; 4</formula>
    </cfRule>
  </conditionalFormatting>
  <conditionalFormatting sqref="G101">
    <cfRule type="expression" dxfId="1044" priority="48">
      <formula>kvartal &lt; 4</formula>
    </cfRule>
  </conditionalFormatting>
  <conditionalFormatting sqref="G104">
    <cfRule type="expression" dxfId="1043" priority="47">
      <formula>kvartal &lt; 4</formula>
    </cfRule>
  </conditionalFormatting>
  <conditionalFormatting sqref="F104">
    <cfRule type="expression" dxfId="1042" priority="46">
      <formula>kvartal &lt; 4</formula>
    </cfRule>
  </conditionalFormatting>
  <conditionalFormatting sqref="J69:K73">
    <cfRule type="expression" dxfId="1041" priority="45">
      <formula>kvartal &lt; 4</formula>
    </cfRule>
  </conditionalFormatting>
  <conditionalFormatting sqref="J74:K74">
    <cfRule type="expression" dxfId="1040" priority="44">
      <formula>kvartal &lt; 4</formula>
    </cfRule>
  </conditionalFormatting>
  <conditionalFormatting sqref="J80:K85">
    <cfRule type="expression" dxfId="1039" priority="43">
      <formula>kvartal &lt; 4</formula>
    </cfRule>
  </conditionalFormatting>
  <conditionalFormatting sqref="J90:K95">
    <cfRule type="expression" dxfId="1038" priority="40">
      <formula>kvartal &lt; 4</formula>
    </cfRule>
  </conditionalFormatting>
  <conditionalFormatting sqref="J101:K106">
    <cfRule type="expression" dxfId="1037" priority="39">
      <formula>kvartal &lt; 4</formula>
    </cfRule>
  </conditionalFormatting>
  <conditionalFormatting sqref="J115:K115">
    <cfRule type="expression" dxfId="1036" priority="38">
      <formula>kvartal &lt; 4</formula>
    </cfRule>
  </conditionalFormatting>
  <conditionalFormatting sqref="J123:K123">
    <cfRule type="expression" dxfId="1035" priority="37">
      <formula>kvartal &lt; 4</formula>
    </cfRule>
  </conditionalFormatting>
  <conditionalFormatting sqref="A50:A52">
    <cfRule type="expression" dxfId="1034" priority="18">
      <formula>kvartal &lt; 4</formula>
    </cfRule>
  </conditionalFormatting>
  <conditionalFormatting sqref="A69:A74">
    <cfRule type="expression" dxfId="1033" priority="6">
      <formula>kvartal &lt; 4</formula>
    </cfRule>
  </conditionalFormatting>
  <conditionalFormatting sqref="A115">
    <cfRule type="expression" dxfId="1032" priority="5">
      <formula>kvartal &lt; 4</formula>
    </cfRule>
  </conditionalFormatting>
  <conditionalFormatting sqref="A123">
    <cfRule type="expression" dxfId="1031" priority="4">
      <formula>kvartal &lt; 4</formula>
    </cfRule>
  </conditionalFormatting>
  <conditionalFormatting sqref="A80:A85">
    <cfRule type="expression" dxfId="1030" priority="3">
      <formula>kvartal &lt; 4</formula>
    </cfRule>
  </conditionalFormatting>
  <conditionalFormatting sqref="A90:A95">
    <cfRule type="expression" dxfId="1029" priority="2">
      <formula>kvartal &lt; 4</formula>
    </cfRule>
  </conditionalFormatting>
  <conditionalFormatting sqref="A101:A106">
    <cfRule type="expression" dxfId="1028" priority="1">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152</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4414</v>
      </c>
      <c r="C47" s="347">
        <f>SUM(C48:C49)</f>
        <v>4814</v>
      </c>
      <c r="D47" s="463">
        <f t="shared" ref="D47:D57" si="0">IF(B47=0, "    ---- ", IF(ABS(ROUND(100/B47*C47-100,1))&lt;999,ROUND(100/B47*C47-100,1),IF(ROUND(100/B47*C47-100,1)&gt;999,999,-999)))</f>
        <v>9.1</v>
      </c>
      <c r="E47" s="11">
        <f>IFERROR(100/'Skjema total MA'!C47*C47,0)</f>
        <v>0.21462915551927764</v>
      </c>
      <c r="F47" s="162"/>
      <c r="G47" s="33"/>
      <c r="H47" s="176"/>
      <c r="I47" s="176"/>
      <c r="J47" s="37"/>
      <c r="K47" s="37"/>
      <c r="L47" s="176"/>
      <c r="M47" s="176"/>
      <c r="N47" s="165"/>
      <c r="O47" s="165"/>
    </row>
    <row r="48" spans="1:15" s="3" customFormat="1" ht="15.75" x14ac:dyDescent="0.2">
      <c r="A48" s="38" t="s">
        <v>476</v>
      </c>
      <c r="B48" s="316">
        <v>4414</v>
      </c>
      <c r="C48" s="317">
        <v>4814</v>
      </c>
      <c r="D48" s="274">
        <f t="shared" si="0"/>
        <v>9.1</v>
      </c>
      <c r="E48" s="27">
        <f>IFERROR(100/'Skjema total MA'!C48*C48,0)</f>
        <v>0.43251351121642068</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0</v>
      </c>
      <c r="C53" s="347">
        <f>SUM(C54:C55)</f>
        <v>1869.0029999999999</v>
      </c>
      <c r="D53" s="464" t="str">
        <f t="shared" si="0"/>
        <v xml:space="preserve">    ---- </v>
      </c>
      <c r="E53" s="11">
        <f>IFERROR(100/'Skjema total MA'!C53*C53,0)</f>
        <v>4.1050794093281233</v>
      </c>
      <c r="F53" s="162"/>
      <c r="G53" s="33"/>
      <c r="H53" s="162"/>
      <c r="I53" s="162"/>
      <c r="J53" s="33"/>
      <c r="K53" s="33"/>
      <c r="L53" s="176"/>
      <c r="M53" s="176"/>
      <c r="N53" s="165"/>
      <c r="O53" s="165"/>
    </row>
    <row r="54" spans="1:15" s="3" customFormat="1" ht="15.75" x14ac:dyDescent="0.2">
      <c r="A54" s="38" t="s">
        <v>476</v>
      </c>
      <c r="B54" s="316">
        <v>0</v>
      </c>
      <c r="C54" s="317">
        <v>1869.0029999999999</v>
      </c>
      <c r="D54" s="274" t="str">
        <f t="shared" si="0"/>
        <v xml:space="preserve">    ---- </v>
      </c>
      <c r="E54" s="27">
        <f>IFERROR(100/'Skjema total MA'!C54*C54,0)</f>
        <v>4.1050794093281233</v>
      </c>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0</v>
      </c>
      <c r="C56" s="347">
        <f>SUM(C57:C58)</f>
        <v>325</v>
      </c>
      <c r="D56" s="464" t="str">
        <f t="shared" si="0"/>
        <v xml:space="preserve">    ---- </v>
      </c>
      <c r="E56" s="11">
        <f>IFERROR(100/'Skjema total MA'!C56*C56,0)</f>
        <v>0.77340249312599874</v>
      </c>
      <c r="F56" s="162"/>
      <c r="G56" s="33"/>
      <c r="H56" s="162"/>
      <c r="I56" s="162"/>
      <c r="J56" s="33"/>
      <c r="K56" s="33"/>
      <c r="L56" s="176"/>
      <c r="M56" s="176"/>
      <c r="N56" s="165"/>
      <c r="O56" s="165"/>
    </row>
    <row r="57" spans="1:15" s="3" customFormat="1" ht="15.75" x14ac:dyDescent="0.2">
      <c r="A57" s="38" t="s">
        <v>476</v>
      </c>
      <c r="B57" s="316">
        <v>0</v>
      </c>
      <c r="C57" s="317">
        <v>325</v>
      </c>
      <c r="D57" s="274" t="str">
        <f t="shared" si="0"/>
        <v xml:space="preserve">    ---- </v>
      </c>
      <c r="E57" s="27">
        <f>IFERROR(100/'Skjema total MA'!C57*C57,0)</f>
        <v>0.77340249312599874</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27" priority="138">
      <formula>kvartal &lt; 4</formula>
    </cfRule>
  </conditionalFormatting>
  <conditionalFormatting sqref="B69">
    <cfRule type="expression" dxfId="1026" priority="106">
      <formula>kvartal &lt; 4</formula>
    </cfRule>
  </conditionalFormatting>
  <conditionalFormatting sqref="C69">
    <cfRule type="expression" dxfId="1025" priority="105">
      <formula>kvartal &lt; 4</formula>
    </cfRule>
  </conditionalFormatting>
  <conditionalFormatting sqref="B72">
    <cfRule type="expression" dxfId="1024" priority="104">
      <formula>kvartal &lt; 4</formula>
    </cfRule>
  </conditionalFormatting>
  <conditionalFormatting sqref="C72">
    <cfRule type="expression" dxfId="1023" priority="103">
      <formula>kvartal &lt; 4</formula>
    </cfRule>
  </conditionalFormatting>
  <conditionalFormatting sqref="B80">
    <cfRule type="expression" dxfId="1022" priority="102">
      <formula>kvartal &lt; 4</formula>
    </cfRule>
  </conditionalFormatting>
  <conditionalFormatting sqref="C80">
    <cfRule type="expression" dxfId="1021" priority="101">
      <formula>kvartal &lt; 4</formula>
    </cfRule>
  </conditionalFormatting>
  <conditionalFormatting sqref="B83">
    <cfRule type="expression" dxfId="1020" priority="100">
      <formula>kvartal &lt; 4</formula>
    </cfRule>
  </conditionalFormatting>
  <conditionalFormatting sqref="C83">
    <cfRule type="expression" dxfId="1019" priority="99">
      <formula>kvartal &lt; 4</formula>
    </cfRule>
  </conditionalFormatting>
  <conditionalFormatting sqref="B90">
    <cfRule type="expression" dxfId="1018" priority="90">
      <formula>kvartal &lt; 4</formula>
    </cfRule>
  </conditionalFormatting>
  <conditionalFormatting sqref="C90">
    <cfRule type="expression" dxfId="1017" priority="89">
      <formula>kvartal &lt; 4</formula>
    </cfRule>
  </conditionalFormatting>
  <conditionalFormatting sqref="B93">
    <cfRule type="expression" dxfId="1016" priority="88">
      <formula>kvartal &lt; 4</formula>
    </cfRule>
  </conditionalFormatting>
  <conditionalFormatting sqref="C93">
    <cfRule type="expression" dxfId="1015" priority="87">
      <formula>kvartal &lt; 4</formula>
    </cfRule>
  </conditionalFormatting>
  <conditionalFormatting sqref="B101">
    <cfRule type="expression" dxfId="1014" priority="86">
      <formula>kvartal &lt; 4</formula>
    </cfRule>
  </conditionalFormatting>
  <conditionalFormatting sqref="C101">
    <cfRule type="expression" dxfId="1013" priority="85">
      <formula>kvartal &lt; 4</formula>
    </cfRule>
  </conditionalFormatting>
  <conditionalFormatting sqref="B104">
    <cfRule type="expression" dxfId="1012" priority="84">
      <formula>kvartal &lt; 4</formula>
    </cfRule>
  </conditionalFormatting>
  <conditionalFormatting sqref="C104">
    <cfRule type="expression" dxfId="1011" priority="83">
      <formula>kvartal &lt; 4</formula>
    </cfRule>
  </conditionalFormatting>
  <conditionalFormatting sqref="B115">
    <cfRule type="expression" dxfId="1010" priority="82">
      <formula>kvartal &lt; 4</formula>
    </cfRule>
  </conditionalFormatting>
  <conditionalFormatting sqref="C115">
    <cfRule type="expression" dxfId="1009" priority="81">
      <formula>kvartal &lt; 4</formula>
    </cfRule>
  </conditionalFormatting>
  <conditionalFormatting sqref="B123">
    <cfRule type="expression" dxfId="1008" priority="80">
      <formula>kvartal &lt; 4</formula>
    </cfRule>
  </conditionalFormatting>
  <conditionalFormatting sqref="C123">
    <cfRule type="expression" dxfId="1007" priority="79">
      <formula>kvartal &lt; 4</formula>
    </cfRule>
  </conditionalFormatting>
  <conditionalFormatting sqref="F70">
    <cfRule type="expression" dxfId="1006" priority="78">
      <formula>kvartal &lt; 4</formula>
    </cfRule>
  </conditionalFormatting>
  <conditionalFormatting sqref="G70">
    <cfRule type="expression" dxfId="1005" priority="77">
      <formula>kvartal &lt; 4</formula>
    </cfRule>
  </conditionalFormatting>
  <conditionalFormatting sqref="F71:G71">
    <cfRule type="expression" dxfId="1004" priority="76">
      <formula>kvartal &lt; 4</formula>
    </cfRule>
  </conditionalFormatting>
  <conditionalFormatting sqref="F73:G74">
    <cfRule type="expression" dxfId="1003" priority="75">
      <formula>kvartal &lt; 4</formula>
    </cfRule>
  </conditionalFormatting>
  <conditionalFormatting sqref="F81:G82">
    <cfRule type="expression" dxfId="1002" priority="74">
      <formula>kvartal &lt; 4</formula>
    </cfRule>
  </conditionalFormatting>
  <conditionalFormatting sqref="F84:G85">
    <cfRule type="expression" dxfId="1001" priority="73">
      <formula>kvartal &lt; 4</formula>
    </cfRule>
  </conditionalFormatting>
  <conditionalFormatting sqref="F91:G92">
    <cfRule type="expression" dxfId="1000" priority="68">
      <formula>kvartal &lt; 4</formula>
    </cfRule>
  </conditionalFormatting>
  <conditionalFormatting sqref="F94:G95">
    <cfRule type="expression" dxfId="999" priority="67">
      <formula>kvartal &lt; 4</formula>
    </cfRule>
  </conditionalFormatting>
  <conditionalFormatting sqref="F102:G103">
    <cfRule type="expression" dxfId="998" priority="66">
      <formula>kvartal &lt; 4</formula>
    </cfRule>
  </conditionalFormatting>
  <conditionalFormatting sqref="F105:G106">
    <cfRule type="expression" dxfId="997" priority="65">
      <formula>kvartal &lt; 4</formula>
    </cfRule>
  </conditionalFormatting>
  <conditionalFormatting sqref="F115">
    <cfRule type="expression" dxfId="996" priority="64">
      <formula>kvartal &lt; 4</formula>
    </cfRule>
  </conditionalFormatting>
  <conditionalFormatting sqref="G115">
    <cfRule type="expression" dxfId="995" priority="63">
      <formula>kvartal &lt; 4</formula>
    </cfRule>
  </conditionalFormatting>
  <conditionalFormatting sqref="F123:G123">
    <cfRule type="expression" dxfId="994" priority="62">
      <formula>kvartal &lt; 4</formula>
    </cfRule>
  </conditionalFormatting>
  <conditionalFormatting sqref="F69:G69">
    <cfRule type="expression" dxfId="993" priority="61">
      <formula>kvartal &lt; 4</formula>
    </cfRule>
  </conditionalFormatting>
  <conditionalFormatting sqref="F72:G72">
    <cfRule type="expression" dxfId="992" priority="60">
      <formula>kvartal &lt; 4</formula>
    </cfRule>
  </conditionalFormatting>
  <conditionalFormatting sqref="F80:G80">
    <cfRule type="expression" dxfId="991" priority="59">
      <formula>kvartal &lt; 4</formula>
    </cfRule>
  </conditionalFormatting>
  <conditionalFormatting sqref="F83:G83">
    <cfRule type="expression" dxfId="990" priority="58">
      <formula>kvartal &lt; 4</formula>
    </cfRule>
  </conditionalFormatting>
  <conditionalFormatting sqref="F90:G90">
    <cfRule type="expression" dxfId="989" priority="52">
      <formula>kvartal &lt; 4</formula>
    </cfRule>
  </conditionalFormatting>
  <conditionalFormatting sqref="F93">
    <cfRule type="expression" dxfId="988" priority="51">
      <formula>kvartal &lt; 4</formula>
    </cfRule>
  </conditionalFormatting>
  <conditionalFormatting sqref="G93">
    <cfRule type="expression" dxfId="987" priority="50">
      <formula>kvartal &lt; 4</formula>
    </cfRule>
  </conditionalFormatting>
  <conditionalFormatting sqref="F101">
    <cfRule type="expression" dxfId="986" priority="49">
      <formula>kvartal &lt; 4</formula>
    </cfRule>
  </conditionalFormatting>
  <conditionalFormatting sqref="G101">
    <cfRule type="expression" dxfId="985" priority="48">
      <formula>kvartal &lt; 4</formula>
    </cfRule>
  </conditionalFormatting>
  <conditionalFormatting sqref="G104">
    <cfRule type="expression" dxfId="984" priority="47">
      <formula>kvartal &lt; 4</formula>
    </cfRule>
  </conditionalFormatting>
  <conditionalFormatting sqref="F104">
    <cfRule type="expression" dxfId="983" priority="46">
      <formula>kvartal &lt; 4</formula>
    </cfRule>
  </conditionalFormatting>
  <conditionalFormatting sqref="J69:K73">
    <cfRule type="expression" dxfId="982" priority="45">
      <formula>kvartal &lt; 4</formula>
    </cfRule>
  </conditionalFormatting>
  <conditionalFormatting sqref="J74:K74">
    <cfRule type="expression" dxfId="981" priority="44">
      <formula>kvartal &lt; 4</formula>
    </cfRule>
  </conditionalFormatting>
  <conditionalFormatting sqref="J80:K85">
    <cfRule type="expression" dxfId="980" priority="43">
      <formula>kvartal &lt; 4</formula>
    </cfRule>
  </conditionalFormatting>
  <conditionalFormatting sqref="J90:K95">
    <cfRule type="expression" dxfId="979" priority="40">
      <formula>kvartal &lt; 4</formula>
    </cfRule>
  </conditionalFormatting>
  <conditionalFormatting sqref="J101:K106">
    <cfRule type="expression" dxfId="978" priority="39">
      <formula>kvartal &lt; 4</formula>
    </cfRule>
  </conditionalFormatting>
  <conditionalFormatting sqref="J115:K115">
    <cfRule type="expression" dxfId="977" priority="38">
      <formula>kvartal &lt; 4</formula>
    </cfRule>
  </conditionalFormatting>
  <conditionalFormatting sqref="J123:K123">
    <cfRule type="expression" dxfId="976" priority="37">
      <formula>kvartal &lt; 4</formula>
    </cfRule>
  </conditionalFormatting>
  <conditionalFormatting sqref="A50:A52">
    <cfRule type="expression" dxfId="975" priority="18">
      <formula>kvartal &lt; 4</formula>
    </cfRule>
  </conditionalFormatting>
  <conditionalFormatting sqref="A69:A74">
    <cfRule type="expression" dxfId="974" priority="6">
      <formula>kvartal &lt; 4</formula>
    </cfRule>
  </conditionalFormatting>
  <conditionalFormatting sqref="A115">
    <cfRule type="expression" dxfId="973" priority="5">
      <formula>kvartal &lt; 4</formula>
    </cfRule>
  </conditionalFormatting>
  <conditionalFormatting sqref="A123">
    <cfRule type="expression" dxfId="972" priority="4">
      <formula>kvartal &lt; 4</formula>
    </cfRule>
  </conditionalFormatting>
  <conditionalFormatting sqref="A80:A85">
    <cfRule type="expression" dxfId="971" priority="3">
      <formula>kvartal &lt; 4</formula>
    </cfRule>
  </conditionalFormatting>
  <conditionalFormatting sqref="A90:A95">
    <cfRule type="expression" dxfId="970" priority="2">
      <formula>kvartal &lt; 4</formula>
    </cfRule>
  </conditionalFormatting>
  <conditionalFormatting sqref="A101:A106">
    <cfRule type="expression" dxfId="969"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44"/>
  <sheetViews>
    <sheetView showGridLines="0" zoomScaleNormal="100" zoomScaleSheetLayoutView="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155</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436953</v>
      </c>
      <c r="C7" s="343">
        <v>440110</v>
      </c>
      <c r="D7" s="384">
        <f>IF(B7=0, "    ---- ", IF(ABS(ROUND(100/B7*C7-100,1))&lt;999,ROUND(100/B7*C7-100,1),IF(ROUND(100/B7*C7-100,1)&gt;999,999,-999)))</f>
        <v>0.7</v>
      </c>
      <c r="E7" s="11">
        <f>IFERROR(100/'Skjema total MA'!C7*C7,0)</f>
        <v>26.674420978704955</v>
      </c>
      <c r="F7" s="342"/>
      <c r="G7" s="343"/>
      <c r="H7" s="384"/>
      <c r="I7" s="177"/>
      <c r="J7" s="344">
        <v>436953</v>
      </c>
      <c r="K7" s="345">
        <v>440110</v>
      </c>
      <c r="L7" s="463">
        <f>IF(J7=0, "    ---- ", IF(ABS(ROUND(100/J7*K7-100,1))&lt;999,ROUND(100/J7*K7-100,1),IF(ROUND(100/J7*K7-100,1)&gt;999,999,-999)))</f>
        <v>0.7</v>
      </c>
      <c r="M7" s="11">
        <f>IFERROR(100/'Skjema total MA'!I7*K7,0)</f>
        <v>11.937344603952292</v>
      </c>
    </row>
    <row r="8" spans="1:15" ht="15.75" x14ac:dyDescent="0.2">
      <c r="A8" s="21" t="s">
        <v>26</v>
      </c>
      <c r="B8" s="316">
        <v>257109</v>
      </c>
      <c r="C8" s="317">
        <v>262594</v>
      </c>
      <c r="D8" s="183">
        <f t="shared" ref="D8:D9" si="0">IF(B8=0, "    ---- ", IF(ABS(ROUND(100/B8*C8-100,1))&lt;999,ROUND(100/B8*C8-100,1),IF(ROUND(100/B8*C8-100,1)&gt;999,999,-999)))</f>
        <v>2.1</v>
      </c>
      <c r="E8" s="27">
        <f>IFERROR(100/'Skjema total MA'!C8*C8,0)</f>
        <v>25.660604333276911</v>
      </c>
      <c r="F8" s="320"/>
      <c r="G8" s="321"/>
      <c r="H8" s="183"/>
      <c r="I8" s="193"/>
      <c r="J8" s="250">
        <v>257109</v>
      </c>
      <c r="K8" s="322">
        <v>262594</v>
      </c>
      <c r="L8" s="183">
        <f t="shared" ref="L8:L9" si="1">IF(J8=0, "    ---- ", IF(ABS(ROUND(100/J8*K8-100,1))&lt;999,ROUND(100/J8*K8-100,1),IF(ROUND(100/J8*K8-100,1)&gt;999,999,-999)))</f>
        <v>2.1</v>
      </c>
      <c r="M8" s="27">
        <f>IFERROR(100/'Skjema total MA'!I8*K8,0)</f>
        <v>25.660604333276911</v>
      </c>
    </row>
    <row r="9" spans="1:15" ht="15.75" x14ac:dyDescent="0.2">
      <c r="A9" s="21" t="s">
        <v>25</v>
      </c>
      <c r="B9" s="316">
        <v>179844</v>
      </c>
      <c r="C9" s="317">
        <v>177516</v>
      </c>
      <c r="D9" s="183">
        <f t="shared" si="0"/>
        <v>-1.3</v>
      </c>
      <c r="E9" s="27">
        <f>IFERROR(100/'Skjema total MA'!C9*C9,0)</f>
        <v>34.231112866844128</v>
      </c>
      <c r="F9" s="320"/>
      <c r="G9" s="321"/>
      <c r="H9" s="183"/>
      <c r="I9" s="193"/>
      <c r="J9" s="250">
        <v>179844</v>
      </c>
      <c r="K9" s="322">
        <v>177516</v>
      </c>
      <c r="L9" s="183">
        <f t="shared" si="1"/>
        <v>-1.3</v>
      </c>
      <c r="M9" s="27">
        <f>IFERROR(100/'Skjema total MA'!I9*K9,0)</f>
        <v>34.231112866844128</v>
      </c>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596267</v>
      </c>
      <c r="C47" s="347">
        <f>SUM(C48:C49)</f>
        <v>612135</v>
      </c>
      <c r="D47" s="463">
        <f t="shared" ref="D47:D57" si="2">IF(B47=0, "    ---- ", IF(ABS(ROUND(100/B47*C47-100,1))&lt;999,ROUND(100/B47*C47-100,1),IF(ROUND(100/B47*C47-100,1)&gt;999,999,-999)))</f>
        <v>2.7</v>
      </c>
      <c r="E47" s="11">
        <f>IFERROR(100/'Skjema total MA'!C47*C47,0)</f>
        <v>27.291653118777109</v>
      </c>
      <c r="F47" s="162"/>
      <c r="G47" s="33"/>
      <c r="H47" s="176"/>
      <c r="I47" s="176"/>
      <c r="J47" s="37"/>
      <c r="K47" s="37"/>
      <c r="L47" s="176"/>
      <c r="M47" s="176"/>
      <c r="N47" s="165"/>
      <c r="O47" s="165"/>
    </row>
    <row r="48" spans="1:15" s="3" customFormat="1" ht="15.75" x14ac:dyDescent="0.2">
      <c r="A48" s="38" t="s">
        <v>476</v>
      </c>
      <c r="B48" s="316">
        <v>324553</v>
      </c>
      <c r="C48" s="317">
        <v>316750</v>
      </c>
      <c r="D48" s="274">
        <f t="shared" si="2"/>
        <v>-2.4</v>
      </c>
      <c r="E48" s="27">
        <f>IFERROR(100/'Skjema total MA'!C48*C48,0)</f>
        <v>28.458382774782145</v>
      </c>
      <c r="F48" s="162"/>
      <c r="G48" s="33"/>
      <c r="H48" s="162"/>
      <c r="I48" s="162"/>
      <c r="J48" s="33"/>
      <c r="K48" s="33"/>
      <c r="L48" s="176"/>
      <c r="M48" s="176"/>
      <c r="N48" s="165"/>
      <c r="O48" s="165"/>
    </row>
    <row r="49" spans="1:15" s="3" customFormat="1" ht="15.75" x14ac:dyDescent="0.2">
      <c r="A49" s="38" t="s">
        <v>477</v>
      </c>
      <c r="B49" s="44">
        <v>271714</v>
      </c>
      <c r="C49" s="322">
        <v>295385</v>
      </c>
      <c r="D49" s="274">
        <f>IF(B49=0, "    ---- ", IF(ABS(ROUND(100/B49*C49-100,1))&lt;999,ROUND(100/B49*C49-100,1),IF(ROUND(100/B49*C49-100,1)&gt;999,999,-999)))</f>
        <v>8.6999999999999993</v>
      </c>
      <c r="E49" s="27">
        <f>IFERROR(100/'Skjema total MA'!C49*C49,0)</f>
        <v>26.142354446155874</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87706</v>
      </c>
      <c r="C53" s="347">
        <f>SUM(C54:C55)</f>
        <v>28414</v>
      </c>
      <c r="D53" s="464">
        <f t="shared" si="2"/>
        <v>-67.599999999999994</v>
      </c>
      <c r="E53" s="11">
        <f>IFERROR(100/'Skjema total MA'!C53*C53,0)</f>
        <v>62.408528149312389</v>
      </c>
      <c r="F53" s="162"/>
      <c r="G53" s="33"/>
      <c r="H53" s="162"/>
      <c r="I53" s="162"/>
      <c r="J53" s="33"/>
      <c r="K53" s="33"/>
      <c r="L53" s="176"/>
      <c r="M53" s="176"/>
      <c r="N53" s="165"/>
      <c r="O53" s="165"/>
    </row>
    <row r="54" spans="1:15" s="3" customFormat="1" ht="15.75" x14ac:dyDescent="0.2">
      <c r="A54" s="38" t="s">
        <v>476</v>
      </c>
      <c r="B54" s="316">
        <v>32540</v>
      </c>
      <c r="C54" s="317">
        <v>28414</v>
      </c>
      <c r="D54" s="274">
        <f t="shared" si="2"/>
        <v>-12.7</v>
      </c>
      <c r="E54" s="27">
        <f>IFERROR(100/'Skjema total MA'!C54*C54,0)</f>
        <v>62.408528149312389</v>
      </c>
      <c r="F54" s="162"/>
      <c r="G54" s="33"/>
      <c r="H54" s="162"/>
      <c r="I54" s="162"/>
      <c r="J54" s="33"/>
      <c r="K54" s="33"/>
      <c r="L54" s="176"/>
      <c r="M54" s="176"/>
      <c r="N54" s="165"/>
      <c r="O54" s="165"/>
    </row>
    <row r="55" spans="1:15" s="3" customFormat="1" ht="15.75" x14ac:dyDescent="0.2">
      <c r="A55" s="38" t="s">
        <v>477</v>
      </c>
      <c r="B55" s="316">
        <v>55166</v>
      </c>
      <c r="C55" s="317">
        <v>0</v>
      </c>
      <c r="D55" s="274">
        <f t="shared" si="2"/>
        <v>-100</v>
      </c>
      <c r="E55" s="27">
        <f>IFERROR(100/'Skjema total MA'!C55*C55,0)</f>
        <v>0</v>
      </c>
      <c r="F55" s="162"/>
      <c r="G55" s="33"/>
      <c r="H55" s="162"/>
      <c r="I55" s="162"/>
      <c r="J55" s="33"/>
      <c r="K55" s="33"/>
      <c r="L55" s="176"/>
      <c r="M55" s="176"/>
      <c r="N55" s="165"/>
      <c r="O55" s="165"/>
    </row>
    <row r="56" spans="1:15" s="3" customFormat="1" ht="15.75" x14ac:dyDescent="0.2">
      <c r="A56" s="39" t="s">
        <v>490</v>
      </c>
      <c r="B56" s="346">
        <f>SUM(B57:B58)</f>
        <v>29538</v>
      </c>
      <c r="C56" s="347">
        <f>SUM(C57:C58)</f>
        <v>14525</v>
      </c>
      <c r="D56" s="464">
        <f t="shared" si="2"/>
        <v>-50.8</v>
      </c>
      <c r="E56" s="11">
        <f>IFERROR(100/'Skjema total MA'!C56*C56,0)</f>
        <v>34.565142192785018</v>
      </c>
      <c r="F56" s="162"/>
      <c r="G56" s="33"/>
      <c r="H56" s="162"/>
      <c r="I56" s="162"/>
      <c r="J56" s="33"/>
      <c r="K56" s="33"/>
      <c r="L56" s="176"/>
      <c r="M56" s="176"/>
      <c r="N56" s="165"/>
      <c r="O56" s="165"/>
    </row>
    <row r="57" spans="1:15" s="3" customFormat="1" ht="15.75" x14ac:dyDescent="0.2">
      <c r="A57" s="38" t="s">
        <v>476</v>
      </c>
      <c r="B57" s="316">
        <v>29538</v>
      </c>
      <c r="C57" s="317">
        <v>14525</v>
      </c>
      <c r="D57" s="274">
        <f t="shared" si="2"/>
        <v>-50.8</v>
      </c>
      <c r="E57" s="27">
        <f>IFERROR(100/'Skjema total MA'!C57*C57,0)</f>
        <v>34.565142192785018</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68" priority="138">
      <formula>kvartal &lt; 4</formula>
    </cfRule>
  </conditionalFormatting>
  <conditionalFormatting sqref="B69">
    <cfRule type="expression" dxfId="967" priority="106">
      <formula>kvartal &lt; 4</formula>
    </cfRule>
  </conditionalFormatting>
  <conditionalFormatting sqref="C69">
    <cfRule type="expression" dxfId="966" priority="105">
      <formula>kvartal &lt; 4</formula>
    </cfRule>
  </conditionalFormatting>
  <conditionalFormatting sqref="B72">
    <cfRule type="expression" dxfId="965" priority="104">
      <formula>kvartal &lt; 4</formula>
    </cfRule>
  </conditionalFormatting>
  <conditionalFormatting sqref="C72">
    <cfRule type="expression" dxfId="964" priority="103">
      <formula>kvartal &lt; 4</formula>
    </cfRule>
  </conditionalFormatting>
  <conditionalFormatting sqref="B80">
    <cfRule type="expression" dxfId="963" priority="102">
      <formula>kvartal &lt; 4</formula>
    </cfRule>
  </conditionalFormatting>
  <conditionalFormatting sqref="C80">
    <cfRule type="expression" dxfId="962" priority="101">
      <formula>kvartal &lt; 4</formula>
    </cfRule>
  </conditionalFormatting>
  <conditionalFormatting sqref="B83">
    <cfRule type="expression" dxfId="961" priority="100">
      <formula>kvartal &lt; 4</formula>
    </cfRule>
  </conditionalFormatting>
  <conditionalFormatting sqref="C83">
    <cfRule type="expression" dxfId="960" priority="99">
      <formula>kvartal &lt; 4</formula>
    </cfRule>
  </conditionalFormatting>
  <conditionalFormatting sqref="B90">
    <cfRule type="expression" dxfId="959" priority="90">
      <formula>kvartal &lt; 4</formula>
    </cfRule>
  </conditionalFormatting>
  <conditionalFormatting sqref="C90">
    <cfRule type="expression" dxfId="958" priority="89">
      <formula>kvartal &lt; 4</formula>
    </cfRule>
  </conditionalFormatting>
  <conditionalFormatting sqref="B93">
    <cfRule type="expression" dxfId="957" priority="88">
      <formula>kvartal &lt; 4</formula>
    </cfRule>
  </conditionalFormatting>
  <conditionalFormatting sqref="C93">
    <cfRule type="expression" dxfId="956" priority="87">
      <formula>kvartal &lt; 4</formula>
    </cfRule>
  </conditionalFormatting>
  <conditionalFormatting sqref="B101">
    <cfRule type="expression" dxfId="955" priority="86">
      <formula>kvartal &lt; 4</formula>
    </cfRule>
  </conditionalFormatting>
  <conditionalFormatting sqref="C101">
    <cfRule type="expression" dxfId="954" priority="85">
      <formula>kvartal &lt; 4</formula>
    </cfRule>
  </conditionalFormatting>
  <conditionalFormatting sqref="B104">
    <cfRule type="expression" dxfId="953" priority="84">
      <formula>kvartal &lt; 4</formula>
    </cfRule>
  </conditionalFormatting>
  <conditionalFormatting sqref="C104">
    <cfRule type="expression" dxfId="952" priority="83">
      <formula>kvartal &lt; 4</formula>
    </cfRule>
  </conditionalFormatting>
  <conditionalFormatting sqref="B115">
    <cfRule type="expression" dxfId="951" priority="82">
      <formula>kvartal &lt; 4</formula>
    </cfRule>
  </conditionalFormatting>
  <conditionalFormatting sqref="C115">
    <cfRule type="expression" dxfId="950" priority="81">
      <formula>kvartal &lt; 4</formula>
    </cfRule>
  </conditionalFormatting>
  <conditionalFormatting sqref="B123">
    <cfRule type="expression" dxfId="949" priority="80">
      <formula>kvartal &lt; 4</formula>
    </cfRule>
  </conditionalFormatting>
  <conditionalFormatting sqref="C123">
    <cfRule type="expression" dxfId="948" priority="79">
      <formula>kvartal &lt; 4</formula>
    </cfRule>
  </conditionalFormatting>
  <conditionalFormatting sqref="F70">
    <cfRule type="expression" dxfId="947" priority="78">
      <formula>kvartal &lt; 4</formula>
    </cfRule>
  </conditionalFormatting>
  <conditionalFormatting sqref="G70">
    <cfRule type="expression" dxfId="946" priority="77">
      <formula>kvartal &lt; 4</formula>
    </cfRule>
  </conditionalFormatting>
  <conditionalFormatting sqref="F71:G71">
    <cfRule type="expression" dxfId="945" priority="76">
      <formula>kvartal &lt; 4</formula>
    </cfRule>
  </conditionalFormatting>
  <conditionalFormatting sqref="F73:G74">
    <cfRule type="expression" dxfId="944" priority="75">
      <formula>kvartal &lt; 4</formula>
    </cfRule>
  </conditionalFormatting>
  <conditionalFormatting sqref="F81:G82">
    <cfRule type="expression" dxfId="943" priority="74">
      <formula>kvartal &lt; 4</formula>
    </cfRule>
  </conditionalFormatting>
  <conditionalFormatting sqref="F84:G85">
    <cfRule type="expression" dxfId="942" priority="73">
      <formula>kvartal &lt; 4</formula>
    </cfRule>
  </conditionalFormatting>
  <conditionalFormatting sqref="F91:G92">
    <cfRule type="expression" dxfId="941" priority="68">
      <formula>kvartal &lt; 4</formula>
    </cfRule>
  </conditionalFormatting>
  <conditionalFormatting sqref="F94:G95">
    <cfRule type="expression" dxfId="940" priority="67">
      <formula>kvartal &lt; 4</formula>
    </cfRule>
  </conditionalFormatting>
  <conditionalFormatting sqref="F102:G103">
    <cfRule type="expression" dxfId="939" priority="66">
      <formula>kvartal &lt; 4</formula>
    </cfRule>
  </conditionalFormatting>
  <conditionalFormatting sqref="F105:G106">
    <cfRule type="expression" dxfId="938" priority="65">
      <formula>kvartal &lt; 4</formula>
    </cfRule>
  </conditionalFormatting>
  <conditionalFormatting sqref="F115">
    <cfRule type="expression" dxfId="937" priority="64">
      <formula>kvartal &lt; 4</formula>
    </cfRule>
  </conditionalFormatting>
  <conditionalFormatting sqref="G115">
    <cfRule type="expression" dxfId="936" priority="63">
      <formula>kvartal &lt; 4</formula>
    </cfRule>
  </conditionalFormatting>
  <conditionalFormatting sqref="F123:G123">
    <cfRule type="expression" dxfId="935" priority="62">
      <formula>kvartal &lt; 4</formula>
    </cfRule>
  </conditionalFormatting>
  <conditionalFormatting sqref="F69:G69">
    <cfRule type="expression" dxfId="934" priority="61">
      <formula>kvartal &lt; 4</formula>
    </cfRule>
  </conditionalFormatting>
  <conditionalFormatting sqref="F72:G72">
    <cfRule type="expression" dxfId="933" priority="60">
      <formula>kvartal &lt; 4</formula>
    </cfRule>
  </conditionalFormatting>
  <conditionalFormatting sqref="F80:G80">
    <cfRule type="expression" dxfId="932" priority="59">
      <formula>kvartal &lt; 4</formula>
    </cfRule>
  </conditionalFormatting>
  <conditionalFormatting sqref="F83:G83">
    <cfRule type="expression" dxfId="931" priority="58">
      <formula>kvartal &lt; 4</formula>
    </cfRule>
  </conditionalFormatting>
  <conditionalFormatting sqref="F90:G90">
    <cfRule type="expression" dxfId="930" priority="52">
      <formula>kvartal &lt; 4</formula>
    </cfRule>
  </conditionalFormatting>
  <conditionalFormatting sqref="F93">
    <cfRule type="expression" dxfId="929" priority="51">
      <formula>kvartal &lt; 4</formula>
    </cfRule>
  </conditionalFormatting>
  <conditionalFormatting sqref="G93">
    <cfRule type="expression" dxfId="928" priority="50">
      <formula>kvartal &lt; 4</formula>
    </cfRule>
  </conditionalFormatting>
  <conditionalFormatting sqref="F101">
    <cfRule type="expression" dxfId="927" priority="49">
      <formula>kvartal &lt; 4</formula>
    </cfRule>
  </conditionalFormatting>
  <conditionalFormatting sqref="G101">
    <cfRule type="expression" dxfId="926" priority="48">
      <formula>kvartal &lt; 4</formula>
    </cfRule>
  </conditionalFormatting>
  <conditionalFormatting sqref="G104">
    <cfRule type="expression" dxfId="925" priority="47">
      <formula>kvartal &lt; 4</formula>
    </cfRule>
  </conditionalFormatting>
  <conditionalFormatting sqref="F104">
    <cfRule type="expression" dxfId="924" priority="46">
      <formula>kvartal &lt; 4</formula>
    </cfRule>
  </conditionalFormatting>
  <conditionalFormatting sqref="J69:K73">
    <cfRule type="expression" dxfId="923" priority="45">
      <formula>kvartal &lt; 4</formula>
    </cfRule>
  </conditionalFormatting>
  <conditionalFormatting sqref="J74:K74">
    <cfRule type="expression" dxfId="922" priority="44">
      <formula>kvartal &lt; 4</formula>
    </cfRule>
  </conditionalFormatting>
  <conditionalFormatting sqref="J80:K85">
    <cfRule type="expression" dxfId="921" priority="43">
      <formula>kvartal &lt; 4</formula>
    </cfRule>
  </conditionalFormatting>
  <conditionalFormatting sqref="J90:K95">
    <cfRule type="expression" dxfId="920" priority="40">
      <formula>kvartal &lt; 4</formula>
    </cfRule>
  </conditionalFormatting>
  <conditionalFormatting sqref="J101:K106">
    <cfRule type="expression" dxfId="919" priority="39">
      <formula>kvartal &lt; 4</formula>
    </cfRule>
  </conditionalFormatting>
  <conditionalFormatting sqref="J115:K115">
    <cfRule type="expression" dxfId="918" priority="38">
      <formula>kvartal &lt; 4</formula>
    </cfRule>
  </conditionalFormatting>
  <conditionalFormatting sqref="J123:K123">
    <cfRule type="expression" dxfId="917" priority="37">
      <formula>kvartal &lt; 4</formula>
    </cfRule>
  </conditionalFormatting>
  <conditionalFormatting sqref="A50:A52">
    <cfRule type="expression" dxfId="916" priority="18">
      <formula>kvartal &lt; 4</formula>
    </cfRule>
  </conditionalFormatting>
  <conditionalFormatting sqref="A69:A74">
    <cfRule type="expression" dxfId="915" priority="6">
      <formula>kvartal &lt; 4</formula>
    </cfRule>
  </conditionalFormatting>
  <conditionalFormatting sqref="A115">
    <cfRule type="expression" dxfId="914" priority="5">
      <formula>kvartal &lt; 4</formula>
    </cfRule>
  </conditionalFormatting>
  <conditionalFormatting sqref="A123">
    <cfRule type="expression" dxfId="913" priority="4">
      <formula>kvartal &lt; 4</formula>
    </cfRule>
  </conditionalFormatting>
  <conditionalFormatting sqref="A80:A85">
    <cfRule type="expression" dxfId="912" priority="3">
      <formula>kvartal &lt; 4</formula>
    </cfRule>
  </conditionalFormatting>
  <conditionalFormatting sqref="A90:A95">
    <cfRule type="expression" dxfId="911" priority="2">
      <formula>kvartal &lt; 4</formula>
    </cfRule>
  </conditionalFormatting>
  <conditionalFormatting sqref="A101:A106">
    <cfRule type="expression" dxfId="910" priority="1">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158</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v>41128</v>
      </c>
      <c r="G7" s="343">
        <v>17993</v>
      </c>
      <c r="H7" s="384">
        <f>IF(F7=0, "    ---- ", IF(ABS(ROUND(100/F7*G7-100,1))&lt;999,ROUND(100/F7*G7-100,1),IF(ROUND(100/F7*G7-100,1)&gt;999,999,-999)))</f>
        <v>-56.3</v>
      </c>
      <c r="I7" s="177">
        <f>IFERROR(100/'Skjema total MA'!F7*G7,0)</f>
        <v>0.88335188735061987</v>
      </c>
      <c r="J7" s="344">
        <v>41128</v>
      </c>
      <c r="K7" s="345">
        <v>17993</v>
      </c>
      <c r="L7" s="463">
        <f>IF(J7=0, "    ---- ", IF(ABS(ROUND(100/J7*K7-100,1))&lt;999,ROUND(100/J7*K7-100,1),IF(ROUND(100/J7*K7-100,1)&gt;999,999,-999)))</f>
        <v>-56.3</v>
      </c>
      <c r="M7" s="11">
        <f>IFERROR(100/'Skjema total MA'!I7*K7,0)</f>
        <v>0.48803399481700843</v>
      </c>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v>395574</v>
      </c>
      <c r="G10" s="347">
        <v>516279</v>
      </c>
      <c r="H10" s="188">
        <f t="shared" ref="H10:H12" si="0">IF(F10=0, "    ---- ", IF(ABS(ROUND(100/F10*G10-100,1))&lt;999,ROUND(100/F10*G10-100,1),IF(ROUND(100/F10*G10-100,1)&gt;999,999,-999)))</f>
        <v>30.5</v>
      </c>
      <c r="I10" s="177">
        <f>IFERROR(100/'Skjema total MA'!F10*G10,0)</f>
        <v>1.2388383980271431</v>
      </c>
      <c r="J10" s="344">
        <v>395574</v>
      </c>
      <c r="K10" s="345">
        <v>516279</v>
      </c>
      <c r="L10" s="464">
        <f t="shared" ref="L10:L12" si="1">IF(J10=0, "    ---- ", IF(ABS(ROUND(100/J10*K10-100,1))&lt;999,ROUND(100/J10*K10-100,1),IF(ROUND(100/J10*K10-100,1)&gt;999,999,-999)))</f>
        <v>30.5</v>
      </c>
      <c r="M10" s="11">
        <f>IFERROR(100/'Skjema total MA'!I10*K10,0)</f>
        <v>0.81164311649689136</v>
      </c>
    </row>
    <row r="11" spans="1:15" s="43" customFormat="1" ht="15.75" x14ac:dyDescent="0.2">
      <c r="A11" s="13" t="s">
        <v>467</v>
      </c>
      <c r="B11" s="346"/>
      <c r="C11" s="347"/>
      <c r="D11" s="188"/>
      <c r="E11" s="11"/>
      <c r="F11" s="346">
        <v>3537</v>
      </c>
      <c r="G11" s="347">
        <v>1869</v>
      </c>
      <c r="H11" s="188">
        <f t="shared" si="0"/>
        <v>-47.2</v>
      </c>
      <c r="I11" s="177">
        <f>IFERROR(100/'Skjema total MA'!F11*G11,0)</f>
        <v>3.5621598800216523</v>
      </c>
      <c r="J11" s="344">
        <v>3537</v>
      </c>
      <c r="K11" s="345">
        <v>1869</v>
      </c>
      <c r="L11" s="464">
        <f t="shared" si="1"/>
        <v>-47.2</v>
      </c>
      <c r="M11" s="11">
        <f>IFERROR(100/'Skjema total MA'!I11*K11,0)</f>
        <v>3.3714452064170168</v>
      </c>
      <c r="N11" s="160"/>
      <c r="O11" s="165"/>
    </row>
    <row r="12" spans="1:15" s="43" customFormat="1" ht="15.75" x14ac:dyDescent="0.2">
      <c r="A12" s="41" t="s">
        <v>468</v>
      </c>
      <c r="B12" s="348"/>
      <c r="C12" s="349"/>
      <c r="D12" s="186"/>
      <c r="E12" s="36"/>
      <c r="F12" s="348">
        <v>184</v>
      </c>
      <c r="G12" s="349">
        <v>126</v>
      </c>
      <c r="H12" s="186">
        <f t="shared" si="0"/>
        <v>-31.5</v>
      </c>
      <c r="I12" s="186">
        <f>IFERROR(100/'Skjema total MA'!F12*G12,0)</f>
        <v>0.20581421300060729</v>
      </c>
      <c r="J12" s="350">
        <v>184</v>
      </c>
      <c r="K12" s="351">
        <v>126</v>
      </c>
      <c r="L12" s="465">
        <f t="shared" si="1"/>
        <v>-31.5</v>
      </c>
      <c r="M12" s="36">
        <f>IFERROR(100/'Skjema total MA'!I12*K12,0)</f>
        <v>0.20588483637655328</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107286</v>
      </c>
      <c r="C22" s="352">
        <v>121751</v>
      </c>
      <c r="D22" s="384">
        <f t="shared" ref="D22:D29" si="2">IF(B22=0, "    ---- ", IF(ABS(ROUND(100/B22*C22-100,1))&lt;999,ROUND(100/B22*C22-100,1),IF(ROUND(100/B22*C22-100,1)&gt;999,999,-999)))</f>
        <v>13.5</v>
      </c>
      <c r="E22" s="11">
        <f>IFERROR(100/'Skjema total MA'!C22*C22,0)</f>
        <v>24.105386102600072</v>
      </c>
      <c r="F22" s="352">
        <v>1959</v>
      </c>
      <c r="G22" s="352">
        <v>12357</v>
      </c>
      <c r="H22" s="384">
        <f t="shared" ref="H22:H35" si="3">IF(F22=0, "    ---- ", IF(ABS(ROUND(100/F22*G22-100,1))&lt;999,ROUND(100/F22*G22-100,1),IF(ROUND(100/F22*G22-100,1)&gt;999,999,-999)))</f>
        <v>530.79999999999995</v>
      </c>
      <c r="I22" s="11">
        <f>IFERROR(100/'Skjema total MA'!F22*G22,0)</f>
        <v>4.1894178098458248</v>
      </c>
      <c r="J22" s="352">
        <f t="shared" ref="J22:K35" si="4">SUM(B22,F22)</f>
        <v>109245</v>
      </c>
      <c r="K22" s="352">
        <f t="shared" si="4"/>
        <v>134108</v>
      </c>
      <c r="L22" s="463">
        <f t="shared" ref="L22:L35" si="5">IF(J22=0, "    ---- ", IF(ABS(ROUND(100/J22*K22-100,1))&lt;999,ROUND(100/J22*K22-100,1),IF(ROUND(100/J22*K22-100,1)&gt;999,999,-999)))</f>
        <v>22.8</v>
      </c>
      <c r="M22" s="24">
        <f>IFERROR(100/'Skjema total MA'!I22*K22,0)</f>
        <v>16.762757346715258</v>
      </c>
    </row>
    <row r="23" spans="1:15" ht="15.75" x14ac:dyDescent="0.2">
      <c r="A23" s="49" t="s">
        <v>469</v>
      </c>
      <c r="B23" s="44"/>
      <c r="C23" s="322"/>
      <c r="D23" s="183"/>
      <c r="E23" s="27"/>
      <c r="F23" s="250"/>
      <c r="G23" s="322">
        <v>3</v>
      </c>
      <c r="H23" s="183" t="str">
        <f t="shared" ref="H23:H26" si="6">IF(F23=0, "    ---- ", IF(ABS(ROUND(100/F23*G23-100,1))&lt;999,ROUND(100/F23*G23-100,1),IF(ROUND(100/F23*G23-100,1)&gt;999,999,-999)))</f>
        <v xml:space="preserve">    ---- </v>
      </c>
      <c r="I23" s="27">
        <f>IFERROR(100/'Skjema total MA'!F23*G23,0)</f>
        <v>5.8333047995100251E-3</v>
      </c>
      <c r="J23" s="44"/>
      <c r="K23" s="44">
        <f t="shared" ref="K23:K26" si="7">SUM(C23,G23)</f>
        <v>3</v>
      </c>
      <c r="L23" s="274" t="str">
        <f t="shared" ref="L23:L26" si="8">IF(J23=0, "    ---- ", IF(ABS(ROUND(100/J23*K23-100,1))&lt;999,ROUND(100/J23*K23-100,1),IF(ROUND(100/J23*K23-100,1)&gt;999,999,-999)))</f>
        <v xml:space="preserve">    ---- </v>
      </c>
      <c r="M23" s="23">
        <f>IFERROR(100/'Skjema total MA'!I23*K23,0)</f>
        <v>1.0362724312815517E-3</v>
      </c>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v>308</v>
      </c>
      <c r="H25" s="183" t="str">
        <f t="shared" si="6"/>
        <v xml:space="preserve">    ---- </v>
      </c>
      <c r="I25" s="27">
        <f>IFERROR(100/'Skjema total MA'!F25*G25,0)</f>
        <v>1.1289564631001134</v>
      </c>
      <c r="J25" s="44"/>
      <c r="K25" s="44">
        <f t="shared" si="7"/>
        <v>308</v>
      </c>
      <c r="L25" s="274" t="str">
        <f t="shared" si="8"/>
        <v xml:space="preserve">    ---- </v>
      </c>
      <c r="M25" s="23">
        <f>IFERROR(100/'Skjema total MA'!I25*K25,0)</f>
        <v>0.94988196090079169</v>
      </c>
    </row>
    <row r="26" spans="1:15" ht="15.75" x14ac:dyDescent="0.2">
      <c r="A26" s="49" t="s">
        <v>472</v>
      </c>
      <c r="B26" s="44"/>
      <c r="C26" s="322"/>
      <c r="D26" s="183"/>
      <c r="E26" s="27"/>
      <c r="F26" s="250"/>
      <c r="G26" s="322">
        <v>12046</v>
      </c>
      <c r="H26" s="183" t="str">
        <f t="shared" si="6"/>
        <v xml:space="preserve">    ---- </v>
      </c>
      <c r="I26" s="27">
        <f>IFERROR(100/'Skjema total MA'!F26*G26,0)</f>
        <v>5.8463451324379196</v>
      </c>
      <c r="J26" s="44"/>
      <c r="K26" s="44">
        <f t="shared" si="7"/>
        <v>12046</v>
      </c>
      <c r="L26" s="274" t="str">
        <f t="shared" si="8"/>
        <v xml:space="preserve">    ---- </v>
      </c>
      <c r="M26" s="23">
        <f>IFERROR(100/'Skjema total MA'!I26*K26,0)</f>
        <v>5.8463451324379196</v>
      </c>
    </row>
    <row r="27" spans="1:15" x14ac:dyDescent="0.2">
      <c r="A27" s="49" t="s">
        <v>11</v>
      </c>
      <c r="B27" s="44"/>
      <c r="C27" s="322"/>
      <c r="D27" s="183"/>
      <c r="E27" s="27"/>
      <c r="F27" s="250"/>
      <c r="G27" s="322"/>
      <c r="H27" s="183"/>
      <c r="I27" s="27"/>
      <c r="J27" s="44"/>
      <c r="K27" s="44"/>
      <c r="L27" s="274"/>
      <c r="M27" s="23"/>
    </row>
    <row r="28" spans="1:15" ht="15.75" x14ac:dyDescent="0.2">
      <c r="A28" s="49" t="s">
        <v>366</v>
      </c>
      <c r="B28" s="44">
        <v>107286</v>
      </c>
      <c r="C28" s="322">
        <v>121751</v>
      </c>
      <c r="D28" s="183">
        <f t="shared" si="2"/>
        <v>13.5</v>
      </c>
      <c r="E28" s="27">
        <f>IFERROR(100/'Skjema total MA'!C28*C28,0)</f>
        <v>17.202467536887649</v>
      </c>
      <c r="F28" s="250"/>
      <c r="G28" s="322"/>
      <c r="H28" s="183"/>
      <c r="I28" s="27"/>
      <c r="J28" s="44">
        <f t="shared" si="4"/>
        <v>107286</v>
      </c>
      <c r="K28" s="44">
        <f t="shared" si="4"/>
        <v>121751</v>
      </c>
      <c r="L28" s="274">
        <f t="shared" si="5"/>
        <v>13.5</v>
      </c>
      <c r="M28" s="23">
        <f>IFERROR(100/'Skjema total MA'!I28*K28,0)</f>
        <v>17.202467536887649</v>
      </c>
    </row>
    <row r="29" spans="1:15" s="3" customFormat="1" ht="15.75" x14ac:dyDescent="0.2">
      <c r="A29" s="13" t="s">
        <v>23</v>
      </c>
      <c r="B29" s="252">
        <v>1086453</v>
      </c>
      <c r="C29" s="252">
        <v>1401345</v>
      </c>
      <c r="D29" s="188">
        <f t="shared" si="2"/>
        <v>29</v>
      </c>
      <c r="E29" s="11">
        <f>IFERROR(100/'Skjema total MA'!C29*C29,0)</f>
        <v>2.8331878144746487</v>
      </c>
      <c r="F29" s="252">
        <v>1594721</v>
      </c>
      <c r="G29" s="252">
        <v>1574201</v>
      </c>
      <c r="H29" s="188">
        <f t="shared" si="3"/>
        <v>-1.3</v>
      </c>
      <c r="I29" s="11">
        <f>IFERROR(100/'Skjema total MA'!F29*G29,0)</f>
        <v>7.8716915708004596</v>
      </c>
      <c r="J29" s="252">
        <f t="shared" si="4"/>
        <v>2681174</v>
      </c>
      <c r="K29" s="252">
        <f t="shared" si="4"/>
        <v>2975546</v>
      </c>
      <c r="L29" s="464">
        <f t="shared" si="5"/>
        <v>11</v>
      </c>
      <c r="M29" s="24">
        <f>IFERROR(100/'Skjema total MA'!I29*K29,0)</f>
        <v>4.2838247370022309</v>
      </c>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v>9380</v>
      </c>
      <c r="G34" s="345">
        <v>1974</v>
      </c>
      <c r="H34" s="188">
        <f t="shared" si="3"/>
        <v>-79</v>
      </c>
      <c r="I34" s="11">
        <f>IFERROR(100/'Skjema total MA'!F34*G34,0)</f>
        <v>35.38076287699802</v>
      </c>
      <c r="J34" s="252">
        <f t="shared" si="4"/>
        <v>9380</v>
      </c>
      <c r="K34" s="252">
        <f t="shared" si="4"/>
        <v>1974</v>
      </c>
      <c r="L34" s="464">
        <f t="shared" si="5"/>
        <v>-79</v>
      </c>
      <c r="M34" s="24">
        <f>IFERROR(100/'Skjema total MA'!I34*K34,0)</f>
        <v>14.975133563132802</v>
      </c>
    </row>
    <row r="35" spans="1:15" ht="15.75" x14ac:dyDescent="0.2">
      <c r="A35" s="13" t="s">
        <v>468</v>
      </c>
      <c r="B35" s="252"/>
      <c r="C35" s="345"/>
      <c r="D35" s="188"/>
      <c r="E35" s="11"/>
      <c r="F35" s="344">
        <v>1403</v>
      </c>
      <c r="G35" s="345">
        <v>2091</v>
      </c>
      <c r="H35" s="188">
        <f t="shared" si="3"/>
        <v>49</v>
      </c>
      <c r="I35" s="11">
        <f>IFERROR(100/'Skjema total MA'!F35*G35,0)</f>
        <v>7.6953838132075916</v>
      </c>
      <c r="J35" s="252">
        <f t="shared" si="4"/>
        <v>1403</v>
      </c>
      <c r="K35" s="252">
        <f t="shared" si="4"/>
        <v>2091</v>
      </c>
      <c r="L35" s="464">
        <f t="shared" si="5"/>
        <v>49</v>
      </c>
      <c r="M35" s="24">
        <f>IFERROR(100/'Skjema total MA'!I35*K35,0)</f>
        <v>12.137766562151246</v>
      </c>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48701</v>
      </c>
      <c r="C66" s="387">
        <f>C67+C68+C75+C76</f>
        <v>56874</v>
      </c>
      <c r="D66" s="384">
        <f t="shared" ref="D66:D111" si="9">IF(B66=0, "    ---- ", IF(ABS(ROUND(100/B66*C66-100,1))&lt;999,ROUND(100/B66*C66-100,1),IF(ROUND(100/B66*C66-100,1)&gt;999,999,-999)))</f>
        <v>16.8</v>
      </c>
      <c r="E66" s="11">
        <f>IFERROR(100/'Skjema total MA'!C66*C66,0)</f>
        <v>1.5128629468267663</v>
      </c>
      <c r="F66" s="386">
        <f>F67+F68+F75+F76</f>
        <v>558899</v>
      </c>
      <c r="G66" s="386">
        <f>G67+G68+G75+G76</f>
        <v>651143</v>
      </c>
      <c r="H66" s="384">
        <f t="shared" ref="H66:H111" si="10">IF(F66=0, "    ---- ", IF(ABS(ROUND(100/F66*G66-100,1))&lt;999,ROUND(100/F66*G66-100,1),IF(ROUND(100/F66*G66-100,1)&gt;999,999,-999)))</f>
        <v>16.5</v>
      </c>
      <c r="I66" s="11">
        <f>IFERROR(100/'Skjema total MA'!F66*G66,0)</f>
        <v>9.4221512626751398</v>
      </c>
      <c r="J66" s="345">
        <f t="shared" ref="J66:K79" si="11">SUM(B66,F66)</f>
        <v>607600</v>
      </c>
      <c r="K66" s="352">
        <f t="shared" si="11"/>
        <v>708017</v>
      </c>
      <c r="L66" s="464">
        <f t="shared" ref="L66:L111" si="12">IF(J66=0, "    ---- ", IF(ABS(ROUND(100/J66*K66-100,1))&lt;999,ROUND(100/J66*K66-100,1),IF(ROUND(100/J66*K66-100,1)&gt;999,999,-999)))</f>
        <v>16.5</v>
      </c>
      <c r="M66" s="11">
        <f>IFERROR(100/'Skjema total MA'!I66*K66,0)</f>
        <v>6.6355047879414668</v>
      </c>
    </row>
    <row r="67" spans="1:15" x14ac:dyDescent="0.2">
      <c r="A67" s="21" t="s">
        <v>9</v>
      </c>
      <c r="B67" s="44">
        <v>48701</v>
      </c>
      <c r="C67" s="162">
        <v>56874</v>
      </c>
      <c r="D67" s="183">
        <f t="shared" si="9"/>
        <v>16.8</v>
      </c>
      <c r="E67" s="27">
        <f>IFERROR(100/'Skjema total MA'!C67*C67,0)</f>
        <v>1.797712948528623</v>
      </c>
      <c r="F67" s="250"/>
      <c r="G67" s="162"/>
      <c r="H67" s="183"/>
      <c r="I67" s="27"/>
      <c r="J67" s="322">
        <f t="shared" si="11"/>
        <v>48701</v>
      </c>
      <c r="K67" s="44">
        <f t="shared" si="11"/>
        <v>56874</v>
      </c>
      <c r="L67" s="274">
        <f t="shared" si="12"/>
        <v>16.8</v>
      </c>
      <c r="M67" s="27">
        <f>IFERROR(100/'Skjema total MA'!I67*K67,0)</f>
        <v>1.797712948528623</v>
      </c>
    </row>
    <row r="68" spans="1:15" x14ac:dyDescent="0.2">
      <c r="A68" s="21" t="s">
        <v>10</v>
      </c>
      <c r="B68" s="327"/>
      <c r="C68" s="328"/>
      <c r="D68" s="183"/>
      <c r="E68" s="27"/>
      <c r="F68" s="327">
        <v>558899</v>
      </c>
      <c r="G68" s="328">
        <v>651143</v>
      </c>
      <c r="H68" s="183">
        <f t="shared" si="10"/>
        <v>16.5</v>
      </c>
      <c r="I68" s="27">
        <f>IFERROR(100/'Skjema total MA'!F68*G68,0)</f>
        <v>9.5602440565909035</v>
      </c>
      <c r="J68" s="322">
        <f t="shared" si="11"/>
        <v>558899</v>
      </c>
      <c r="K68" s="44">
        <f t="shared" si="11"/>
        <v>651143</v>
      </c>
      <c r="L68" s="274">
        <f t="shared" si="12"/>
        <v>16.5</v>
      </c>
      <c r="M68" s="27">
        <f>IFERROR(100/'Skjema total MA'!I68*K68,0)</f>
        <v>9.4311841679749211</v>
      </c>
    </row>
    <row r="69" spans="1:15" ht="15.75" x14ac:dyDescent="0.2">
      <c r="A69" s="729" t="s">
        <v>478</v>
      </c>
      <c r="B69" s="316"/>
      <c r="C69" s="316"/>
      <c r="D69" s="183"/>
      <c r="E69" s="453"/>
      <c r="F69" s="316" t="s">
        <v>458</v>
      </c>
      <c r="G69" s="316" t="s">
        <v>458</v>
      </c>
      <c r="H69" s="183" t="str">
        <f t="shared" ref="H69:H74" si="13">IF(kvartal=4,IF(F69=0, "    ---- ", IF(ABS(ROUND(100/F69*G69-100,1))&lt;999,ROUND(100/F69*G69-100,1),IF(ROUND(100/F69*G69-100,1)&gt;999,999,-999))),"")</f>
        <v/>
      </c>
      <c r="I69" s="453"/>
      <c r="J69" s="325"/>
      <c r="K69" s="325"/>
      <c r="L69" s="183"/>
      <c r="M69" s="23"/>
    </row>
    <row r="70" spans="1:15" x14ac:dyDescent="0.2">
      <c r="A70" s="729" t="s">
        <v>12</v>
      </c>
      <c r="B70" s="329"/>
      <c r="C70" s="330"/>
      <c r="D70" s="183"/>
      <c r="E70" s="453"/>
      <c r="F70" s="316" t="s">
        <v>458</v>
      </c>
      <c r="G70" s="316" t="s">
        <v>458</v>
      </c>
      <c r="H70" s="183" t="str">
        <f t="shared" si="13"/>
        <v/>
      </c>
      <c r="I70" s="453"/>
      <c r="J70" s="325"/>
      <c r="K70" s="325"/>
      <c r="L70" s="183"/>
      <c r="M70" s="23"/>
    </row>
    <row r="71" spans="1:15" x14ac:dyDescent="0.2">
      <c r="A71" s="729" t="s">
        <v>13</v>
      </c>
      <c r="B71" s="251"/>
      <c r="C71" s="324"/>
      <c r="D71" s="183"/>
      <c r="E71" s="453"/>
      <c r="F71" s="316" t="s">
        <v>458</v>
      </c>
      <c r="G71" s="316" t="s">
        <v>458</v>
      </c>
      <c r="H71" s="183" t="str">
        <f t="shared" si="13"/>
        <v/>
      </c>
      <c r="I71" s="453"/>
      <c r="J71" s="325"/>
      <c r="K71" s="325"/>
      <c r="L71" s="183"/>
      <c r="M71" s="23"/>
    </row>
    <row r="72" spans="1:15" ht="15.75" x14ac:dyDescent="0.2">
      <c r="A72" s="729" t="s">
        <v>479</v>
      </c>
      <c r="B72" s="316"/>
      <c r="C72" s="316"/>
      <c r="D72" s="183"/>
      <c r="E72" s="453"/>
      <c r="F72" s="316" t="s">
        <v>458</v>
      </c>
      <c r="G72" s="316" t="s">
        <v>458</v>
      </c>
      <c r="H72" s="183" t="str">
        <f t="shared" si="13"/>
        <v/>
      </c>
      <c r="I72" s="453"/>
      <c r="J72" s="325"/>
      <c r="K72" s="325"/>
      <c r="L72" s="183"/>
      <c r="M72" s="23"/>
    </row>
    <row r="73" spans="1:15" x14ac:dyDescent="0.2">
      <c r="A73" s="729" t="s">
        <v>12</v>
      </c>
      <c r="B73" s="251"/>
      <c r="C73" s="324"/>
      <c r="D73" s="183"/>
      <c r="E73" s="453"/>
      <c r="F73" s="316" t="s">
        <v>458</v>
      </c>
      <c r="G73" s="316" t="s">
        <v>458</v>
      </c>
      <c r="H73" s="183" t="str">
        <f t="shared" si="13"/>
        <v/>
      </c>
      <c r="I73" s="453"/>
      <c r="J73" s="325"/>
      <c r="K73" s="325"/>
      <c r="L73" s="183"/>
      <c r="M73" s="23"/>
    </row>
    <row r="74" spans="1:15" s="3" customFormat="1" x14ac:dyDescent="0.2">
      <c r="A74" s="729" t="s">
        <v>13</v>
      </c>
      <c r="B74" s="251"/>
      <c r="C74" s="324"/>
      <c r="D74" s="183"/>
      <c r="E74" s="453"/>
      <c r="F74" s="316" t="s">
        <v>458</v>
      </c>
      <c r="G74" s="316" t="s">
        <v>458</v>
      </c>
      <c r="H74" s="183" t="str">
        <f t="shared" si="13"/>
        <v/>
      </c>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v>48701</v>
      </c>
      <c r="C77" s="250">
        <v>56874</v>
      </c>
      <c r="D77" s="183">
        <f t="shared" si="9"/>
        <v>16.8</v>
      </c>
      <c r="E77" s="27">
        <f>IFERROR(100/'Skjema total MA'!C77*C77,0)</f>
        <v>1.8217388309543423</v>
      </c>
      <c r="F77" s="250">
        <v>558899</v>
      </c>
      <c r="G77" s="162">
        <v>651143</v>
      </c>
      <c r="H77" s="183">
        <f t="shared" si="10"/>
        <v>16.5</v>
      </c>
      <c r="I77" s="27">
        <f>IFERROR(100/'Skjema total MA'!F77*G77,0)</f>
        <v>9.5652964709537418</v>
      </c>
      <c r="J77" s="322">
        <f t="shared" si="11"/>
        <v>607600</v>
      </c>
      <c r="K77" s="44">
        <f t="shared" si="11"/>
        <v>708017</v>
      </c>
      <c r="L77" s="274">
        <f t="shared" si="12"/>
        <v>16.5</v>
      </c>
      <c r="M77" s="27">
        <f>IFERROR(100/'Skjema total MA'!I77*K77,0)</f>
        <v>7.1305759423713591</v>
      </c>
    </row>
    <row r="78" spans="1:15" x14ac:dyDescent="0.2">
      <c r="A78" s="21" t="s">
        <v>9</v>
      </c>
      <c r="B78" s="250">
        <v>48701</v>
      </c>
      <c r="C78" s="162">
        <v>56874</v>
      </c>
      <c r="D78" s="183">
        <f t="shared" si="9"/>
        <v>16.8</v>
      </c>
      <c r="E78" s="27">
        <f>IFERROR(100/'Skjema total MA'!C78*C78,0)</f>
        <v>1.8769270069029198</v>
      </c>
      <c r="F78" s="250"/>
      <c r="G78" s="162"/>
      <c r="H78" s="183"/>
      <c r="I78" s="27"/>
      <c r="J78" s="322">
        <f t="shared" si="11"/>
        <v>48701</v>
      </c>
      <c r="K78" s="44">
        <f t="shared" si="11"/>
        <v>56874</v>
      </c>
      <c r="L78" s="274">
        <f t="shared" si="12"/>
        <v>16.8</v>
      </c>
      <c r="M78" s="27">
        <f>IFERROR(100/'Skjema total MA'!I78*K78,0)</f>
        <v>1.8769270069029198</v>
      </c>
    </row>
    <row r="79" spans="1:15" x14ac:dyDescent="0.2">
      <c r="A79" s="21" t="s">
        <v>10</v>
      </c>
      <c r="B79" s="327"/>
      <c r="C79" s="328"/>
      <c r="D79" s="183"/>
      <c r="E79" s="27"/>
      <c r="F79" s="327">
        <v>558899</v>
      </c>
      <c r="G79" s="328">
        <v>651143</v>
      </c>
      <c r="H79" s="183">
        <f t="shared" si="10"/>
        <v>16.5</v>
      </c>
      <c r="I79" s="27">
        <f>IFERROR(100/'Skjema total MA'!F79*G79,0)</f>
        <v>9.5652964709537418</v>
      </c>
      <c r="J79" s="322">
        <f t="shared" si="11"/>
        <v>558899</v>
      </c>
      <c r="K79" s="44">
        <f t="shared" si="11"/>
        <v>651143</v>
      </c>
      <c r="L79" s="274">
        <f t="shared" si="12"/>
        <v>16.5</v>
      </c>
      <c r="M79" s="27">
        <f>IFERROR(100/'Skjema total MA'!I79*K79,0)</f>
        <v>9.4380254528243626</v>
      </c>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f>B88+B89+B96+B97</f>
        <v>4486927</v>
      </c>
      <c r="C87" s="387">
        <f>C88+C89+C96+C97</f>
        <v>4737177</v>
      </c>
      <c r="D87" s="188">
        <f t="shared" si="9"/>
        <v>5.6</v>
      </c>
      <c r="E87" s="11">
        <f>IFERROR(100/'Skjema total MA'!C87*C87,0)</f>
        <v>1.2311745390817221</v>
      </c>
      <c r="F87" s="386">
        <f>SUM(F88,F89,F96,F97)</f>
        <v>17425577</v>
      </c>
      <c r="G87" s="386">
        <f>SUM(G88,G89,G96,G97)</f>
        <v>20693627</v>
      </c>
      <c r="H87" s="188">
        <f t="shared" si="10"/>
        <v>18.8</v>
      </c>
      <c r="I87" s="11">
        <f>IFERROR(100/'Skjema total MA'!F87*G87,0)</f>
        <v>8.8259771176437241</v>
      </c>
      <c r="J87" s="345">
        <f t="shared" ref="J87:K111" si="14">SUM(B87,F87)</f>
        <v>21912504</v>
      </c>
      <c r="K87" s="252">
        <f t="shared" si="14"/>
        <v>25430804</v>
      </c>
      <c r="L87" s="464">
        <f t="shared" si="12"/>
        <v>16.100000000000001</v>
      </c>
      <c r="M87" s="11">
        <f>IFERROR(100/'Skjema total MA'!I87*K87,0)</f>
        <v>4.1068320518678112</v>
      </c>
    </row>
    <row r="88" spans="1:13" x14ac:dyDescent="0.2">
      <c r="A88" s="21" t="s">
        <v>9</v>
      </c>
      <c r="B88" s="250">
        <v>4486927</v>
      </c>
      <c r="C88" s="162">
        <v>4737177</v>
      </c>
      <c r="D88" s="183">
        <f t="shared" si="9"/>
        <v>5.6</v>
      </c>
      <c r="E88" s="27">
        <f>IFERROR(100/'Skjema total MA'!C88*C88,0)</f>
        <v>1.2568713813929653</v>
      </c>
      <c r="F88" s="250"/>
      <c r="G88" s="162"/>
      <c r="H88" s="183"/>
      <c r="I88" s="27"/>
      <c r="J88" s="322">
        <f t="shared" si="14"/>
        <v>4486927</v>
      </c>
      <c r="K88" s="44">
        <f t="shared" si="14"/>
        <v>4737177</v>
      </c>
      <c r="L88" s="274">
        <f t="shared" si="12"/>
        <v>5.6</v>
      </c>
      <c r="M88" s="27">
        <f>IFERROR(100/'Skjema total MA'!I88*K88,0)</f>
        <v>1.2568713813929653</v>
      </c>
    </row>
    <row r="89" spans="1:13" x14ac:dyDescent="0.2">
      <c r="A89" s="21" t="s">
        <v>10</v>
      </c>
      <c r="B89" s="250"/>
      <c r="C89" s="162"/>
      <c r="D89" s="183"/>
      <c r="E89" s="27"/>
      <c r="F89" s="250">
        <v>17425577</v>
      </c>
      <c r="G89" s="162">
        <v>20693627</v>
      </c>
      <c r="H89" s="183">
        <f t="shared" si="10"/>
        <v>18.8</v>
      </c>
      <c r="I89" s="27">
        <f>IFERROR(100/'Skjema total MA'!F89*G89,0)</f>
        <v>8.8555706626484998</v>
      </c>
      <c r="J89" s="322">
        <f t="shared" si="14"/>
        <v>17425577</v>
      </c>
      <c r="K89" s="44">
        <f t="shared" si="14"/>
        <v>20693627</v>
      </c>
      <c r="L89" s="274">
        <f t="shared" si="12"/>
        <v>18.8</v>
      </c>
      <c r="M89" s="27">
        <f>IFERROR(100/'Skjema total MA'!I89*K89,0)</f>
        <v>8.7551103931686072</v>
      </c>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v>4486927</v>
      </c>
      <c r="C98" s="250">
        <v>4737177</v>
      </c>
      <c r="D98" s="183">
        <f t="shared" si="9"/>
        <v>5.6</v>
      </c>
      <c r="E98" s="27">
        <f>IFERROR(100/'Skjema total MA'!C98*C98,0)</f>
        <v>1.2643762436912067</v>
      </c>
      <c r="F98" s="327">
        <v>17425577</v>
      </c>
      <c r="G98" s="327">
        <v>20693627</v>
      </c>
      <c r="H98" s="183">
        <f t="shared" si="10"/>
        <v>18.8</v>
      </c>
      <c r="I98" s="27">
        <f>IFERROR(100/'Skjema total MA'!F98*G98,0)</f>
        <v>8.8788344703870141</v>
      </c>
      <c r="J98" s="322">
        <f t="shared" si="14"/>
        <v>21912504</v>
      </c>
      <c r="K98" s="44">
        <f t="shared" si="14"/>
        <v>25430804</v>
      </c>
      <c r="L98" s="274">
        <f t="shared" si="12"/>
        <v>16.100000000000001</v>
      </c>
      <c r="M98" s="27">
        <f>IFERROR(100/'Skjema total MA'!I98*K98,0)</f>
        <v>4.1845420532445639</v>
      </c>
    </row>
    <row r="99" spans="1:13" x14ac:dyDescent="0.2">
      <c r="A99" s="21" t="s">
        <v>9</v>
      </c>
      <c r="B99" s="327">
        <v>4486927</v>
      </c>
      <c r="C99" s="328">
        <v>4737177</v>
      </c>
      <c r="D99" s="183">
        <f t="shared" si="9"/>
        <v>5.6</v>
      </c>
      <c r="E99" s="27">
        <f>IFERROR(100/'Skjema total MA'!C99*C99,0)</f>
        <v>1.2734901610329472</v>
      </c>
      <c r="F99" s="250"/>
      <c r="G99" s="162"/>
      <c r="H99" s="183"/>
      <c r="I99" s="27"/>
      <c r="J99" s="322">
        <f t="shared" si="14"/>
        <v>4486927</v>
      </c>
      <c r="K99" s="44">
        <f t="shared" si="14"/>
        <v>4737177</v>
      </c>
      <c r="L99" s="274">
        <f t="shared" si="12"/>
        <v>5.6</v>
      </c>
      <c r="M99" s="27">
        <f>IFERROR(100/'Skjema total MA'!I99*K99,0)</f>
        <v>1.2734901610329472</v>
      </c>
    </row>
    <row r="100" spans="1:13" x14ac:dyDescent="0.2">
      <c r="A100" s="21" t="s">
        <v>10</v>
      </c>
      <c r="B100" s="327"/>
      <c r="C100" s="328"/>
      <c r="D100" s="183"/>
      <c r="E100" s="27"/>
      <c r="F100" s="250">
        <v>17425577</v>
      </c>
      <c r="G100" s="250">
        <v>20693627</v>
      </c>
      <c r="H100" s="183">
        <f t="shared" si="10"/>
        <v>18.8</v>
      </c>
      <c r="I100" s="27">
        <f>IFERROR(100/'Skjema total MA'!F100*G100,0)</f>
        <v>8.8788344703870141</v>
      </c>
      <c r="J100" s="322">
        <f t="shared" si="14"/>
        <v>17425577</v>
      </c>
      <c r="K100" s="44">
        <f t="shared" si="14"/>
        <v>20693627</v>
      </c>
      <c r="L100" s="274">
        <f t="shared" si="12"/>
        <v>18.8</v>
      </c>
      <c r="M100" s="27">
        <f>IFERROR(100/'Skjema total MA'!I100*K100,0)</f>
        <v>8.7778486938300269</v>
      </c>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v>3826728</v>
      </c>
      <c r="C108" s="250">
        <v>4021522</v>
      </c>
      <c r="D108" s="183">
        <f t="shared" si="9"/>
        <v>5.0999999999999996</v>
      </c>
      <c r="E108" s="27">
        <f>IFERROR(100/'Skjema total MA'!C108*C108,0)</f>
        <v>1.3088503675354037</v>
      </c>
      <c r="F108" s="250"/>
      <c r="G108" s="250"/>
      <c r="H108" s="183"/>
      <c r="I108" s="27"/>
      <c r="J108" s="322">
        <f t="shared" si="14"/>
        <v>3826728</v>
      </c>
      <c r="K108" s="44">
        <f t="shared" si="14"/>
        <v>4021522</v>
      </c>
      <c r="L108" s="274">
        <f t="shared" si="12"/>
        <v>5.0999999999999996</v>
      </c>
      <c r="M108" s="27">
        <f>IFERROR(100/'Skjema total MA'!I108*K108,0)</f>
        <v>1.2462606689970575</v>
      </c>
    </row>
    <row r="109" spans="1:13" ht="15.75" x14ac:dyDescent="0.2">
      <c r="A109" s="21" t="s">
        <v>483</v>
      </c>
      <c r="B109" s="250"/>
      <c r="C109" s="250"/>
      <c r="D109" s="183"/>
      <c r="E109" s="27"/>
      <c r="F109" s="250">
        <v>5945127</v>
      </c>
      <c r="G109" s="250">
        <v>7015323</v>
      </c>
      <c r="H109" s="183">
        <f t="shared" si="10"/>
        <v>18</v>
      </c>
      <c r="I109" s="27">
        <f>IFERROR(100/'Skjema total MA'!F109*G109,0)</f>
        <v>9.479062016065269</v>
      </c>
      <c r="J109" s="322">
        <f t="shared" si="14"/>
        <v>5945127</v>
      </c>
      <c r="K109" s="44">
        <f t="shared" si="14"/>
        <v>7015323</v>
      </c>
      <c r="L109" s="274">
        <f t="shared" si="12"/>
        <v>18</v>
      </c>
      <c r="M109" s="27">
        <f>IFERROR(100/'Skjema total MA'!I109*K109,0)</f>
        <v>9.3456490659888409</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27349</v>
      </c>
      <c r="C111" s="176">
        <f>SUM(C112:C114)</f>
        <v>14262</v>
      </c>
      <c r="D111" s="188">
        <f t="shared" si="9"/>
        <v>-47.9</v>
      </c>
      <c r="E111" s="11">
        <f>IFERROR(100/'Skjema total MA'!C111*C111,0)</f>
        <v>3.2131616329499528</v>
      </c>
      <c r="F111" s="344">
        <f>SUM(F112:F114)</f>
        <v>898669</v>
      </c>
      <c r="G111" s="176">
        <f>SUM(G112:G114)</f>
        <v>512955</v>
      </c>
      <c r="H111" s="188">
        <f t="shared" si="10"/>
        <v>-42.9</v>
      </c>
      <c r="I111" s="11">
        <f>IFERROR(100/'Skjema total MA'!F111*G111,0)</f>
        <v>10.686453236091726</v>
      </c>
      <c r="J111" s="345">
        <f t="shared" si="14"/>
        <v>926018</v>
      </c>
      <c r="K111" s="252">
        <f t="shared" si="14"/>
        <v>527217</v>
      </c>
      <c r="L111" s="464">
        <f t="shared" si="12"/>
        <v>-43.1</v>
      </c>
      <c r="M111" s="11">
        <f>IFERROR(100/'Skjema total MA'!I111*K111,0)</f>
        <v>10.053889226907231</v>
      </c>
    </row>
    <row r="112" spans="1:13" x14ac:dyDescent="0.2">
      <c r="A112" s="21" t="s">
        <v>9</v>
      </c>
      <c r="B112" s="250">
        <v>27349</v>
      </c>
      <c r="C112" s="162">
        <v>14262</v>
      </c>
      <c r="D112" s="183">
        <f t="shared" ref="D112:D120" si="15">IF(B112=0, "    ---- ", IF(ABS(ROUND(100/B112*C112-100,1))&lt;999,ROUND(100/B112*C112-100,1),IF(ROUND(100/B112*C112-100,1)&gt;999,999,-999)))</f>
        <v>-47.9</v>
      </c>
      <c r="E112" s="27">
        <f>IFERROR(100/'Skjema total MA'!C112*C112,0)</f>
        <v>3.3246056102483164</v>
      </c>
      <c r="F112" s="250"/>
      <c r="G112" s="162"/>
      <c r="H112" s="183"/>
      <c r="I112" s="27"/>
      <c r="J112" s="322">
        <f t="shared" ref="J112:K125" si="16">SUM(B112,F112)</f>
        <v>27349</v>
      </c>
      <c r="K112" s="44">
        <f t="shared" si="16"/>
        <v>14262</v>
      </c>
      <c r="L112" s="274">
        <f t="shared" ref="L112:L125" si="17">IF(J112=0, "    ---- ", IF(ABS(ROUND(100/J112*K112-100,1))&lt;999,ROUND(100/J112*K112-100,1),IF(ROUND(100/J112*K112-100,1)&gt;999,999,-999)))</f>
        <v>-47.9</v>
      </c>
      <c r="M112" s="27">
        <f>IFERROR(100/'Skjema total MA'!I112*K112,0)</f>
        <v>3.3227101042341589</v>
      </c>
    </row>
    <row r="113" spans="1:14" x14ac:dyDescent="0.2">
      <c r="A113" s="21" t="s">
        <v>10</v>
      </c>
      <c r="B113" s="250"/>
      <c r="C113" s="162"/>
      <c r="D113" s="183"/>
      <c r="E113" s="27"/>
      <c r="F113" s="250">
        <v>898669</v>
      </c>
      <c r="G113" s="162">
        <v>512955</v>
      </c>
      <c r="H113" s="183">
        <f t="shared" ref="H113:H125" si="18">IF(F113=0, "    ---- ", IF(ABS(ROUND(100/F113*G113-100,1))&lt;999,ROUND(100/F113*G113-100,1),IF(ROUND(100/F113*G113-100,1)&gt;999,999,-999)))</f>
        <v>-42.9</v>
      </c>
      <c r="I113" s="27">
        <f>IFERROR(100/'Skjema total MA'!F113*G113,0)</f>
        <v>10.717282031095882</v>
      </c>
      <c r="J113" s="322">
        <f t="shared" si="16"/>
        <v>898669</v>
      </c>
      <c r="K113" s="44">
        <f t="shared" si="16"/>
        <v>512955</v>
      </c>
      <c r="L113" s="274">
        <f t="shared" si="17"/>
        <v>-42.9</v>
      </c>
      <c r="M113" s="27">
        <f>IFERROR(100/'Skjema total MA'!I113*K113,0)</f>
        <v>10.717282031095882</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t="str">
        <f>IF(kvartal=4,SUM(B115,F115),"")</f>
        <v/>
      </c>
      <c r="K115" s="325" t="str">
        <f>IF(kvartal=4,SUM(C115,G115),"")</f>
        <v/>
      </c>
      <c r="L115" s="183" t="str">
        <f>IF(kvartal=4,IF(J115=0, "    ---- ", IF(ABS(ROUND(100/J115*K115-100,1))&lt;999,ROUND(100/J115*K115-100,1),IF(ROUND(100/J115*K115-100,1)&gt;999,999,-999))),"")</f>
        <v/>
      </c>
      <c r="M115" s="23">
        <f>IFERROR(100/'Skjema total MA'!I115*K115,0)</f>
        <v>0</v>
      </c>
    </row>
    <row r="116" spans="1:14" ht="15.75" x14ac:dyDescent="0.2">
      <c r="A116" s="21" t="s">
        <v>482</v>
      </c>
      <c r="B116" s="250">
        <v>7023</v>
      </c>
      <c r="C116" s="250">
        <v>2084</v>
      </c>
      <c r="D116" s="183">
        <f t="shared" si="15"/>
        <v>-70.3</v>
      </c>
      <c r="E116" s="27">
        <f>IFERROR(100/'Skjema total MA'!C116*C116,0)</f>
        <v>4.4971971899351404</v>
      </c>
      <c r="F116" s="250"/>
      <c r="G116" s="250"/>
      <c r="H116" s="183"/>
      <c r="I116" s="27"/>
      <c r="J116" s="322">
        <f t="shared" si="16"/>
        <v>7023</v>
      </c>
      <c r="K116" s="44">
        <f t="shared" si="16"/>
        <v>2084</v>
      </c>
      <c r="L116" s="274">
        <f t="shared" si="17"/>
        <v>-70.3</v>
      </c>
      <c r="M116" s="27">
        <f>IFERROR(100/'Skjema total MA'!I116*K116,0)</f>
        <v>4.4443951750681174</v>
      </c>
    </row>
    <row r="117" spans="1:14" ht="15.75" x14ac:dyDescent="0.2">
      <c r="A117" s="21" t="s">
        <v>483</v>
      </c>
      <c r="B117" s="250"/>
      <c r="C117" s="250"/>
      <c r="D117" s="183"/>
      <c r="E117" s="27"/>
      <c r="F117" s="250">
        <v>49319</v>
      </c>
      <c r="G117" s="250">
        <v>49306</v>
      </c>
      <c r="H117" s="183">
        <f t="shared" si="18"/>
        <v>0</v>
      </c>
      <c r="I117" s="27">
        <f>IFERROR(100/'Skjema total MA'!F117*G117,0)</f>
        <v>9.8928850839057336</v>
      </c>
      <c r="J117" s="322">
        <f t="shared" si="16"/>
        <v>49319</v>
      </c>
      <c r="K117" s="44">
        <f t="shared" si="16"/>
        <v>49306</v>
      </c>
      <c r="L117" s="274">
        <f t="shared" si="17"/>
        <v>0</v>
      </c>
      <c r="M117" s="27">
        <f>IFERROR(100/'Skjema total MA'!I117*K117,0)</f>
        <v>9.8928850839057336</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6848</v>
      </c>
      <c r="C119" s="176">
        <f>SUM(C120:C122)</f>
        <v>5504</v>
      </c>
      <c r="D119" s="188">
        <f t="shared" si="15"/>
        <v>-19.600000000000001</v>
      </c>
      <c r="E119" s="11">
        <f>IFERROR(100/'Skjema total MA'!C119*C119,0)</f>
        <v>3.2342943421258408</v>
      </c>
      <c r="F119" s="344">
        <f>SUM(F120:F122)</f>
        <v>321657</v>
      </c>
      <c r="G119" s="176">
        <f>SUM(G120:G122)</f>
        <v>378191</v>
      </c>
      <c r="H119" s="188">
        <f t="shared" si="18"/>
        <v>17.600000000000001</v>
      </c>
      <c r="I119" s="11">
        <f>IFERROR(100/'Skjema total MA'!F119*G119,0)</f>
        <v>7.5353051496755903</v>
      </c>
      <c r="J119" s="345">
        <f t="shared" si="16"/>
        <v>328505</v>
      </c>
      <c r="K119" s="252">
        <f t="shared" si="16"/>
        <v>383695</v>
      </c>
      <c r="L119" s="464">
        <f t="shared" si="17"/>
        <v>16.8</v>
      </c>
      <c r="M119" s="11">
        <f>IFERROR(100/'Skjema total MA'!I119*K119,0)</f>
        <v>7.3942536772238574</v>
      </c>
    </row>
    <row r="120" spans="1:14" x14ac:dyDescent="0.2">
      <c r="A120" s="21" t="s">
        <v>9</v>
      </c>
      <c r="B120" s="250">
        <v>6848</v>
      </c>
      <c r="C120" s="162">
        <v>5504</v>
      </c>
      <c r="D120" s="183">
        <f t="shared" si="15"/>
        <v>-19.600000000000001</v>
      </c>
      <c r="E120" s="27">
        <f>IFERROR(100/'Skjema total MA'!C120*C120,0)</f>
        <v>4.7675799722240848</v>
      </c>
      <c r="F120" s="250"/>
      <c r="G120" s="162"/>
      <c r="H120" s="183"/>
      <c r="I120" s="27"/>
      <c r="J120" s="322">
        <f t="shared" si="16"/>
        <v>6848</v>
      </c>
      <c r="K120" s="44">
        <f t="shared" si="16"/>
        <v>5504</v>
      </c>
      <c r="L120" s="274">
        <f t="shared" si="17"/>
        <v>-19.600000000000001</v>
      </c>
      <c r="M120" s="27">
        <f>IFERROR(100/'Skjema total MA'!I120*K120,0)</f>
        <v>4.7675799722240848</v>
      </c>
    </row>
    <row r="121" spans="1:14" x14ac:dyDescent="0.2">
      <c r="A121" s="21" t="s">
        <v>10</v>
      </c>
      <c r="B121" s="250"/>
      <c r="C121" s="162"/>
      <c r="D121" s="183"/>
      <c r="E121" s="27"/>
      <c r="F121" s="250">
        <v>321657</v>
      </c>
      <c r="G121" s="162">
        <v>378191</v>
      </c>
      <c r="H121" s="183">
        <f t="shared" si="18"/>
        <v>17.600000000000001</v>
      </c>
      <c r="I121" s="27">
        <f>IFERROR(100/'Skjema total MA'!F121*G121,0)</f>
        <v>7.5350827553839199</v>
      </c>
      <c r="J121" s="322">
        <f t="shared" si="16"/>
        <v>321657</v>
      </c>
      <c r="K121" s="44">
        <f t="shared" si="16"/>
        <v>378191</v>
      </c>
      <c r="L121" s="274">
        <f t="shared" si="17"/>
        <v>17.600000000000001</v>
      </c>
      <c r="M121" s="27">
        <f>IFERROR(100/'Skjema total MA'!I121*K121,0)</f>
        <v>7.5239888986369268</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v>69003</v>
      </c>
      <c r="G125" s="250">
        <v>49630</v>
      </c>
      <c r="H125" s="183">
        <f t="shared" si="18"/>
        <v>-28.1</v>
      </c>
      <c r="I125" s="27">
        <f>IFERROR(100/'Skjema total MA'!F125*G125,0)</f>
        <v>13.41654806182717</v>
      </c>
      <c r="J125" s="322">
        <f t="shared" si="16"/>
        <v>69003</v>
      </c>
      <c r="K125" s="44">
        <f t="shared" si="16"/>
        <v>49630</v>
      </c>
      <c r="L125" s="274">
        <f t="shared" si="17"/>
        <v>-28.1</v>
      </c>
      <c r="M125" s="27">
        <f>IFERROR(100/'Skjema total MA'!I125*K125,0)</f>
        <v>13.392782166855378</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09" priority="138">
      <formula>kvartal &lt; 4</formula>
    </cfRule>
  </conditionalFormatting>
  <conditionalFormatting sqref="B69">
    <cfRule type="expression" dxfId="908" priority="106">
      <formula>kvartal &lt; 4</formula>
    </cfRule>
  </conditionalFormatting>
  <conditionalFormatting sqref="C69">
    <cfRule type="expression" dxfId="907" priority="105">
      <formula>kvartal &lt; 4</formula>
    </cfRule>
  </conditionalFormatting>
  <conditionalFormatting sqref="B72">
    <cfRule type="expression" dxfId="906" priority="104">
      <formula>kvartal &lt; 4</formula>
    </cfRule>
  </conditionalFormatting>
  <conditionalFormatting sqref="C72">
    <cfRule type="expression" dxfId="905" priority="103">
      <formula>kvartal &lt; 4</formula>
    </cfRule>
  </conditionalFormatting>
  <conditionalFormatting sqref="B80">
    <cfRule type="expression" dxfId="904" priority="102">
      <formula>kvartal &lt; 4</formula>
    </cfRule>
  </conditionalFormatting>
  <conditionalFormatting sqref="C80">
    <cfRule type="expression" dxfId="903" priority="101">
      <formula>kvartal &lt; 4</formula>
    </cfRule>
  </conditionalFormatting>
  <conditionalFormatting sqref="B83">
    <cfRule type="expression" dxfId="902" priority="100">
      <formula>kvartal &lt; 4</formula>
    </cfRule>
  </conditionalFormatting>
  <conditionalFormatting sqref="C83">
    <cfRule type="expression" dxfId="901" priority="99">
      <formula>kvartal &lt; 4</formula>
    </cfRule>
  </conditionalFormatting>
  <conditionalFormatting sqref="B90">
    <cfRule type="expression" dxfId="900" priority="90">
      <formula>kvartal &lt; 4</formula>
    </cfRule>
  </conditionalFormatting>
  <conditionalFormatting sqref="C90">
    <cfRule type="expression" dxfId="899" priority="89">
      <formula>kvartal &lt; 4</formula>
    </cfRule>
  </conditionalFormatting>
  <conditionalFormatting sqref="B93">
    <cfRule type="expression" dxfId="898" priority="88">
      <formula>kvartal &lt; 4</formula>
    </cfRule>
  </conditionalFormatting>
  <conditionalFormatting sqref="C93">
    <cfRule type="expression" dxfId="897" priority="87">
      <formula>kvartal &lt; 4</formula>
    </cfRule>
  </conditionalFormatting>
  <conditionalFormatting sqref="B101">
    <cfRule type="expression" dxfId="896" priority="86">
      <formula>kvartal &lt; 4</formula>
    </cfRule>
  </conditionalFormatting>
  <conditionalFormatting sqref="C101">
    <cfRule type="expression" dxfId="895" priority="85">
      <formula>kvartal &lt; 4</formula>
    </cfRule>
  </conditionalFormatting>
  <conditionalFormatting sqref="B104">
    <cfRule type="expression" dxfId="894" priority="84">
      <formula>kvartal &lt; 4</formula>
    </cfRule>
  </conditionalFormatting>
  <conditionalFormatting sqref="C104">
    <cfRule type="expression" dxfId="893" priority="83">
      <formula>kvartal &lt; 4</formula>
    </cfRule>
  </conditionalFormatting>
  <conditionalFormatting sqref="B115">
    <cfRule type="expression" dxfId="892" priority="82">
      <formula>kvartal &lt; 4</formula>
    </cfRule>
  </conditionalFormatting>
  <conditionalFormatting sqref="C115">
    <cfRule type="expression" dxfId="891" priority="81">
      <formula>kvartal &lt; 4</formula>
    </cfRule>
  </conditionalFormatting>
  <conditionalFormatting sqref="B123">
    <cfRule type="expression" dxfId="890" priority="80">
      <formula>kvartal &lt; 4</formula>
    </cfRule>
  </conditionalFormatting>
  <conditionalFormatting sqref="C123">
    <cfRule type="expression" dxfId="889" priority="79">
      <formula>kvartal &lt; 4</formula>
    </cfRule>
  </conditionalFormatting>
  <conditionalFormatting sqref="F70">
    <cfRule type="expression" dxfId="888" priority="78">
      <formula>kvartal &lt; 4</formula>
    </cfRule>
  </conditionalFormatting>
  <conditionalFormatting sqref="G70">
    <cfRule type="expression" dxfId="887" priority="77">
      <formula>kvartal &lt; 4</formula>
    </cfRule>
  </conditionalFormatting>
  <conditionalFormatting sqref="F71:G71">
    <cfRule type="expression" dxfId="886" priority="76">
      <formula>kvartal &lt; 4</formula>
    </cfRule>
  </conditionalFormatting>
  <conditionalFormatting sqref="F73:G74">
    <cfRule type="expression" dxfId="885" priority="75">
      <formula>kvartal &lt; 4</formula>
    </cfRule>
  </conditionalFormatting>
  <conditionalFormatting sqref="F81:G82">
    <cfRule type="expression" dxfId="884" priority="74">
      <formula>kvartal &lt; 4</formula>
    </cfRule>
  </conditionalFormatting>
  <conditionalFormatting sqref="F84:G85">
    <cfRule type="expression" dxfId="883" priority="73">
      <formula>kvartal &lt; 4</formula>
    </cfRule>
  </conditionalFormatting>
  <conditionalFormatting sqref="F91:G92">
    <cfRule type="expression" dxfId="882" priority="68">
      <formula>kvartal &lt; 4</formula>
    </cfRule>
  </conditionalFormatting>
  <conditionalFormatting sqref="F94:G95">
    <cfRule type="expression" dxfId="881" priority="67">
      <formula>kvartal &lt; 4</formula>
    </cfRule>
  </conditionalFormatting>
  <conditionalFormatting sqref="F102:G103">
    <cfRule type="expression" dxfId="880" priority="66">
      <formula>kvartal &lt; 4</formula>
    </cfRule>
  </conditionalFormatting>
  <conditionalFormatting sqref="F105:G106">
    <cfRule type="expression" dxfId="879" priority="65">
      <formula>kvartal &lt; 4</formula>
    </cfRule>
  </conditionalFormatting>
  <conditionalFormatting sqref="F115">
    <cfRule type="expression" dxfId="878" priority="64">
      <formula>kvartal &lt; 4</formula>
    </cfRule>
  </conditionalFormatting>
  <conditionalFormatting sqref="G115">
    <cfRule type="expression" dxfId="877" priority="63">
      <formula>kvartal &lt; 4</formula>
    </cfRule>
  </conditionalFormatting>
  <conditionalFormatting sqref="F123:G123">
    <cfRule type="expression" dxfId="876" priority="62">
      <formula>kvartal &lt; 4</formula>
    </cfRule>
  </conditionalFormatting>
  <conditionalFormatting sqref="F69:G69">
    <cfRule type="expression" dxfId="875" priority="61">
      <formula>kvartal &lt; 4</formula>
    </cfRule>
  </conditionalFormatting>
  <conditionalFormatting sqref="F72:G72">
    <cfRule type="expression" dxfId="874" priority="60">
      <formula>kvartal &lt; 4</formula>
    </cfRule>
  </conditionalFormatting>
  <conditionalFormatting sqref="F80:G80">
    <cfRule type="expression" dxfId="873" priority="59">
      <formula>kvartal &lt; 4</formula>
    </cfRule>
  </conditionalFormatting>
  <conditionalFormatting sqref="F83:G83">
    <cfRule type="expression" dxfId="872" priority="58">
      <formula>kvartal &lt; 4</formula>
    </cfRule>
  </conditionalFormatting>
  <conditionalFormatting sqref="F90:G90">
    <cfRule type="expression" dxfId="871" priority="52">
      <formula>kvartal &lt; 4</formula>
    </cfRule>
  </conditionalFormatting>
  <conditionalFormatting sqref="F93">
    <cfRule type="expression" dxfId="870" priority="51">
      <formula>kvartal &lt; 4</formula>
    </cfRule>
  </conditionalFormatting>
  <conditionalFormatting sqref="G93">
    <cfRule type="expression" dxfId="869" priority="50">
      <formula>kvartal &lt; 4</formula>
    </cfRule>
  </conditionalFormatting>
  <conditionalFormatting sqref="F101">
    <cfRule type="expression" dxfId="868" priority="49">
      <formula>kvartal &lt; 4</formula>
    </cfRule>
  </conditionalFormatting>
  <conditionalFormatting sqref="G101">
    <cfRule type="expression" dxfId="867" priority="48">
      <formula>kvartal &lt; 4</formula>
    </cfRule>
  </conditionalFormatting>
  <conditionalFormatting sqref="G104">
    <cfRule type="expression" dxfId="866" priority="47">
      <formula>kvartal &lt; 4</formula>
    </cfRule>
  </conditionalFormatting>
  <conditionalFormatting sqref="F104">
    <cfRule type="expression" dxfId="865" priority="46">
      <formula>kvartal &lt; 4</formula>
    </cfRule>
  </conditionalFormatting>
  <conditionalFormatting sqref="J69:K73">
    <cfRule type="expression" dxfId="864" priority="45">
      <formula>kvartal &lt; 4</formula>
    </cfRule>
  </conditionalFormatting>
  <conditionalFormatting sqref="J74:K74">
    <cfRule type="expression" dxfId="863" priority="44">
      <formula>kvartal &lt; 4</formula>
    </cfRule>
  </conditionalFormatting>
  <conditionalFormatting sqref="J80:K85">
    <cfRule type="expression" dxfId="862" priority="43">
      <formula>kvartal &lt; 4</formula>
    </cfRule>
  </conditionalFormatting>
  <conditionalFormatting sqref="J90:K95">
    <cfRule type="expression" dxfId="861" priority="40">
      <formula>kvartal &lt; 4</formula>
    </cfRule>
  </conditionalFormatting>
  <conditionalFormatting sqref="J101:K106">
    <cfRule type="expression" dxfId="860" priority="39">
      <formula>kvartal &lt; 4</formula>
    </cfRule>
  </conditionalFormatting>
  <conditionalFormatting sqref="J115:K115">
    <cfRule type="expression" dxfId="859" priority="38">
      <formula>kvartal &lt; 4</formula>
    </cfRule>
  </conditionalFormatting>
  <conditionalFormatting sqref="J123:K123">
    <cfRule type="expression" dxfId="858" priority="37">
      <formula>kvartal &lt; 4</formula>
    </cfRule>
  </conditionalFormatting>
  <conditionalFormatting sqref="A50:A52">
    <cfRule type="expression" dxfId="857" priority="18">
      <formula>kvartal &lt; 4</formula>
    </cfRule>
  </conditionalFormatting>
  <conditionalFormatting sqref="A69:A74">
    <cfRule type="expression" dxfId="856" priority="6">
      <formula>kvartal &lt; 4</formula>
    </cfRule>
  </conditionalFormatting>
  <conditionalFormatting sqref="A115">
    <cfRule type="expression" dxfId="855" priority="5">
      <formula>kvartal &lt; 4</formula>
    </cfRule>
  </conditionalFormatting>
  <conditionalFormatting sqref="A123">
    <cfRule type="expression" dxfId="854" priority="4">
      <formula>kvartal &lt; 4</formula>
    </cfRule>
  </conditionalFormatting>
  <conditionalFormatting sqref="A80:A85">
    <cfRule type="expression" dxfId="853" priority="3">
      <formula>kvartal &lt; 4</formula>
    </cfRule>
  </conditionalFormatting>
  <conditionalFormatting sqref="A90:A95">
    <cfRule type="expression" dxfId="852" priority="2">
      <formula>kvartal &lt; 4</formula>
    </cfRule>
  </conditionalFormatting>
  <conditionalFormatting sqref="A101:A106">
    <cfRule type="expression" dxfId="851" priority="1">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96</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11233</v>
      </c>
      <c r="C7" s="343">
        <v>10219</v>
      </c>
      <c r="D7" s="384">
        <f>IF(B7=0, "    ---- ", IF(ABS(ROUND(100/B7*C7-100,1))&lt;999,ROUND(100/B7*C7-100,1),IF(ROUND(100/B7*C7-100,1)&gt;999,999,-999)))</f>
        <v>-9</v>
      </c>
      <c r="E7" s="11">
        <f>IFERROR(100/'Skjema total MA'!C7*C7,0)</f>
        <v>0.61935858758352669</v>
      </c>
      <c r="F7" s="342"/>
      <c r="G7" s="343"/>
      <c r="H7" s="384"/>
      <c r="I7" s="177"/>
      <c r="J7" s="344">
        <v>11233</v>
      </c>
      <c r="K7" s="345">
        <v>10219</v>
      </c>
      <c r="L7" s="463">
        <f>IF(J7=0, "    ---- ", IF(ABS(ROUND(100/J7*K7-100,1))&lt;999,ROUND(100/J7*K7-100,1),IF(ROUND(100/J7*K7-100,1)&gt;999,999,-999)))</f>
        <v>-9</v>
      </c>
      <c r="M7" s="11">
        <f>IFERROR(100/'Skjema total MA'!I7*K7,0)</f>
        <v>0.27717553454315619</v>
      </c>
    </row>
    <row r="8" spans="1:15" ht="15.75" x14ac:dyDescent="0.2">
      <c r="A8" s="21" t="s">
        <v>26</v>
      </c>
      <c r="B8" s="316">
        <v>6817</v>
      </c>
      <c r="C8" s="317">
        <v>6224</v>
      </c>
      <c r="D8" s="183">
        <f t="shared" ref="D8:D10" si="0">IF(B8=0, "    ---- ", IF(ABS(ROUND(100/B8*C8-100,1))&lt;999,ROUND(100/B8*C8-100,1),IF(ROUND(100/B8*C8-100,1)&gt;999,999,-999)))</f>
        <v>-8.6999999999999993</v>
      </c>
      <c r="E8" s="27">
        <f>IFERROR(100/'Skjema total MA'!C8*C8,0)</f>
        <v>0.60820735192089492</v>
      </c>
      <c r="F8" s="320"/>
      <c r="G8" s="321"/>
      <c r="H8" s="183"/>
      <c r="I8" s="193"/>
      <c r="J8" s="250">
        <v>6817</v>
      </c>
      <c r="K8" s="322">
        <v>6224</v>
      </c>
      <c r="L8" s="183">
        <f t="shared" ref="L8:L9" si="1">IF(J8=0, "    ---- ", IF(ABS(ROUND(100/J8*K8-100,1))&lt;999,ROUND(100/J8*K8-100,1),IF(ROUND(100/J8*K8-100,1)&gt;999,999,-999)))</f>
        <v>-8.6999999999999993</v>
      </c>
      <c r="M8" s="27">
        <f>IFERROR(100/'Skjema total MA'!I8*K8,0)</f>
        <v>0.60820735192089492</v>
      </c>
    </row>
    <row r="9" spans="1:15" ht="15.75" x14ac:dyDescent="0.2">
      <c r="A9" s="21" t="s">
        <v>25</v>
      </c>
      <c r="B9" s="316">
        <v>4177</v>
      </c>
      <c r="C9" s="317">
        <v>3790</v>
      </c>
      <c r="D9" s="183">
        <f t="shared" si="0"/>
        <v>-9.3000000000000007</v>
      </c>
      <c r="E9" s="27">
        <f>IFERROR(100/'Skjema total MA'!C9*C9,0)</f>
        <v>0.73084070036131532</v>
      </c>
      <c r="F9" s="320"/>
      <c r="G9" s="321"/>
      <c r="H9" s="183"/>
      <c r="I9" s="193"/>
      <c r="J9" s="250">
        <v>4177</v>
      </c>
      <c r="K9" s="322">
        <v>3790</v>
      </c>
      <c r="L9" s="183">
        <f t="shared" si="1"/>
        <v>-9.3000000000000007</v>
      </c>
      <c r="M9" s="27">
        <f>IFERROR(100/'Skjema total MA'!I9*K9,0)</f>
        <v>0.73084070036131532</v>
      </c>
    </row>
    <row r="10" spans="1:15" ht="15.75" x14ac:dyDescent="0.2">
      <c r="A10" s="13" t="s">
        <v>466</v>
      </c>
      <c r="B10" s="346">
        <v>24799</v>
      </c>
      <c r="C10" s="347">
        <v>21205</v>
      </c>
      <c r="D10" s="188">
        <f t="shared" si="0"/>
        <v>-14.5</v>
      </c>
      <c r="E10" s="11">
        <f>IFERROR(100/'Skjema total MA'!C10*C10,0)</f>
        <v>9.6673432092539605E-2</v>
      </c>
      <c r="F10" s="346"/>
      <c r="G10" s="347"/>
      <c r="H10" s="188"/>
      <c r="I10" s="177"/>
      <c r="J10" s="344">
        <v>24799</v>
      </c>
      <c r="K10" s="345">
        <v>21205</v>
      </c>
      <c r="L10" s="464">
        <f t="shared" ref="L10" si="2">IF(J10=0, "    ---- ", IF(ABS(ROUND(100/J10*K10-100,1))&lt;999,ROUND(100/J10*K10-100,1),IF(ROUND(100/J10*K10-100,1)&gt;999,999,-999)))</f>
        <v>-14.5</v>
      </c>
      <c r="M10" s="11">
        <f>IFERROR(100/'Skjema total MA'!I10*K10,0)</f>
        <v>3.3336417489993941E-2</v>
      </c>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36</v>
      </c>
      <c r="C22" s="352">
        <v>29</v>
      </c>
      <c r="D22" s="384">
        <f t="shared" ref="D22:D29" si="3">IF(B22=0, "    ---- ", IF(ABS(ROUND(100/B22*C22-100,1))&lt;999,ROUND(100/B22*C22-100,1),IF(ROUND(100/B22*C22-100,1)&gt;999,999,-999)))</f>
        <v>-19.399999999999999</v>
      </c>
      <c r="E22" s="11">
        <f>IFERROR(100/'Skjema total MA'!C22*C22,0)</f>
        <v>5.7416875177649634E-3</v>
      </c>
      <c r="F22" s="352"/>
      <c r="G22" s="352"/>
      <c r="H22" s="384"/>
      <c r="I22" s="11"/>
      <c r="J22" s="352">
        <f t="shared" ref="J22:K29" si="4">SUM(B22,F22)</f>
        <v>36</v>
      </c>
      <c r="K22" s="352">
        <f t="shared" si="4"/>
        <v>29</v>
      </c>
      <c r="L22" s="463">
        <f t="shared" ref="L22:L29" si="5">IF(J22=0, "    ---- ", IF(ABS(ROUND(100/J22*K22-100,1))&lt;999,ROUND(100/J22*K22-100,1),IF(ROUND(100/J22*K22-100,1)&gt;999,999,-999)))</f>
        <v>-19.399999999999999</v>
      </c>
      <c r="M22" s="24">
        <f>IFERROR(100/'Skjema total MA'!I22*K22,0)</f>
        <v>3.6248394059619298E-3</v>
      </c>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v>29</v>
      </c>
      <c r="D24" s="183" t="str">
        <f t="shared" ref="D24" si="6">IF(B24=0, "    ---- ", IF(ABS(ROUND(100/B24*C24-100,1))&lt;999,ROUND(100/B24*C24-100,1),IF(ROUND(100/B24*C24-100,1)&gt;999,999,-999)))</f>
        <v xml:space="preserve">    ---- </v>
      </c>
      <c r="E24" s="27">
        <f>IFERROR(100/'Skjema total MA'!C24*C24,0)</f>
        <v>1.0437594343255767</v>
      </c>
      <c r="F24" s="250"/>
      <c r="G24" s="322"/>
      <c r="H24" s="183"/>
      <c r="I24" s="27"/>
      <c r="J24" s="44"/>
      <c r="K24" s="44">
        <f t="shared" ref="K24" si="7">SUM(C24,G24)</f>
        <v>29</v>
      </c>
      <c r="L24" s="274" t="str">
        <f t="shared" ref="L24" si="8">IF(J24=0, "    ---- ", IF(ABS(ROUND(100/J24*K24-100,1))&lt;999,ROUND(100/J24*K24-100,1),IF(ROUND(100/J24*K24-100,1)&gt;999,999,-999)))</f>
        <v xml:space="preserve">    ---- </v>
      </c>
      <c r="M24" s="23">
        <f>IFERROR(100/'Skjema total MA'!I24*K24,0)</f>
        <v>0.22338697329878199</v>
      </c>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v>36</v>
      </c>
      <c r="C28" s="322">
        <v>0</v>
      </c>
      <c r="D28" s="183">
        <f t="shared" si="3"/>
        <v>-100</v>
      </c>
      <c r="E28" s="27">
        <f>IFERROR(100/'Skjema total MA'!C28*C28,0)</f>
        <v>0</v>
      </c>
      <c r="F28" s="250"/>
      <c r="G28" s="322"/>
      <c r="H28" s="183"/>
      <c r="I28" s="27"/>
      <c r="J28" s="44">
        <f t="shared" si="4"/>
        <v>36</v>
      </c>
      <c r="K28" s="44">
        <f t="shared" si="4"/>
        <v>0</v>
      </c>
      <c r="L28" s="274">
        <f t="shared" si="5"/>
        <v>-100</v>
      </c>
      <c r="M28" s="23">
        <f>IFERROR(100/'Skjema total MA'!I28*K28,0)</f>
        <v>0</v>
      </c>
    </row>
    <row r="29" spans="1:15" s="3" customFormat="1" ht="15.75" x14ac:dyDescent="0.2">
      <c r="A29" s="13" t="s">
        <v>23</v>
      </c>
      <c r="B29" s="252">
        <v>2316</v>
      </c>
      <c r="C29" s="252">
        <v>1988</v>
      </c>
      <c r="D29" s="188">
        <f t="shared" si="3"/>
        <v>-14.2</v>
      </c>
      <c r="E29" s="11">
        <f>IFERROR(100/'Skjema total MA'!C29*C29,0)</f>
        <v>4.0192653309324977E-3</v>
      </c>
      <c r="F29" s="252"/>
      <c r="G29" s="252"/>
      <c r="H29" s="188"/>
      <c r="I29" s="11"/>
      <c r="J29" s="252">
        <f t="shared" si="4"/>
        <v>2316</v>
      </c>
      <c r="K29" s="252">
        <f t="shared" si="4"/>
        <v>1988</v>
      </c>
      <c r="L29" s="464">
        <f t="shared" si="5"/>
        <v>-14.2</v>
      </c>
      <c r="M29" s="24">
        <f>IFERROR(100/'Skjema total MA'!I29*K29,0)</f>
        <v>2.8620776076593787E-3</v>
      </c>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v>1988</v>
      </c>
      <c r="D31" s="183" t="str">
        <f t="shared" ref="D31" si="9">IF(B31=0, "    ---- ", IF(ABS(ROUND(100/B31*C31-100,1))&lt;999,ROUND(100/B31*C31-100,1),IF(ROUND(100/B31*C31-100,1)&gt;999,999,-999)))</f>
        <v xml:space="preserve">    ---- </v>
      </c>
      <c r="E31" s="27">
        <f>IFERROR(100/'Skjema total MA'!C31*C31,0)</f>
        <v>5.6982182941152423E-3</v>
      </c>
      <c r="F31" s="250"/>
      <c r="G31" s="322"/>
      <c r="H31" s="183"/>
      <c r="I31" s="27"/>
      <c r="J31" s="44"/>
      <c r="K31" s="44">
        <f t="shared" ref="K31" si="10">SUM(C31,G31)</f>
        <v>1988</v>
      </c>
      <c r="L31" s="274" t="str">
        <f t="shared" ref="L31" si="11">IF(J31=0, "    ---- ", IF(ABS(ROUND(100/J31*K31-100,1))&lt;999,ROUND(100/J31*K31-100,1),IF(ROUND(100/J31*K31-100,1)&gt;999,999,-999)))</f>
        <v xml:space="preserve">    ---- </v>
      </c>
      <c r="M31" s="23">
        <f>IFERROR(100/'Skjema total MA'!I31*K31,0)</f>
        <v>4.4969003327182001E-3</v>
      </c>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50" priority="138">
      <formula>kvartal &lt; 4</formula>
    </cfRule>
  </conditionalFormatting>
  <conditionalFormatting sqref="B69">
    <cfRule type="expression" dxfId="849" priority="106">
      <formula>kvartal &lt; 4</formula>
    </cfRule>
  </conditionalFormatting>
  <conditionalFormatting sqref="C69">
    <cfRule type="expression" dxfId="848" priority="105">
      <formula>kvartal &lt; 4</formula>
    </cfRule>
  </conditionalFormatting>
  <conditionalFormatting sqref="B72">
    <cfRule type="expression" dxfId="847" priority="104">
      <formula>kvartal &lt; 4</formula>
    </cfRule>
  </conditionalFormatting>
  <conditionalFormatting sqref="C72">
    <cfRule type="expression" dxfId="846" priority="103">
      <formula>kvartal &lt; 4</formula>
    </cfRule>
  </conditionalFormatting>
  <conditionalFormatting sqref="B80">
    <cfRule type="expression" dxfId="845" priority="102">
      <formula>kvartal &lt; 4</formula>
    </cfRule>
  </conditionalFormatting>
  <conditionalFormatting sqref="C80">
    <cfRule type="expression" dxfId="844" priority="101">
      <formula>kvartal &lt; 4</formula>
    </cfRule>
  </conditionalFormatting>
  <conditionalFormatting sqref="B83">
    <cfRule type="expression" dxfId="843" priority="100">
      <formula>kvartal &lt; 4</formula>
    </cfRule>
  </conditionalFormatting>
  <conditionalFormatting sqref="C83">
    <cfRule type="expression" dxfId="842" priority="99">
      <formula>kvartal &lt; 4</formula>
    </cfRule>
  </conditionalFormatting>
  <conditionalFormatting sqref="B90">
    <cfRule type="expression" dxfId="841" priority="90">
      <formula>kvartal &lt; 4</formula>
    </cfRule>
  </conditionalFormatting>
  <conditionalFormatting sqref="C90">
    <cfRule type="expression" dxfId="840" priority="89">
      <formula>kvartal &lt; 4</formula>
    </cfRule>
  </conditionalFormatting>
  <conditionalFormatting sqref="B93">
    <cfRule type="expression" dxfId="839" priority="88">
      <formula>kvartal &lt; 4</formula>
    </cfRule>
  </conditionalFormatting>
  <conditionalFormatting sqref="C93">
    <cfRule type="expression" dxfId="838" priority="87">
      <formula>kvartal &lt; 4</formula>
    </cfRule>
  </conditionalFormatting>
  <conditionalFormatting sqref="B101">
    <cfRule type="expression" dxfId="837" priority="86">
      <formula>kvartal &lt; 4</formula>
    </cfRule>
  </conditionalFormatting>
  <conditionalFormatting sqref="C101">
    <cfRule type="expression" dxfId="836" priority="85">
      <formula>kvartal &lt; 4</formula>
    </cfRule>
  </conditionalFormatting>
  <conditionalFormatting sqref="B104">
    <cfRule type="expression" dxfId="835" priority="84">
      <formula>kvartal &lt; 4</formula>
    </cfRule>
  </conditionalFormatting>
  <conditionalFormatting sqref="C104">
    <cfRule type="expression" dxfId="834" priority="83">
      <formula>kvartal &lt; 4</formula>
    </cfRule>
  </conditionalFormatting>
  <conditionalFormatting sqref="B115">
    <cfRule type="expression" dxfId="833" priority="82">
      <formula>kvartal &lt; 4</formula>
    </cfRule>
  </conditionalFormatting>
  <conditionalFormatting sqref="C115">
    <cfRule type="expression" dxfId="832" priority="81">
      <formula>kvartal &lt; 4</formula>
    </cfRule>
  </conditionalFormatting>
  <conditionalFormatting sqref="B123">
    <cfRule type="expression" dxfId="831" priority="80">
      <formula>kvartal &lt; 4</formula>
    </cfRule>
  </conditionalFormatting>
  <conditionalFormatting sqref="C123">
    <cfRule type="expression" dxfId="830" priority="79">
      <formula>kvartal &lt; 4</formula>
    </cfRule>
  </conditionalFormatting>
  <conditionalFormatting sqref="F70">
    <cfRule type="expression" dxfId="829" priority="78">
      <formula>kvartal &lt; 4</formula>
    </cfRule>
  </conditionalFormatting>
  <conditionalFormatting sqref="G70">
    <cfRule type="expression" dxfId="828" priority="77">
      <formula>kvartal &lt; 4</formula>
    </cfRule>
  </conditionalFormatting>
  <conditionalFormatting sqref="F71:G71">
    <cfRule type="expression" dxfId="827" priority="76">
      <formula>kvartal &lt; 4</formula>
    </cfRule>
  </conditionalFormatting>
  <conditionalFormatting sqref="F73:G74">
    <cfRule type="expression" dxfId="826" priority="75">
      <formula>kvartal &lt; 4</formula>
    </cfRule>
  </conditionalFormatting>
  <conditionalFormatting sqref="F81:G82">
    <cfRule type="expression" dxfId="825" priority="74">
      <formula>kvartal &lt; 4</formula>
    </cfRule>
  </conditionalFormatting>
  <conditionalFormatting sqref="F84:G85">
    <cfRule type="expression" dxfId="824" priority="73">
      <formula>kvartal &lt; 4</formula>
    </cfRule>
  </conditionalFormatting>
  <conditionalFormatting sqref="F91:G92">
    <cfRule type="expression" dxfId="823" priority="68">
      <formula>kvartal &lt; 4</formula>
    </cfRule>
  </conditionalFormatting>
  <conditionalFormatting sqref="F94:G95">
    <cfRule type="expression" dxfId="822" priority="67">
      <formula>kvartal &lt; 4</formula>
    </cfRule>
  </conditionalFormatting>
  <conditionalFormatting sqref="F102:G103">
    <cfRule type="expression" dxfId="821" priority="66">
      <formula>kvartal &lt; 4</formula>
    </cfRule>
  </conditionalFormatting>
  <conditionalFormatting sqref="F105:G106">
    <cfRule type="expression" dxfId="820" priority="65">
      <formula>kvartal &lt; 4</formula>
    </cfRule>
  </conditionalFormatting>
  <conditionalFormatting sqref="F115">
    <cfRule type="expression" dxfId="819" priority="64">
      <formula>kvartal &lt; 4</formula>
    </cfRule>
  </conditionalFormatting>
  <conditionalFormatting sqref="G115">
    <cfRule type="expression" dxfId="818" priority="63">
      <formula>kvartal &lt; 4</formula>
    </cfRule>
  </conditionalFormatting>
  <conditionalFormatting sqref="F123:G123">
    <cfRule type="expression" dxfId="817" priority="62">
      <formula>kvartal &lt; 4</formula>
    </cfRule>
  </conditionalFormatting>
  <conditionalFormatting sqref="F69:G69">
    <cfRule type="expression" dxfId="816" priority="61">
      <formula>kvartal &lt; 4</formula>
    </cfRule>
  </conditionalFormatting>
  <conditionalFormatting sqref="F72:G72">
    <cfRule type="expression" dxfId="815" priority="60">
      <formula>kvartal &lt; 4</formula>
    </cfRule>
  </conditionalFormatting>
  <conditionalFormatting sqref="F80:G80">
    <cfRule type="expression" dxfId="814" priority="59">
      <formula>kvartal &lt; 4</formula>
    </cfRule>
  </conditionalFormatting>
  <conditionalFormatting sqref="F83:G83">
    <cfRule type="expression" dxfId="813" priority="58">
      <formula>kvartal &lt; 4</formula>
    </cfRule>
  </conditionalFormatting>
  <conditionalFormatting sqref="F90:G90">
    <cfRule type="expression" dxfId="812" priority="52">
      <formula>kvartal &lt; 4</formula>
    </cfRule>
  </conditionalFormatting>
  <conditionalFormatting sqref="F93">
    <cfRule type="expression" dxfId="811" priority="51">
      <formula>kvartal &lt; 4</formula>
    </cfRule>
  </conditionalFormatting>
  <conditionalFormatting sqref="G93">
    <cfRule type="expression" dxfId="810" priority="50">
      <formula>kvartal &lt; 4</formula>
    </cfRule>
  </conditionalFormatting>
  <conditionalFormatting sqref="F101">
    <cfRule type="expression" dxfId="809" priority="49">
      <formula>kvartal &lt; 4</formula>
    </cfRule>
  </conditionalFormatting>
  <conditionalFormatting sqref="G101">
    <cfRule type="expression" dxfId="808" priority="48">
      <formula>kvartal &lt; 4</formula>
    </cfRule>
  </conditionalFormatting>
  <conditionalFormatting sqref="G104">
    <cfRule type="expression" dxfId="807" priority="47">
      <formula>kvartal &lt; 4</formula>
    </cfRule>
  </conditionalFormatting>
  <conditionalFormatting sqref="F104">
    <cfRule type="expression" dxfId="806" priority="46">
      <formula>kvartal &lt; 4</formula>
    </cfRule>
  </conditionalFormatting>
  <conditionalFormatting sqref="J69:K73">
    <cfRule type="expression" dxfId="805" priority="45">
      <formula>kvartal &lt; 4</formula>
    </cfRule>
  </conditionalFormatting>
  <conditionalFormatting sqref="J74:K74">
    <cfRule type="expression" dxfId="804" priority="44">
      <formula>kvartal &lt; 4</formula>
    </cfRule>
  </conditionalFormatting>
  <conditionalFormatting sqref="J80:K85">
    <cfRule type="expression" dxfId="803" priority="43">
      <formula>kvartal &lt; 4</formula>
    </cfRule>
  </conditionalFormatting>
  <conditionalFormatting sqref="J90:K95">
    <cfRule type="expression" dxfId="802" priority="40">
      <formula>kvartal &lt; 4</formula>
    </cfRule>
  </conditionalFormatting>
  <conditionalFormatting sqref="J101:K106">
    <cfRule type="expression" dxfId="801" priority="39">
      <formula>kvartal &lt; 4</formula>
    </cfRule>
  </conditionalFormatting>
  <conditionalFormatting sqref="J115:K115">
    <cfRule type="expression" dxfId="800" priority="38">
      <formula>kvartal &lt; 4</formula>
    </cfRule>
  </conditionalFormatting>
  <conditionalFormatting sqref="J123:K123">
    <cfRule type="expression" dxfId="799" priority="37">
      <formula>kvartal &lt; 4</formula>
    </cfRule>
  </conditionalFormatting>
  <conditionalFormatting sqref="A50:A52">
    <cfRule type="expression" dxfId="798" priority="18">
      <formula>kvartal &lt; 4</formula>
    </cfRule>
  </conditionalFormatting>
  <conditionalFormatting sqref="A69:A74">
    <cfRule type="expression" dxfId="797" priority="6">
      <formula>kvartal &lt; 4</formula>
    </cfRule>
  </conditionalFormatting>
  <conditionalFormatting sqref="A115">
    <cfRule type="expression" dxfId="796" priority="5">
      <formula>kvartal &lt; 4</formula>
    </cfRule>
  </conditionalFormatting>
  <conditionalFormatting sqref="A123">
    <cfRule type="expression" dxfId="795" priority="4">
      <formula>kvartal &lt; 4</formula>
    </cfRule>
  </conditionalFormatting>
  <conditionalFormatting sqref="A80:A85">
    <cfRule type="expression" dxfId="794" priority="3">
      <formula>kvartal &lt; 4</formula>
    </cfRule>
  </conditionalFormatting>
  <conditionalFormatting sqref="A90:A95">
    <cfRule type="expression" dxfId="793" priority="2">
      <formula>kvartal &lt; 4</formula>
    </cfRule>
  </conditionalFormatting>
  <conditionalFormatting sqref="A101:A106">
    <cfRule type="expression" dxfId="792"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163</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94625.430999999997</v>
      </c>
      <c r="C7" s="343">
        <v>89311.528000000006</v>
      </c>
      <c r="D7" s="384">
        <f>IF(B7=0, "    ---- ", IF(ABS(ROUND(100/B7*C7-100,1))&lt;999,ROUND(100/B7*C7-100,1),IF(ROUND(100/B7*C7-100,1)&gt;999,999,-999)))</f>
        <v>-5.6</v>
      </c>
      <c r="E7" s="11">
        <f>IFERROR(100/'Skjema total MA'!C7*C7,0)</f>
        <v>5.4130405946772289</v>
      </c>
      <c r="F7" s="342"/>
      <c r="G7" s="343"/>
      <c r="H7" s="384"/>
      <c r="I7" s="177"/>
      <c r="J7" s="344">
        <v>94625.430999999997</v>
      </c>
      <c r="K7" s="345">
        <v>89311.528000000006</v>
      </c>
      <c r="L7" s="463">
        <f>IF(J7=0, "    ---- ", IF(ABS(ROUND(100/J7*K7-100,1))&lt;999,ROUND(100/J7*K7-100,1),IF(ROUND(100/J7*K7-100,1)&gt;999,999,-999)))</f>
        <v>-5.6</v>
      </c>
      <c r="M7" s="11">
        <f>IFERROR(100/'Skjema total MA'!I7*K7,0)</f>
        <v>2.4224454950842609</v>
      </c>
    </row>
    <row r="8" spans="1:15" ht="15.75" x14ac:dyDescent="0.2">
      <c r="A8" s="21" t="s">
        <v>26</v>
      </c>
      <c r="B8" s="316">
        <v>59275.837</v>
      </c>
      <c r="C8" s="317">
        <v>57412</v>
      </c>
      <c r="D8" s="183">
        <f t="shared" ref="D8:D9" si="0">IF(B8=0, "    ---- ", IF(ABS(ROUND(100/B8*C8-100,1))&lt;999,ROUND(100/B8*C8-100,1),IF(ROUND(100/B8*C8-100,1)&gt;999,999,-999)))</f>
        <v>-3.1</v>
      </c>
      <c r="E8" s="27">
        <f>IFERROR(100/'Skjema total MA'!C8*C8,0)</f>
        <v>5.6102828548332937</v>
      </c>
      <c r="F8" s="320"/>
      <c r="G8" s="321"/>
      <c r="H8" s="183"/>
      <c r="I8" s="193"/>
      <c r="J8" s="250">
        <v>59275.837</v>
      </c>
      <c r="K8" s="322">
        <v>57412</v>
      </c>
      <c r="L8" s="183">
        <f t="shared" ref="L8:L9" si="1">IF(J8=0, "    ---- ", IF(ABS(ROUND(100/J8*K8-100,1))&lt;999,ROUND(100/J8*K8-100,1),IF(ROUND(100/J8*K8-100,1)&gt;999,999,-999)))</f>
        <v>-3.1</v>
      </c>
      <c r="M8" s="27">
        <f>IFERROR(100/'Skjema total MA'!I8*K8,0)</f>
        <v>5.6102828548332937</v>
      </c>
    </row>
    <row r="9" spans="1:15" ht="15.75" x14ac:dyDescent="0.2">
      <c r="A9" s="21" t="s">
        <v>25</v>
      </c>
      <c r="B9" s="316">
        <v>35349.593999999997</v>
      </c>
      <c r="C9" s="317">
        <v>31899.527999999998</v>
      </c>
      <c r="D9" s="183">
        <f t="shared" si="0"/>
        <v>-9.8000000000000007</v>
      </c>
      <c r="E9" s="27">
        <f>IFERROR(100/'Skjema total MA'!C9*C9,0)</f>
        <v>6.1513122387111832</v>
      </c>
      <c r="F9" s="320"/>
      <c r="G9" s="321"/>
      <c r="H9" s="183"/>
      <c r="I9" s="193"/>
      <c r="J9" s="250">
        <v>35349.593999999997</v>
      </c>
      <c r="K9" s="322">
        <v>31899.527999999998</v>
      </c>
      <c r="L9" s="183">
        <f t="shared" si="1"/>
        <v>-9.8000000000000007</v>
      </c>
      <c r="M9" s="27">
        <f>IFERROR(100/'Skjema total MA'!I9*K9,0)</f>
        <v>6.1513122387111832</v>
      </c>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v>34174.771000000001</v>
      </c>
      <c r="C28" s="322">
        <v>35194.141000000003</v>
      </c>
      <c r="D28" s="183">
        <f t="shared" ref="D28" si="2">IF(B28=0, "    ---- ", IF(ABS(ROUND(100/B28*C28-100,1))&lt;999,ROUND(100/B28*C28-100,1),IF(ROUND(100/B28*C28-100,1)&gt;999,999,-999)))</f>
        <v>3</v>
      </c>
      <c r="E28" s="27">
        <f>IFERROR(100/'Skjema total MA'!C28*C28,0)</f>
        <v>4.9726578676244682</v>
      </c>
      <c r="F28" s="250"/>
      <c r="G28" s="322"/>
      <c r="H28" s="183"/>
      <c r="I28" s="27"/>
      <c r="J28" s="44">
        <f t="shared" ref="J28:K28" si="3">SUM(B28,F28)</f>
        <v>34174.771000000001</v>
      </c>
      <c r="K28" s="44">
        <f t="shared" si="3"/>
        <v>35194.141000000003</v>
      </c>
      <c r="L28" s="274">
        <f t="shared" ref="L28" si="4">IF(J28=0, "    ---- ", IF(ABS(ROUND(100/J28*K28-100,1))&lt;999,ROUND(100/J28*K28-100,1),IF(ROUND(100/J28*K28-100,1)&gt;999,999,-999)))</f>
        <v>3</v>
      </c>
      <c r="M28" s="23">
        <f>IFERROR(100/'Skjema total MA'!I28*K28,0)</f>
        <v>4.9726578676244682</v>
      </c>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76570.36</v>
      </c>
      <c r="C47" s="347">
        <f>SUM(C48:C49)</f>
        <v>64367.18838</v>
      </c>
      <c r="D47" s="463">
        <f t="shared" ref="D47:D57" si="5">IF(B47=0, "    ---- ", IF(ABS(ROUND(100/B47*C47-100,1))&lt;999,ROUND(100/B47*C47-100,1),IF(ROUND(100/B47*C47-100,1)&gt;999,999,-999)))</f>
        <v>-15.9</v>
      </c>
      <c r="E47" s="11">
        <f>IFERROR(100/'Skjema total MA'!C47*C47,0)</f>
        <v>2.8697705203883794</v>
      </c>
      <c r="F47" s="162"/>
      <c r="G47" s="33"/>
      <c r="H47" s="176"/>
      <c r="I47" s="176"/>
      <c r="J47" s="37"/>
      <c r="K47" s="37"/>
      <c r="L47" s="176"/>
      <c r="M47" s="176"/>
      <c r="N47" s="165"/>
      <c r="O47" s="165"/>
    </row>
    <row r="48" spans="1:15" s="3" customFormat="1" ht="15.75" x14ac:dyDescent="0.2">
      <c r="A48" s="38" t="s">
        <v>476</v>
      </c>
      <c r="B48" s="316">
        <v>76570.36</v>
      </c>
      <c r="C48" s="317">
        <v>64367.18838</v>
      </c>
      <c r="D48" s="274">
        <f t="shared" si="5"/>
        <v>-15.9</v>
      </c>
      <c r="E48" s="27">
        <f>IFERROR(100/'Skjema total MA'!C48*C48,0)</f>
        <v>5.7830657775992087</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5565.0820000000003</v>
      </c>
      <c r="C53" s="347">
        <f>SUM(C54:C55)</f>
        <v>2300.4949999999999</v>
      </c>
      <c r="D53" s="464">
        <f t="shared" si="5"/>
        <v>-58.7</v>
      </c>
      <c r="E53" s="11">
        <f>IFERROR(100/'Skjema total MA'!C53*C53,0)</f>
        <v>5.0528087198160199</v>
      </c>
      <c r="F53" s="162"/>
      <c r="G53" s="33"/>
      <c r="H53" s="162"/>
      <c r="I53" s="162"/>
      <c r="J53" s="33"/>
      <c r="K53" s="33"/>
      <c r="L53" s="176"/>
      <c r="M53" s="176"/>
      <c r="N53" s="165"/>
      <c r="O53" s="165"/>
    </row>
    <row r="54" spans="1:15" s="3" customFormat="1" ht="15.75" x14ac:dyDescent="0.2">
      <c r="A54" s="38" t="s">
        <v>476</v>
      </c>
      <c r="B54" s="316">
        <v>5565.0820000000003</v>
      </c>
      <c r="C54" s="317">
        <v>2300.4949999999999</v>
      </c>
      <c r="D54" s="274">
        <f t="shared" si="5"/>
        <v>-58.7</v>
      </c>
      <c r="E54" s="27">
        <f>IFERROR(100/'Skjema total MA'!C54*C54,0)</f>
        <v>5.0528087198160199</v>
      </c>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312.93400000000003</v>
      </c>
      <c r="C56" s="347">
        <f>SUM(C57:C58)</f>
        <v>539.58600000000001</v>
      </c>
      <c r="D56" s="464">
        <f t="shared" si="5"/>
        <v>72.400000000000006</v>
      </c>
      <c r="E56" s="11">
        <f>IFERROR(100/'Skjema total MA'!C56*C56,0)</f>
        <v>1.2840527927873389</v>
      </c>
      <c r="F56" s="162"/>
      <c r="G56" s="33"/>
      <c r="H56" s="162"/>
      <c r="I56" s="162"/>
      <c r="J56" s="33"/>
      <c r="K56" s="33"/>
      <c r="L56" s="176"/>
      <c r="M56" s="176"/>
      <c r="N56" s="165"/>
      <c r="O56" s="165"/>
    </row>
    <row r="57" spans="1:15" s="3" customFormat="1" ht="15.75" x14ac:dyDescent="0.2">
      <c r="A57" s="38" t="s">
        <v>476</v>
      </c>
      <c r="B57" s="316">
        <v>312.93400000000003</v>
      </c>
      <c r="C57" s="317">
        <v>539.58600000000001</v>
      </c>
      <c r="D57" s="274">
        <f t="shared" si="5"/>
        <v>72.400000000000006</v>
      </c>
      <c r="E57" s="27">
        <f>IFERROR(100/'Skjema total MA'!C57*C57,0)</f>
        <v>1.2840527927873389</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91" priority="138">
      <formula>kvartal &lt; 4</formula>
    </cfRule>
  </conditionalFormatting>
  <conditionalFormatting sqref="B69">
    <cfRule type="expression" dxfId="790" priority="106">
      <formula>kvartal &lt; 4</formula>
    </cfRule>
  </conditionalFormatting>
  <conditionalFormatting sqref="C69">
    <cfRule type="expression" dxfId="789" priority="105">
      <formula>kvartal &lt; 4</formula>
    </cfRule>
  </conditionalFormatting>
  <conditionalFormatting sqref="B72">
    <cfRule type="expression" dxfId="788" priority="104">
      <formula>kvartal &lt; 4</formula>
    </cfRule>
  </conditionalFormatting>
  <conditionalFormatting sqref="C72">
    <cfRule type="expression" dxfId="787" priority="103">
      <formula>kvartal &lt; 4</formula>
    </cfRule>
  </conditionalFormatting>
  <conditionalFormatting sqref="B80">
    <cfRule type="expression" dxfId="786" priority="102">
      <formula>kvartal &lt; 4</formula>
    </cfRule>
  </conditionalFormatting>
  <conditionalFormatting sqref="C80">
    <cfRule type="expression" dxfId="785" priority="101">
      <formula>kvartal &lt; 4</formula>
    </cfRule>
  </conditionalFormatting>
  <conditionalFormatting sqref="B83">
    <cfRule type="expression" dxfId="784" priority="100">
      <formula>kvartal &lt; 4</formula>
    </cfRule>
  </conditionalFormatting>
  <conditionalFormatting sqref="C83">
    <cfRule type="expression" dxfId="783" priority="99">
      <formula>kvartal &lt; 4</formula>
    </cfRule>
  </conditionalFormatting>
  <conditionalFormatting sqref="B90">
    <cfRule type="expression" dxfId="782" priority="90">
      <formula>kvartal &lt; 4</formula>
    </cfRule>
  </conditionalFormatting>
  <conditionalFormatting sqref="C90">
    <cfRule type="expression" dxfId="781" priority="89">
      <formula>kvartal &lt; 4</formula>
    </cfRule>
  </conditionalFormatting>
  <conditionalFormatting sqref="B93">
    <cfRule type="expression" dxfId="780" priority="88">
      <formula>kvartal &lt; 4</formula>
    </cfRule>
  </conditionalFormatting>
  <conditionalFormatting sqref="C93">
    <cfRule type="expression" dxfId="779" priority="87">
      <formula>kvartal &lt; 4</formula>
    </cfRule>
  </conditionalFormatting>
  <conditionalFormatting sqref="B101">
    <cfRule type="expression" dxfId="778" priority="86">
      <formula>kvartal &lt; 4</formula>
    </cfRule>
  </conditionalFormatting>
  <conditionalFormatting sqref="C101">
    <cfRule type="expression" dxfId="777" priority="85">
      <formula>kvartal &lt; 4</formula>
    </cfRule>
  </conditionalFormatting>
  <conditionalFormatting sqref="B104">
    <cfRule type="expression" dxfId="776" priority="84">
      <formula>kvartal &lt; 4</formula>
    </cfRule>
  </conditionalFormatting>
  <conditionalFormatting sqref="C104">
    <cfRule type="expression" dxfId="775" priority="83">
      <formula>kvartal &lt; 4</formula>
    </cfRule>
  </conditionalFormatting>
  <conditionalFormatting sqref="B115">
    <cfRule type="expression" dxfId="774" priority="82">
      <formula>kvartal &lt; 4</formula>
    </cfRule>
  </conditionalFormatting>
  <conditionalFormatting sqref="C115">
    <cfRule type="expression" dxfId="773" priority="81">
      <formula>kvartal &lt; 4</formula>
    </cfRule>
  </conditionalFormatting>
  <conditionalFormatting sqref="B123">
    <cfRule type="expression" dxfId="772" priority="80">
      <formula>kvartal &lt; 4</formula>
    </cfRule>
  </conditionalFormatting>
  <conditionalFormatting sqref="C123">
    <cfRule type="expression" dxfId="771" priority="79">
      <formula>kvartal &lt; 4</formula>
    </cfRule>
  </conditionalFormatting>
  <conditionalFormatting sqref="F70">
    <cfRule type="expression" dxfId="770" priority="78">
      <formula>kvartal &lt; 4</formula>
    </cfRule>
  </conditionalFormatting>
  <conditionalFormatting sqref="G70">
    <cfRule type="expression" dxfId="769" priority="77">
      <formula>kvartal &lt; 4</formula>
    </cfRule>
  </conditionalFormatting>
  <conditionalFormatting sqref="F71:G71">
    <cfRule type="expression" dxfId="768" priority="76">
      <formula>kvartal &lt; 4</formula>
    </cfRule>
  </conditionalFormatting>
  <conditionalFormatting sqref="F73:G74">
    <cfRule type="expression" dxfId="767" priority="75">
      <formula>kvartal &lt; 4</formula>
    </cfRule>
  </conditionalFormatting>
  <conditionalFormatting sqref="F81:G82">
    <cfRule type="expression" dxfId="766" priority="74">
      <formula>kvartal &lt; 4</formula>
    </cfRule>
  </conditionalFormatting>
  <conditionalFormatting sqref="F84:G85">
    <cfRule type="expression" dxfId="765" priority="73">
      <formula>kvartal &lt; 4</formula>
    </cfRule>
  </conditionalFormatting>
  <conditionalFormatting sqref="F91:G92">
    <cfRule type="expression" dxfId="764" priority="68">
      <formula>kvartal &lt; 4</formula>
    </cfRule>
  </conditionalFormatting>
  <conditionalFormatting sqref="F94:G95">
    <cfRule type="expression" dxfId="763" priority="67">
      <formula>kvartal &lt; 4</formula>
    </cfRule>
  </conditionalFormatting>
  <conditionalFormatting sqref="F102:G103">
    <cfRule type="expression" dxfId="762" priority="66">
      <formula>kvartal &lt; 4</formula>
    </cfRule>
  </conditionalFormatting>
  <conditionalFormatting sqref="F105:G106">
    <cfRule type="expression" dxfId="761" priority="65">
      <formula>kvartal &lt; 4</formula>
    </cfRule>
  </conditionalFormatting>
  <conditionalFormatting sqref="F115">
    <cfRule type="expression" dxfId="760" priority="64">
      <formula>kvartal &lt; 4</formula>
    </cfRule>
  </conditionalFormatting>
  <conditionalFormatting sqref="G115">
    <cfRule type="expression" dxfId="759" priority="63">
      <formula>kvartal &lt; 4</formula>
    </cfRule>
  </conditionalFormatting>
  <conditionalFormatting sqref="F123:G123">
    <cfRule type="expression" dxfId="758" priority="62">
      <formula>kvartal &lt; 4</formula>
    </cfRule>
  </conditionalFormatting>
  <conditionalFormatting sqref="F69:G69">
    <cfRule type="expression" dxfId="757" priority="61">
      <formula>kvartal &lt; 4</formula>
    </cfRule>
  </conditionalFormatting>
  <conditionalFormatting sqref="F72:G72">
    <cfRule type="expression" dxfId="756" priority="60">
      <formula>kvartal &lt; 4</formula>
    </cfRule>
  </conditionalFormatting>
  <conditionalFormatting sqref="F80:G80">
    <cfRule type="expression" dxfId="755" priority="59">
      <formula>kvartal &lt; 4</formula>
    </cfRule>
  </conditionalFormatting>
  <conditionalFormatting sqref="F83:G83">
    <cfRule type="expression" dxfId="754" priority="58">
      <formula>kvartal &lt; 4</formula>
    </cfRule>
  </conditionalFormatting>
  <conditionalFormatting sqref="F90:G90">
    <cfRule type="expression" dxfId="753" priority="52">
      <formula>kvartal &lt; 4</formula>
    </cfRule>
  </conditionalFormatting>
  <conditionalFormatting sqref="F93">
    <cfRule type="expression" dxfId="752" priority="51">
      <formula>kvartal &lt; 4</formula>
    </cfRule>
  </conditionalFormatting>
  <conditionalFormatting sqref="G93">
    <cfRule type="expression" dxfId="751" priority="50">
      <formula>kvartal &lt; 4</formula>
    </cfRule>
  </conditionalFormatting>
  <conditionalFormatting sqref="F101">
    <cfRule type="expression" dxfId="750" priority="49">
      <formula>kvartal &lt; 4</formula>
    </cfRule>
  </conditionalFormatting>
  <conditionalFormatting sqref="G101">
    <cfRule type="expression" dxfId="749" priority="48">
      <formula>kvartal &lt; 4</formula>
    </cfRule>
  </conditionalFormatting>
  <conditionalFormatting sqref="G104">
    <cfRule type="expression" dxfId="748" priority="47">
      <formula>kvartal &lt; 4</formula>
    </cfRule>
  </conditionalFormatting>
  <conditionalFormatting sqref="F104">
    <cfRule type="expression" dxfId="747" priority="46">
      <formula>kvartal &lt; 4</formula>
    </cfRule>
  </conditionalFormatting>
  <conditionalFormatting sqref="J69:K73">
    <cfRule type="expression" dxfId="746" priority="45">
      <formula>kvartal &lt; 4</formula>
    </cfRule>
  </conditionalFormatting>
  <conditionalFormatting sqref="J74:K74">
    <cfRule type="expression" dxfId="745" priority="44">
      <formula>kvartal &lt; 4</formula>
    </cfRule>
  </conditionalFormatting>
  <conditionalFormatting sqref="J80:K85">
    <cfRule type="expression" dxfId="744" priority="43">
      <formula>kvartal &lt; 4</formula>
    </cfRule>
  </conditionalFormatting>
  <conditionalFormatting sqref="J90:K95">
    <cfRule type="expression" dxfId="743" priority="40">
      <formula>kvartal &lt; 4</formula>
    </cfRule>
  </conditionalFormatting>
  <conditionalFormatting sqref="J101:K106">
    <cfRule type="expression" dxfId="742" priority="39">
      <formula>kvartal &lt; 4</formula>
    </cfRule>
  </conditionalFormatting>
  <conditionalFormatting sqref="J115:K115">
    <cfRule type="expression" dxfId="741" priority="38">
      <formula>kvartal &lt; 4</formula>
    </cfRule>
  </conditionalFormatting>
  <conditionalFormatting sqref="J123:K123">
    <cfRule type="expression" dxfId="740" priority="37">
      <formula>kvartal &lt; 4</formula>
    </cfRule>
  </conditionalFormatting>
  <conditionalFormatting sqref="A50:A52">
    <cfRule type="expression" dxfId="739" priority="18">
      <formula>kvartal &lt; 4</formula>
    </cfRule>
  </conditionalFormatting>
  <conditionalFormatting sqref="A69:A74">
    <cfRule type="expression" dxfId="738" priority="6">
      <formula>kvartal &lt; 4</formula>
    </cfRule>
  </conditionalFormatting>
  <conditionalFormatting sqref="A115">
    <cfRule type="expression" dxfId="737" priority="5">
      <formula>kvartal &lt; 4</formula>
    </cfRule>
  </conditionalFormatting>
  <conditionalFormatting sqref="A123">
    <cfRule type="expression" dxfId="736" priority="4">
      <formula>kvartal &lt; 4</formula>
    </cfRule>
  </conditionalFormatting>
  <conditionalFormatting sqref="A80:A85">
    <cfRule type="expression" dxfId="735" priority="3">
      <formula>kvartal &lt; 4</formula>
    </cfRule>
  </conditionalFormatting>
  <conditionalFormatting sqref="A90:A95">
    <cfRule type="expression" dxfId="734" priority="2">
      <formula>kvartal &lt; 4</formula>
    </cfRule>
  </conditionalFormatting>
  <conditionalFormatting sqref="A101:A106">
    <cfRule type="expression" dxfId="733"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44"/>
  <sheetViews>
    <sheetView showGridLines="0" zoomScaleNormal="100" workbookViewId="0"/>
  </sheetViews>
  <sheetFormatPr baseColWidth="10" defaultColWidth="11.42578125" defaultRowHeight="12.75" x14ac:dyDescent="0.2"/>
  <cols>
    <col min="1" max="1" width="41.5703125" style="166" customWidth="1"/>
    <col min="2" max="2" width="11.5703125" style="166" customWidth="1"/>
    <col min="3" max="3" width="11" style="166" customWidth="1"/>
    <col min="4" max="5" width="8.7109375" style="166" customWidth="1"/>
    <col min="6" max="7" width="10.85546875" style="166" customWidth="1"/>
    <col min="8" max="9" width="8.7109375" style="166" customWidth="1"/>
    <col min="10" max="10" width="11.5703125" style="166" customWidth="1"/>
    <col min="11" max="11" width="12"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65</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3113.6218200000003</v>
      </c>
      <c r="C47" s="347">
        <f>SUM(C48:C49)</f>
        <v>3106.2960200000002</v>
      </c>
      <c r="D47" s="463">
        <f t="shared" ref="D47:D48" si="0">IF(B47=0, "    ---- ", IF(ABS(ROUND(100/B47*C47-100,1))&lt;999,ROUND(100/B47*C47-100,1),IF(ROUND(100/B47*C47-100,1)&gt;999,999,-999)))</f>
        <v>-0.2</v>
      </c>
      <c r="E47" s="11">
        <f>IFERROR(100/'Skjema total MA'!C47*C47,0)</f>
        <v>0.13849225001360474</v>
      </c>
      <c r="F47" s="162"/>
      <c r="G47" s="33"/>
      <c r="H47" s="176"/>
      <c r="I47" s="176"/>
      <c r="J47" s="37"/>
      <c r="K47" s="37"/>
      <c r="L47" s="176"/>
      <c r="M47" s="176"/>
      <c r="N47" s="165"/>
      <c r="O47" s="165"/>
    </row>
    <row r="48" spans="1:15" s="3" customFormat="1" ht="15.75" x14ac:dyDescent="0.2">
      <c r="A48" s="38" t="s">
        <v>476</v>
      </c>
      <c r="B48" s="316">
        <v>639.22594000000004</v>
      </c>
      <c r="C48" s="317">
        <v>843.24805000000003</v>
      </c>
      <c r="D48" s="274">
        <f t="shared" si="0"/>
        <v>31.9</v>
      </c>
      <c r="E48" s="27">
        <f>IFERROR(100/'Skjema total MA'!C48*C48,0)</f>
        <v>7.5761565212276671E-2</v>
      </c>
      <c r="F48" s="162"/>
      <c r="G48" s="33"/>
      <c r="H48" s="162"/>
      <c r="I48" s="162"/>
      <c r="J48" s="33"/>
      <c r="K48" s="33"/>
      <c r="L48" s="176"/>
      <c r="M48" s="176"/>
      <c r="N48" s="165"/>
      <c r="O48" s="165"/>
    </row>
    <row r="49" spans="1:15" s="3" customFormat="1" ht="15.75" x14ac:dyDescent="0.2">
      <c r="A49" s="38" t="s">
        <v>477</v>
      </c>
      <c r="B49" s="44">
        <v>2474.39588</v>
      </c>
      <c r="C49" s="322">
        <v>2263.0479700000001</v>
      </c>
      <c r="D49" s="274">
        <f>IF(B49=0, "    ---- ", IF(ABS(ROUND(100/B49*C49-100,1))&lt;999,ROUND(100/B49*C49-100,1),IF(ROUND(100/B49*C49-100,1)&gt;999,999,-999)))</f>
        <v>-8.5</v>
      </c>
      <c r="E49" s="27">
        <f>IFERROR(100/'Skjema total MA'!C49*C49,0)</f>
        <v>0.20028573610844672</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v>6285785.1133000003</v>
      </c>
      <c r="C134" s="345">
        <v>6304316.1401000004</v>
      </c>
      <c r="D134" s="384">
        <f t="shared" ref="D134:D137" si="1">IF(B134=0, "    ---- ", IF(ABS(ROUND(100/B134*C134-100,1))&lt;999,ROUND(100/B134*C134-100,1),IF(ROUND(100/B134*C134-100,1)&gt;999,999,-999)))</f>
        <v>0.3</v>
      </c>
      <c r="E134" s="11">
        <f>IFERROR(100/'Skjema total MA'!C134*C134,0)</f>
        <v>88.845134259622156</v>
      </c>
      <c r="F134" s="352">
        <v>17027.863000000001</v>
      </c>
      <c r="G134" s="353">
        <v>20875.777999999998</v>
      </c>
      <c r="H134" s="467">
        <f t="shared" ref="H134:H136" si="2">IF(F134=0, "    ---- ", IF(ABS(ROUND(100/F134*G134-100,1))&lt;999,ROUND(100/F134*G134-100,1),IF(ROUND(100/F134*G134-100,1)&gt;999,999,-999)))</f>
        <v>22.6</v>
      </c>
      <c r="I134" s="24">
        <f>IFERROR(100/'Skjema total MA'!F134*G134,0)</f>
        <v>99.999999999999986</v>
      </c>
      <c r="J134" s="354">
        <f t="shared" ref="J134:K137" si="3">SUM(B134,F134)</f>
        <v>6302812.9763000002</v>
      </c>
      <c r="K134" s="354">
        <f t="shared" si="3"/>
        <v>6325191.9181000004</v>
      </c>
      <c r="L134" s="463">
        <f t="shared" ref="L134:L137" si="4">IF(J134=0, "    ---- ", IF(ABS(ROUND(100/J134*K134-100,1))&lt;999,ROUND(100/J134*K134-100,1),IF(ROUND(100/J134*K134-100,1)&gt;999,999,-999)))</f>
        <v>0.4</v>
      </c>
      <c r="M134" s="11">
        <f>IFERROR(100/'Skjema total MA'!I134*K134,0)</f>
        <v>88.877855282838084</v>
      </c>
      <c r="N134" s="165"/>
      <c r="O134" s="165"/>
    </row>
    <row r="135" spans="1:15" s="3" customFormat="1" ht="15.75" x14ac:dyDescent="0.2">
      <c r="A135" s="13" t="s">
        <v>486</v>
      </c>
      <c r="B135" s="252">
        <v>425409512.87142003</v>
      </c>
      <c r="C135" s="345">
        <v>450711574.44376999</v>
      </c>
      <c r="D135" s="188">
        <f t="shared" si="1"/>
        <v>5.9</v>
      </c>
      <c r="E135" s="11">
        <f>IFERROR(100/'Skjema total MA'!C135*C135,0)</f>
        <v>85.884150860926226</v>
      </c>
      <c r="F135" s="252">
        <v>2241526.4711500001</v>
      </c>
      <c r="G135" s="345">
        <v>2344983.7411500001</v>
      </c>
      <c r="H135" s="468">
        <f t="shared" si="2"/>
        <v>4.5999999999999996</v>
      </c>
      <c r="I135" s="24">
        <f>IFERROR(100/'Skjema total MA'!F135*G135,0)</f>
        <v>100</v>
      </c>
      <c r="J135" s="344">
        <f t="shared" si="3"/>
        <v>427651039.34257001</v>
      </c>
      <c r="K135" s="344">
        <f t="shared" si="3"/>
        <v>453056558.18492001</v>
      </c>
      <c r="L135" s="464">
        <f t="shared" si="4"/>
        <v>5.9</v>
      </c>
      <c r="M135" s="11">
        <f>IFERROR(100/'Skjema total MA'!I135*K135,0)</f>
        <v>85.946945832937629</v>
      </c>
      <c r="N135" s="165"/>
      <c r="O135" s="165"/>
    </row>
    <row r="136" spans="1:15" s="3" customFormat="1" ht="15.75" x14ac:dyDescent="0.2">
      <c r="A136" s="13" t="s">
        <v>487</v>
      </c>
      <c r="B136" s="252">
        <v>151652.45499999999</v>
      </c>
      <c r="C136" s="345">
        <v>5301.9790000000003</v>
      </c>
      <c r="D136" s="188">
        <f t="shared" si="1"/>
        <v>-96.5</v>
      </c>
      <c r="E136" s="11">
        <f>IFERROR(100/'Skjema total MA'!C136*C136,0)</f>
        <v>100</v>
      </c>
      <c r="F136" s="252">
        <v>24988.125</v>
      </c>
      <c r="G136" s="345">
        <v>0</v>
      </c>
      <c r="H136" s="468">
        <f t="shared" si="2"/>
        <v>-100</v>
      </c>
      <c r="I136" s="24">
        <f>IFERROR(100/'Skjema total MA'!F136*G136,0)</f>
        <v>0</v>
      </c>
      <c r="J136" s="344">
        <f t="shared" si="3"/>
        <v>176640.58</v>
      </c>
      <c r="K136" s="344">
        <f t="shared" si="3"/>
        <v>5301.9790000000003</v>
      </c>
      <c r="L136" s="464">
        <f t="shared" si="4"/>
        <v>-97</v>
      </c>
      <c r="M136" s="11">
        <f>IFERROR(100/'Skjema total MA'!I136*K136,0)</f>
        <v>100</v>
      </c>
      <c r="N136" s="165"/>
      <c r="O136" s="165"/>
    </row>
    <row r="137" spans="1:15" s="3" customFormat="1" ht="15.75" x14ac:dyDescent="0.2">
      <c r="A137" s="41" t="s">
        <v>488</v>
      </c>
      <c r="B137" s="311">
        <v>188300</v>
      </c>
      <c r="C137" s="351">
        <v>423500</v>
      </c>
      <c r="D137" s="186">
        <f t="shared" si="1"/>
        <v>124.9</v>
      </c>
      <c r="E137" s="9">
        <f>IFERROR(100/'Skjema total MA'!C137*C137,0)</f>
        <v>100</v>
      </c>
      <c r="F137" s="311"/>
      <c r="G137" s="351"/>
      <c r="H137" s="469"/>
      <c r="I137" s="36"/>
      <c r="J137" s="350">
        <f t="shared" si="3"/>
        <v>188300</v>
      </c>
      <c r="K137" s="350">
        <f t="shared" si="3"/>
        <v>423500</v>
      </c>
      <c r="L137" s="465">
        <f t="shared" si="4"/>
        <v>124.9</v>
      </c>
      <c r="M137" s="36">
        <f>IFERROR(100/'Skjema total MA'!I137*K137,0)</f>
        <v>100</v>
      </c>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32" priority="138">
      <formula>kvartal &lt; 4</formula>
    </cfRule>
  </conditionalFormatting>
  <conditionalFormatting sqref="B69">
    <cfRule type="expression" dxfId="731" priority="106">
      <formula>kvartal &lt; 4</formula>
    </cfRule>
  </conditionalFormatting>
  <conditionalFormatting sqref="C69">
    <cfRule type="expression" dxfId="730" priority="105">
      <formula>kvartal &lt; 4</formula>
    </cfRule>
  </conditionalFormatting>
  <conditionalFormatting sqref="B72">
    <cfRule type="expression" dxfId="729" priority="104">
      <formula>kvartal &lt; 4</formula>
    </cfRule>
  </conditionalFormatting>
  <conditionalFormatting sqref="C72">
    <cfRule type="expression" dxfId="728" priority="103">
      <formula>kvartal &lt; 4</formula>
    </cfRule>
  </conditionalFormatting>
  <conditionalFormatting sqref="B80">
    <cfRule type="expression" dxfId="727" priority="102">
      <formula>kvartal &lt; 4</formula>
    </cfRule>
  </conditionalFormatting>
  <conditionalFormatting sqref="C80">
    <cfRule type="expression" dxfId="726" priority="101">
      <formula>kvartal &lt; 4</formula>
    </cfRule>
  </conditionalFormatting>
  <conditionalFormatting sqref="B83">
    <cfRule type="expression" dxfId="725" priority="100">
      <formula>kvartal &lt; 4</formula>
    </cfRule>
  </conditionalFormatting>
  <conditionalFormatting sqref="C83">
    <cfRule type="expression" dxfId="724" priority="99">
      <formula>kvartal &lt; 4</formula>
    </cfRule>
  </conditionalFormatting>
  <conditionalFormatting sqref="B90">
    <cfRule type="expression" dxfId="723" priority="90">
      <formula>kvartal &lt; 4</formula>
    </cfRule>
  </conditionalFormatting>
  <conditionalFormatting sqref="C90">
    <cfRule type="expression" dxfId="722" priority="89">
      <formula>kvartal &lt; 4</formula>
    </cfRule>
  </conditionalFormatting>
  <conditionalFormatting sqref="B93">
    <cfRule type="expression" dxfId="721" priority="88">
      <formula>kvartal &lt; 4</formula>
    </cfRule>
  </conditionalFormatting>
  <conditionalFormatting sqref="C93">
    <cfRule type="expression" dxfId="720" priority="87">
      <formula>kvartal &lt; 4</formula>
    </cfRule>
  </conditionalFormatting>
  <conditionalFormatting sqref="B101">
    <cfRule type="expression" dxfId="719" priority="86">
      <formula>kvartal &lt; 4</formula>
    </cfRule>
  </conditionalFormatting>
  <conditionalFormatting sqref="C101">
    <cfRule type="expression" dxfId="718" priority="85">
      <formula>kvartal &lt; 4</formula>
    </cfRule>
  </conditionalFormatting>
  <conditionalFormatting sqref="B104">
    <cfRule type="expression" dxfId="717" priority="84">
      <formula>kvartal &lt; 4</formula>
    </cfRule>
  </conditionalFormatting>
  <conditionalFormatting sqref="C104">
    <cfRule type="expression" dxfId="716" priority="83">
      <formula>kvartal &lt; 4</formula>
    </cfRule>
  </conditionalFormatting>
  <conditionalFormatting sqref="B115">
    <cfRule type="expression" dxfId="715" priority="82">
      <formula>kvartal &lt; 4</formula>
    </cfRule>
  </conditionalFormatting>
  <conditionalFormatting sqref="C115">
    <cfRule type="expression" dxfId="714" priority="81">
      <formula>kvartal &lt; 4</formula>
    </cfRule>
  </conditionalFormatting>
  <conditionalFormatting sqref="B123">
    <cfRule type="expression" dxfId="713" priority="80">
      <formula>kvartal &lt; 4</formula>
    </cfRule>
  </conditionalFormatting>
  <conditionalFormatting sqref="C123">
    <cfRule type="expression" dxfId="712" priority="79">
      <formula>kvartal &lt; 4</formula>
    </cfRule>
  </conditionalFormatting>
  <conditionalFormatting sqref="F70">
    <cfRule type="expression" dxfId="711" priority="78">
      <formula>kvartal &lt; 4</formula>
    </cfRule>
  </conditionalFormatting>
  <conditionalFormatting sqref="G70">
    <cfRule type="expression" dxfId="710" priority="77">
      <formula>kvartal &lt; 4</formula>
    </cfRule>
  </conditionalFormatting>
  <conditionalFormatting sqref="F71:G71">
    <cfRule type="expression" dxfId="709" priority="76">
      <formula>kvartal &lt; 4</formula>
    </cfRule>
  </conditionalFormatting>
  <conditionalFormatting sqref="F73:G74">
    <cfRule type="expression" dxfId="708" priority="75">
      <formula>kvartal &lt; 4</formula>
    </cfRule>
  </conditionalFormatting>
  <conditionalFormatting sqref="F81:G82">
    <cfRule type="expression" dxfId="707" priority="74">
      <formula>kvartal &lt; 4</formula>
    </cfRule>
  </conditionalFormatting>
  <conditionalFormatting sqref="F84:G85">
    <cfRule type="expression" dxfId="706" priority="73">
      <formula>kvartal &lt; 4</formula>
    </cfRule>
  </conditionalFormatting>
  <conditionalFormatting sqref="F91:G92">
    <cfRule type="expression" dxfId="705" priority="68">
      <formula>kvartal &lt; 4</formula>
    </cfRule>
  </conditionalFormatting>
  <conditionalFormatting sqref="F94:G95">
    <cfRule type="expression" dxfId="704" priority="67">
      <formula>kvartal &lt; 4</formula>
    </cfRule>
  </conditionalFormatting>
  <conditionalFormatting sqref="F102:G103">
    <cfRule type="expression" dxfId="703" priority="66">
      <formula>kvartal &lt; 4</formula>
    </cfRule>
  </conditionalFormatting>
  <conditionalFormatting sqref="F105:G106">
    <cfRule type="expression" dxfId="702" priority="65">
      <formula>kvartal &lt; 4</formula>
    </cfRule>
  </conditionalFormatting>
  <conditionalFormatting sqref="F115">
    <cfRule type="expression" dxfId="701" priority="64">
      <formula>kvartal &lt; 4</formula>
    </cfRule>
  </conditionalFormatting>
  <conditionalFormatting sqref="G115">
    <cfRule type="expression" dxfId="700" priority="63">
      <formula>kvartal &lt; 4</formula>
    </cfRule>
  </conditionalFormatting>
  <conditionalFormatting sqref="F123:G123">
    <cfRule type="expression" dxfId="699" priority="62">
      <formula>kvartal &lt; 4</formula>
    </cfRule>
  </conditionalFormatting>
  <conditionalFormatting sqref="F69:G69">
    <cfRule type="expression" dxfId="698" priority="61">
      <formula>kvartal &lt; 4</formula>
    </cfRule>
  </conditionalFormatting>
  <conditionalFormatting sqref="F72:G72">
    <cfRule type="expression" dxfId="697" priority="60">
      <formula>kvartal &lt; 4</formula>
    </cfRule>
  </conditionalFormatting>
  <conditionalFormatting sqref="F80:G80">
    <cfRule type="expression" dxfId="696" priority="59">
      <formula>kvartal &lt; 4</formula>
    </cfRule>
  </conditionalFormatting>
  <conditionalFormatting sqref="F83:G83">
    <cfRule type="expression" dxfId="695" priority="58">
      <formula>kvartal &lt; 4</formula>
    </cfRule>
  </conditionalFormatting>
  <conditionalFormatting sqref="F90:G90">
    <cfRule type="expression" dxfId="694" priority="52">
      <formula>kvartal &lt; 4</formula>
    </cfRule>
  </conditionalFormatting>
  <conditionalFormatting sqref="F93">
    <cfRule type="expression" dxfId="693" priority="51">
      <formula>kvartal &lt; 4</formula>
    </cfRule>
  </conditionalFormatting>
  <conditionalFormatting sqref="G93">
    <cfRule type="expression" dxfId="692" priority="50">
      <formula>kvartal &lt; 4</formula>
    </cfRule>
  </conditionalFormatting>
  <conditionalFormatting sqref="F101">
    <cfRule type="expression" dxfId="691" priority="49">
      <formula>kvartal &lt; 4</formula>
    </cfRule>
  </conditionalFormatting>
  <conditionalFormatting sqref="G101">
    <cfRule type="expression" dxfId="690" priority="48">
      <formula>kvartal &lt; 4</formula>
    </cfRule>
  </conditionalFormatting>
  <conditionalFormatting sqref="G104">
    <cfRule type="expression" dxfId="689" priority="47">
      <formula>kvartal &lt; 4</formula>
    </cfRule>
  </conditionalFormatting>
  <conditionalFormatting sqref="F104">
    <cfRule type="expression" dxfId="688" priority="46">
      <formula>kvartal &lt; 4</formula>
    </cfRule>
  </conditionalFormatting>
  <conditionalFormatting sqref="J69:K73">
    <cfRule type="expression" dxfId="687" priority="45">
      <formula>kvartal &lt; 4</formula>
    </cfRule>
  </conditionalFormatting>
  <conditionalFormatting sqref="J74:K74">
    <cfRule type="expression" dxfId="686" priority="44">
      <formula>kvartal &lt; 4</formula>
    </cfRule>
  </conditionalFormatting>
  <conditionalFormatting sqref="J80:K85">
    <cfRule type="expression" dxfId="685" priority="43">
      <formula>kvartal &lt; 4</formula>
    </cfRule>
  </conditionalFormatting>
  <conditionalFormatting sqref="J90:K95">
    <cfRule type="expression" dxfId="684" priority="40">
      <formula>kvartal &lt; 4</formula>
    </cfRule>
  </conditionalFormatting>
  <conditionalFormatting sqref="J101:K106">
    <cfRule type="expression" dxfId="683" priority="39">
      <formula>kvartal &lt; 4</formula>
    </cfRule>
  </conditionalFormatting>
  <conditionalFormatting sqref="J115:K115">
    <cfRule type="expression" dxfId="682" priority="38">
      <formula>kvartal &lt; 4</formula>
    </cfRule>
  </conditionalFormatting>
  <conditionalFormatting sqref="J123:K123">
    <cfRule type="expression" dxfId="681" priority="37">
      <formula>kvartal &lt; 4</formula>
    </cfRule>
  </conditionalFormatting>
  <conditionalFormatting sqref="A50:A52">
    <cfRule type="expression" dxfId="680" priority="18">
      <formula>kvartal &lt; 4</formula>
    </cfRule>
  </conditionalFormatting>
  <conditionalFormatting sqref="A69:A74">
    <cfRule type="expression" dxfId="679" priority="6">
      <formula>kvartal &lt; 4</formula>
    </cfRule>
  </conditionalFormatting>
  <conditionalFormatting sqref="A115">
    <cfRule type="expression" dxfId="678" priority="5">
      <formula>kvartal &lt; 4</formula>
    </cfRule>
  </conditionalFormatting>
  <conditionalFormatting sqref="A123">
    <cfRule type="expression" dxfId="677" priority="4">
      <formula>kvartal &lt; 4</formula>
    </cfRule>
  </conditionalFormatting>
  <conditionalFormatting sqref="A80:A85">
    <cfRule type="expression" dxfId="676" priority="3">
      <formula>kvartal &lt; 4</formula>
    </cfRule>
  </conditionalFormatting>
  <conditionalFormatting sqref="A90:A95">
    <cfRule type="expression" dxfId="675" priority="2">
      <formula>kvartal &lt; 4</formula>
    </cfRule>
  </conditionalFormatting>
  <conditionalFormatting sqref="A101:A106">
    <cfRule type="expression" dxfId="674"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98</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21438</v>
      </c>
      <c r="C66" s="387">
        <f>C67+C68+C75+C76</f>
        <v>20618</v>
      </c>
      <c r="D66" s="384">
        <f t="shared" ref="D66:D111" si="0">IF(B66=0, "    ---- ", IF(ABS(ROUND(100/B66*C66-100,1))&lt;999,ROUND(100/B66*C66-100,1),IF(ROUND(100/B66*C66-100,1)&gt;999,999,-999)))</f>
        <v>-3.8</v>
      </c>
      <c r="E66" s="11">
        <f>IFERROR(100/'Skjema total MA'!C66*C66,0)</f>
        <v>0.54844407352523594</v>
      </c>
      <c r="F66" s="386">
        <f>F67+F68+F75+F76</f>
        <v>89510</v>
      </c>
      <c r="G66" s="386">
        <f>G67+G68+G75+G76</f>
        <v>108569</v>
      </c>
      <c r="H66" s="384">
        <f t="shared" ref="H66:H111" si="1">IF(F66=0, "    ---- ", IF(ABS(ROUND(100/F66*G66-100,1))&lt;999,ROUND(100/F66*G66-100,1),IF(ROUND(100/F66*G66-100,1)&gt;999,999,-999)))</f>
        <v>21.3</v>
      </c>
      <c r="I66" s="11">
        <f>IFERROR(100/'Skjema total MA'!F66*G66,0)</f>
        <v>1.5710121132184134</v>
      </c>
      <c r="J66" s="345">
        <f t="shared" ref="J66:K79" si="2">SUM(B66,F66)</f>
        <v>110948</v>
      </c>
      <c r="K66" s="352">
        <f t="shared" si="2"/>
        <v>129187</v>
      </c>
      <c r="L66" s="464">
        <f t="shared" ref="L66:L111" si="3">IF(J66=0, "    ---- ", IF(ABS(ROUND(100/J66*K66-100,1))&lt;999,ROUND(100/J66*K66-100,1),IF(ROUND(100/J66*K66-100,1)&gt;999,999,-999)))</f>
        <v>16.399999999999999</v>
      </c>
      <c r="M66" s="11">
        <f>IFERROR(100/'Skjema total MA'!I66*K66,0)</f>
        <v>1.2107349922950923</v>
      </c>
    </row>
    <row r="67" spans="1:15" x14ac:dyDescent="0.2">
      <c r="A67" s="21" t="s">
        <v>9</v>
      </c>
      <c r="B67" s="44">
        <v>21438</v>
      </c>
      <c r="C67" s="162">
        <v>20618</v>
      </c>
      <c r="D67" s="183">
        <f t="shared" si="0"/>
        <v>-3.8</v>
      </c>
      <c r="E67" s="27">
        <f>IFERROR(100/'Skjema total MA'!C67*C67,0)</f>
        <v>0.65170808405885194</v>
      </c>
      <c r="F67" s="250"/>
      <c r="G67" s="162"/>
      <c r="H67" s="183"/>
      <c r="I67" s="27"/>
      <c r="J67" s="322">
        <f t="shared" si="2"/>
        <v>21438</v>
      </c>
      <c r="K67" s="44">
        <f t="shared" si="2"/>
        <v>20618</v>
      </c>
      <c r="L67" s="274">
        <f t="shared" si="3"/>
        <v>-3.8</v>
      </c>
      <c r="M67" s="27">
        <f>IFERROR(100/'Skjema total MA'!I67*K67,0)</f>
        <v>0.65170808405885194</v>
      </c>
    </row>
    <row r="68" spans="1:15" x14ac:dyDescent="0.2">
      <c r="A68" s="21" t="s">
        <v>10</v>
      </c>
      <c r="B68" s="327"/>
      <c r="C68" s="328"/>
      <c r="D68" s="183"/>
      <c r="E68" s="27"/>
      <c r="F68" s="327">
        <v>89510</v>
      </c>
      <c r="G68" s="328">
        <v>108569</v>
      </c>
      <c r="H68" s="183">
        <f t="shared" si="1"/>
        <v>21.3</v>
      </c>
      <c r="I68" s="27">
        <f>IFERROR(100/'Skjema total MA'!F68*G68,0)</f>
        <v>1.5940371577057848</v>
      </c>
      <c r="J68" s="322">
        <f t="shared" si="2"/>
        <v>89510</v>
      </c>
      <c r="K68" s="44">
        <f t="shared" si="2"/>
        <v>108569</v>
      </c>
      <c r="L68" s="274">
        <f t="shared" si="3"/>
        <v>21.3</v>
      </c>
      <c r="M68" s="27">
        <f>IFERROR(100/'Skjema total MA'!I68*K68,0)</f>
        <v>1.5725182240043571</v>
      </c>
    </row>
    <row r="69" spans="1:15" ht="15.75" x14ac:dyDescent="0.2">
      <c r="A69" s="729" t="s">
        <v>478</v>
      </c>
      <c r="B69" s="316"/>
      <c r="C69" s="316"/>
      <c r="D69" s="183"/>
      <c r="E69" s="453"/>
      <c r="F69" s="316" t="s">
        <v>458</v>
      </c>
      <c r="G69" s="316" t="s">
        <v>458</v>
      </c>
      <c r="H69" s="183" t="str">
        <f t="shared" ref="H69:H74" si="4">IF(kvartal=4,IF(F69=0, "    ---- ", IF(ABS(ROUND(100/F69*G69-100,1))&lt;999,ROUND(100/F69*G69-100,1),IF(ROUND(100/F69*G69-100,1)&gt;999,999,-999))),"")</f>
        <v/>
      </c>
      <c r="I69" s="453"/>
      <c r="J69" s="325"/>
      <c r="K69" s="325"/>
      <c r="L69" s="183"/>
      <c r="M69" s="23"/>
    </row>
    <row r="70" spans="1:15" x14ac:dyDescent="0.2">
      <c r="A70" s="729" t="s">
        <v>12</v>
      </c>
      <c r="B70" s="329"/>
      <c r="C70" s="330"/>
      <c r="D70" s="183"/>
      <c r="E70" s="453"/>
      <c r="F70" s="316" t="s">
        <v>458</v>
      </c>
      <c r="G70" s="316" t="s">
        <v>458</v>
      </c>
      <c r="H70" s="183" t="str">
        <f t="shared" si="4"/>
        <v/>
      </c>
      <c r="I70" s="453"/>
      <c r="J70" s="325"/>
      <c r="K70" s="325"/>
      <c r="L70" s="183"/>
      <c r="M70" s="23"/>
    </row>
    <row r="71" spans="1:15" x14ac:dyDescent="0.2">
      <c r="A71" s="729" t="s">
        <v>13</v>
      </c>
      <c r="B71" s="251"/>
      <c r="C71" s="324"/>
      <c r="D71" s="183"/>
      <c r="E71" s="453"/>
      <c r="F71" s="316" t="s">
        <v>458</v>
      </c>
      <c r="G71" s="316" t="s">
        <v>458</v>
      </c>
      <c r="H71" s="183" t="str">
        <f t="shared" si="4"/>
        <v/>
      </c>
      <c r="I71" s="453"/>
      <c r="J71" s="325"/>
      <c r="K71" s="325"/>
      <c r="L71" s="183"/>
      <c r="M71" s="23"/>
    </row>
    <row r="72" spans="1:15" ht="15.75" x14ac:dyDescent="0.2">
      <c r="A72" s="729" t="s">
        <v>479</v>
      </c>
      <c r="B72" s="316"/>
      <c r="C72" s="316"/>
      <c r="D72" s="183"/>
      <c r="E72" s="453"/>
      <c r="F72" s="316" t="s">
        <v>458</v>
      </c>
      <c r="G72" s="316" t="s">
        <v>458</v>
      </c>
      <c r="H72" s="183" t="str">
        <f t="shared" si="4"/>
        <v/>
      </c>
      <c r="I72" s="453"/>
      <c r="J72" s="325"/>
      <c r="K72" s="325"/>
      <c r="L72" s="183"/>
      <c r="M72" s="23"/>
    </row>
    <row r="73" spans="1:15" x14ac:dyDescent="0.2">
      <c r="A73" s="729" t="s">
        <v>12</v>
      </c>
      <c r="B73" s="251"/>
      <c r="C73" s="324"/>
      <c r="D73" s="183"/>
      <c r="E73" s="453"/>
      <c r="F73" s="316" t="s">
        <v>458</v>
      </c>
      <c r="G73" s="316" t="s">
        <v>458</v>
      </c>
      <c r="H73" s="183" t="str">
        <f t="shared" si="4"/>
        <v/>
      </c>
      <c r="I73" s="453"/>
      <c r="J73" s="325"/>
      <c r="K73" s="325"/>
      <c r="L73" s="183"/>
      <c r="M73" s="23"/>
    </row>
    <row r="74" spans="1:15" s="3" customFormat="1" x14ac:dyDescent="0.2">
      <c r="A74" s="729" t="s">
        <v>13</v>
      </c>
      <c r="B74" s="251"/>
      <c r="C74" s="324"/>
      <c r="D74" s="183"/>
      <c r="E74" s="453"/>
      <c r="F74" s="316" t="s">
        <v>458</v>
      </c>
      <c r="G74" s="316" t="s">
        <v>458</v>
      </c>
      <c r="H74" s="183" t="str">
        <f t="shared" si="4"/>
        <v/>
      </c>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v>21438</v>
      </c>
      <c r="C77" s="250">
        <v>20618</v>
      </c>
      <c r="D77" s="183">
        <f t="shared" si="0"/>
        <v>-3.8</v>
      </c>
      <c r="E77" s="27">
        <f>IFERROR(100/'Skjema total MA'!C77*C77,0)</f>
        <v>0.66041796280579224</v>
      </c>
      <c r="F77" s="250">
        <v>89510</v>
      </c>
      <c r="G77" s="162">
        <v>108569</v>
      </c>
      <c r="H77" s="183">
        <f t="shared" si="1"/>
        <v>21.3</v>
      </c>
      <c r="I77" s="27">
        <f>IFERROR(100/'Skjema total MA'!F77*G77,0)</f>
        <v>1.594879577228008</v>
      </c>
      <c r="J77" s="322">
        <f t="shared" si="2"/>
        <v>110948</v>
      </c>
      <c r="K77" s="44">
        <f t="shared" si="2"/>
        <v>129187</v>
      </c>
      <c r="L77" s="274">
        <f t="shared" si="3"/>
        <v>16.399999999999999</v>
      </c>
      <c r="M77" s="27">
        <f>IFERROR(100/'Skjema total MA'!I77*K77,0)</f>
        <v>1.3010672261642429</v>
      </c>
    </row>
    <row r="78" spans="1:15" x14ac:dyDescent="0.2">
      <c r="A78" s="21" t="s">
        <v>9</v>
      </c>
      <c r="B78" s="250">
        <v>21438</v>
      </c>
      <c r="C78" s="162">
        <v>20618</v>
      </c>
      <c r="D78" s="183">
        <f t="shared" si="0"/>
        <v>-3.8</v>
      </c>
      <c r="E78" s="27">
        <f>IFERROR(100/'Skjema total MA'!C78*C78,0)</f>
        <v>0.68042481675852584</v>
      </c>
      <c r="F78" s="250"/>
      <c r="G78" s="162"/>
      <c r="H78" s="183"/>
      <c r="I78" s="27"/>
      <c r="J78" s="322">
        <f t="shared" si="2"/>
        <v>21438</v>
      </c>
      <c r="K78" s="44">
        <f t="shared" si="2"/>
        <v>20618</v>
      </c>
      <c r="L78" s="274">
        <f t="shared" si="3"/>
        <v>-3.8</v>
      </c>
      <c r="M78" s="27">
        <f>IFERROR(100/'Skjema total MA'!I78*K78,0)</f>
        <v>0.68042481675852584</v>
      </c>
    </row>
    <row r="79" spans="1:15" x14ac:dyDescent="0.2">
      <c r="A79" s="21" t="s">
        <v>10</v>
      </c>
      <c r="B79" s="327"/>
      <c r="C79" s="328"/>
      <c r="D79" s="183"/>
      <c r="E79" s="27"/>
      <c r="F79" s="327">
        <v>89510</v>
      </c>
      <c r="G79" s="328">
        <v>108569</v>
      </c>
      <c r="H79" s="183">
        <f t="shared" si="1"/>
        <v>21.3</v>
      </c>
      <c r="I79" s="27">
        <f>IFERROR(100/'Skjema total MA'!F79*G79,0)</f>
        <v>1.594879577228008</v>
      </c>
      <c r="J79" s="322">
        <f t="shared" si="2"/>
        <v>89510</v>
      </c>
      <c r="K79" s="44">
        <f t="shared" si="2"/>
        <v>108569</v>
      </c>
      <c r="L79" s="274">
        <f t="shared" si="3"/>
        <v>21.3</v>
      </c>
      <c r="M79" s="27">
        <f>IFERROR(100/'Skjema total MA'!I79*K79,0)</f>
        <v>1.5736589126930465</v>
      </c>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f>B88+B89+B96+B97</f>
        <v>1459120</v>
      </c>
      <c r="C87" s="387">
        <f>C88+C89+C96+C97</f>
        <v>1517090</v>
      </c>
      <c r="D87" s="188">
        <f t="shared" si="0"/>
        <v>4</v>
      </c>
      <c r="E87" s="11">
        <f>IFERROR(100/'Skjema total MA'!C87*C87,0)</f>
        <v>0.39428600229535221</v>
      </c>
      <c r="F87" s="386">
        <f>SUM(F88,F89,F96,F97)</f>
        <v>1965832</v>
      </c>
      <c r="G87" s="386">
        <f>SUM(G88,G89,G96,G97)</f>
        <v>2816074</v>
      </c>
      <c r="H87" s="188">
        <f t="shared" si="1"/>
        <v>43.3</v>
      </c>
      <c r="I87" s="11">
        <f>IFERROR(100/'Skjema total MA'!F87*G87,0)</f>
        <v>1.2010753207058111</v>
      </c>
      <c r="J87" s="345">
        <f t="shared" ref="J87:K111" si="5">SUM(B87,F87)</f>
        <v>3424952</v>
      </c>
      <c r="K87" s="252">
        <f t="shared" si="5"/>
        <v>4333164</v>
      </c>
      <c r="L87" s="464">
        <f t="shared" si="3"/>
        <v>26.5</v>
      </c>
      <c r="M87" s="11">
        <f>IFERROR(100/'Skjema total MA'!I87*K87,0)</f>
        <v>0.69976461621896546</v>
      </c>
    </row>
    <row r="88" spans="1:13" x14ac:dyDescent="0.2">
      <c r="A88" s="21" t="s">
        <v>9</v>
      </c>
      <c r="B88" s="250">
        <v>1459120</v>
      </c>
      <c r="C88" s="162">
        <v>1517090</v>
      </c>
      <c r="D88" s="183">
        <f t="shared" si="0"/>
        <v>4</v>
      </c>
      <c r="E88" s="27">
        <f>IFERROR(100/'Skjema total MA'!C88*C88,0)</f>
        <v>0.40251546522273784</v>
      </c>
      <c r="F88" s="250"/>
      <c r="G88" s="162"/>
      <c r="H88" s="183"/>
      <c r="I88" s="27"/>
      <c r="J88" s="322">
        <f t="shared" si="5"/>
        <v>1459120</v>
      </c>
      <c r="K88" s="44">
        <f t="shared" si="5"/>
        <v>1517090</v>
      </c>
      <c r="L88" s="274">
        <f t="shared" si="3"/>
        <v>4</v>
      </c>
      <c r="M88" s="27">
        <f>IFERROR(100/'Skjema total MA'!I88*K88,0)</f>
        <v>0.40251546522273784</v>
      </c>
    </row>
    <row r="89" spans="1:13" x14ac:dyDescent="0.2">
      <c r="A89" s="21" t="s">
        <v>10</v>
      </c>
      <c r="B89" s="250"/>
      <c r="C89" s="162"/>
      <c r="D89" s="183"/>
      <c r="E89" s="27"/>
      <c r="F89" s="250">
        <v>1965832</v>
      </c>
      <c r="G89" s="162">
        <v>2816074</v>
      </c>
      <c r="H89" s="183">
        <f t="shared" si="1"/>
        <v>43.3</v>
      </c>
      <c r="I89" s="27">
        <f>IFERROR(100/'Skjema total MA'!F89*G89,0)</f>
        <v>1.2051025322070033</v>
      </c>
      <c r="J89" s="322">
        <f t="shared" si="5"/>
        <v>1965832</v>
      </c>
      <c r="K89" s="44">
        <f t="shared" si="5"/>
        <v>2816074</v>
      </c>
      <c r="L89" s="274">
        <f t="shared" si="3"/>
        <v>43.3</v>
      </c>
      <c r="M89" s="27">
        <f>IFERROR(100/'Skjema total MA'!I89*K89,0)</f>
        <v>1.1914314849364922</v>
      </c>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v>1459120</v>
      </c>
      <c r="C98" s="250">
        <v>1517090</v>
      </c>
      <c r="D98" s="183">
        <f t="shared" si="0"/>
        <v>4</v>
      </c>
      <c r="E98" s="27">
        <f>IFERROR(100/'Skjema total MA'!C98*C98,0)</f>
        <v>0.4049189117361443</v>
      </c>
      <c r="F98" s="327">
        <v>1965832</v>
      </c>
      <c r="G98" s="327">
        <v>2816074</v>
      </c>
      <c r="H98" s="183">
        <f t="shared" si="1"/>
        <v>43.3</v>
      </c>
      <c r="I98" s="27">
        <f>IFERROR(100/'Skjema total MA'!F98*G98,0)</f>
        <v>1.2082683669885728</v>
      </c>
      <c r="J98" s="322">
        <f t="shared" si="5"/>
        <v>3424952</v>
      </c>
      <c r="K98" s="44">
        <f t="shared" si="5"/>
        <v>4333164</v>
      </c>
      <c r="L98" s="274">
        <f t="shared" si="3"/>
        <v>26.5</v>
      </c>
      <c r="M98" s="27">
        <f>IFERROR(100/'Skjema total MA'!I98*K98,0)</f>
        <v>0.71300565179163922</v>
      </c>
    </row>
    <row r="99" spans="1:13" x14ac:dyDescent="0.2">
      <c r="A99" s="21" t="s">
        <v>9</v>
      </c>
      <c r="B99" s="327">
        <v>1459120</v>
      </c>
      <c r="C99" s="328">
        <v>1517090</v>
      </c>
      <c r="D99" s="183">
        <f t="shared" si="0"/>
        <v>4</v>
      </c>
      <c r="E99" s="27">
        <f>IFERROR(100/'Skjema total MA'!C99*C99,0)</f>
        <v>0.40783766120655274</v>
      </c>
      <c r="F99" s="250"/>
      <c r="G99" s="162"/>
      <c r="H99" s="183"/>
      <c r="I99" s="27"/>
      <c r="J99" s="322">
        <f t="shared" si="5"/>
        <v>1459120</v>
      </c>
      <c r="K99" s="44">
        <f t="shared" si="5"/>
        <v>1517090</v>
      </c>
      <c r="L99" s="274">
        <f t="shared" si="3"/>
        <v>4</v>
      </c>
      <c r="M99" s="27">
        <f>IFERROR(100/'Skjema total MA'!I99*K99,0)</f>
        <v>0.40783766120655274</v>
      </c>
    </row>
    <row r="100" spans="1:13" x14ac:dyDescent="0.2">
      <c r="A100" s="21" t="s">
        <v>10</v>
      </c>
      <c r="B100" s="327"/>
      <c r="C100" s="328"/>
      <c r="D100" s="183"/>
      <c r="E100" s="27"/>
      <c r="F100" s="250">
        <v>1965832</v>
      </c>
      <c r="G100" s="250">
        <v>2816074</v>
      </c>
      <c r="H100" s="183">
        <f t="shared" si="1"/>
        <v>43.3</v>
      </c>
      <c r="I100" s="27">
        <f>IFERROR(100/'Skjema total MA'!F100*G100,0)</f>
        <v>1.2082683669885728</v>
      </c>
      <c r="J100" s="322">
        <f t="shared" si="5"/>
        <v>1965832</v>
      </c>
      <c r="K100" s="44">
        <f t="shared" si="5"/>
        <v>2816074</v>
      </c>
      <c r="L100" s="274">
        <f t="shared" si="3"/>
        <v>43.3</v>
      </c>
      <c r="M100" s="27">
        <f>IFERROR(100/'Skjema total MA'!I100*K100,0)</f>
        <v>1.1945258065504272</v>
      </c>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v>828901</v>
      </c>
      <c r="C108" s="250">
        <v>910396</v>
      </c>
      <c r="D108" s="183">
        <f t="shared" si="0"/>
        <v>9.8000000000000007</v>
      </c>
      <c r="E108" s="27">
        <f>IFERROR(100/'Skjema total MA'!C108*C108,0)</f>
        <v>0.29629879911206786</v>
      </c>
      <c r="F108" s="250"/>
      <c r="G108" s="250"/>
      <c r="H108" s="183"/>
      <c r="I108" s="27"/>
      <c r="J108" s="322">
        <f t="shared" si="5"/>
        <v>828901</v>
      </c>
      <c r="K108" s="44">
        <f t="shared" si="5"/>
        <v>910396</v>
      </c>
      <c r="L108" s="274">
        <f t="shared" si="3"/>
        <v>9.8000000000000007</v>
      </c>
      <c r="M108" s="27">
        <f>IFERROR(100/'Skjema total MA'!I108*K108,0)</f>
        <v>0.2821296832423757</v>
      </c>
    </row>
    <row r="109" spans="1:13" ht="15.75" x14ac:dyDescent="0.2">
      <c r="A109" s="21" t="s">
        <v>483</v>
      </c>
      <c r="B109" s="250"/>
      <c r="C109" s="250"/>
      <c r="D109" s="183"/>
      <c r="E109" s="27"/>
      <c r="F109" s="250">
        <v>712215</v>
      </c>
      <c r="G109" s="250">
        <v>1171269</v>
      </c>
      <c r="H109" s="183">
        <f t="shared" si="1"/>
        <v>64.5</v>
      </c>
      <c r="I109" s="27">
        <f>IFERROR(100/'Skjema total MA'!F109*G109,0)</f>
        <v>1.582611590156968</v>
      </c>
      <c r="J109" s="322">
        <f t="shared" si="5"/>
        <v>712215</v>
      </c>
      <c r="K109" s="44">
        <f t="shared" si="5"/>
        <v>1171269</v>
      </c>
      <c r="L109" s="274">
        <f t="shared" si="3"/>
        <v>64.5</v>
      </c>
      <c r="M109" s="27">
        <f>IFERROR(100/'Skjema total MA'!I109*K109,0)</f>
        <v>1.560337141407699</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186</v>
      </c>
      <c r="C111" s="176">
        <f>SUM(C112:C114)</f>
        <v>422</v>
      </c>
      <c r="D111" s="188">
        <f t="shared" si="0"/>
        <v>126.9</v>
      </c>
      <c r="E111" s="11">
        <f>IFERROR(100/'Skjema total MA'!C111*C111,0)</f>
        <v>9.5074618504058336E-2</v>
      </c>
      <c r="F111" s="344">
        <f>SUM(F112:F114)</f>
        <v>209647</v>
      </c>
      <c r="G111" s="176">
        <f>SUM(G112:G114)</f>
        <v>117935</v>
      </c>
      <c r="H111" s="188">
        <f t="shared" si="1"/>
        <v>-43.7</v>
      </c>
      <c r="I111" s="11">
        <f>IFERROR(100/'Skjema total MA'!F111*G111,0)</f>
        <v>2.4569540454786045</v>
      </c>
      <c r="J111" s="345">
        <f t="shared" si="5"/>
        <v>209833</v>
      </c>
      <c r="K111" s="252">
        <f t="shared" si="5"/>
        <v>118357</v>
      </c>
      <c r="L111" s="464">
        <f t="shared" si="3"/>
        <v>-43.6</v>
      </c>
      <c r="M111" s="11">
        <f>IFERROR(100/'Skjema total MA'!I111*K111,0)</f>
        <v>2.2570367936334734</v>
      </c>
    </row>
    <row r="112" spans="1:13" x14ac:dyDescent="0.2">
      <c r="A112" s="21" t="s">
        <v>9</v>
      </c>
      <c r="B112" s="250">
        <v>186</v>
      </c>
      <c r="C112" s="162">
        <v>422</v>
      </c>
      <c r="D112" s="183">
        <f t="shared" ref="D112:D120" si="6">IF(B112=0, "    ---- ", IF(ABS(ROUND(100/B112*C112-100,1))&lt;999,ROUND(100/B112*C112-100,1),IF(ROUND(100/B112*C112-100,1)&gt;999,999,-999)))</f>
        <v>126.9</v>
      </c>
      <c r="E112" s="27">
        <f>IFERROR(100/'Skjema total MA'!C112*C112,0)</f>
        <v>9.8372147491571263E-2</v>
      </c>
      <c r="F112" s="250"/>
      <c r="G112" s="162"/>
      <c r="H112" s="183"/>
      <c r="I112" s="27"/>
      <c r="J112" s="322">
        <f t="shared" ref="J112:K125" si="7">SUM(B112,F112)</f>
        <v>186</v>
      </c>
      <c r="K112" s="44">
        <f t="shared" si="7"/>
        <v>422</v>
      </c>
      <c r="L112" s="274">
        <f t="shared" ref="L112:L125" si="8">IF(J112=0, "    ---- ", IF(ABS(ROUND(100/J112*K112-100,1))&lt;999,ROUND(100/J112*K112-100,1),IF(ROUND(100/J112*K112-100,1)&gt;999,999,-999)))</f>
        <v>126.9</v>
      </c>
      <c r="M112" s="27">
        <f>IFERROR(100/'Skjema total MA'!I112*K112,0)</f>
        <v>9.8316061140570399E-2</v>
      </c>
    </row>
    <row r="113" spans="1:14" x14ac:dyDescent="0.2">
      <c r="A113" s="21" t="s">
        <v>10</v>
      </c>
      <c r="B113" s="250"/>
      <c r="C113" s="162"/>
      <c r="D113" s="183"/>
      <c r="E113" s="27"/>
      <c r="F113" s="250">
        <v>209647</v>
      </c>
      <c r="G113" s="162">
        <v>117935</v>
      </c>
      <c r="H113" s="183">
        <f t="shared" ref="H113:H125" si="9">IF(F113=0, "    ---- ", IF(ABS(ROUND(100/F113*G113-100,1))&lt;999,ROUND(100/F113*G113-100,1),IF(ROUND(100/F113*G113-100,1)&gt;999,999,-999)))</f>
        <v>-43.7</v>
      </c>
      <c r="I113" s="27">
        <f>IFERROR(100/'Skjema total MA'!F113*G113,0)</f>
        <v>2.4640419848471948</v>
      </c>
      <c r="J113" s="322">
        <f t="shared" si="7"/>
        <v>209647</v>
      </c>
      <c r="K113" s="44">
        <f t="shared" si="7"/>
        <v>117935</v>
      </c>
      <c r="L113" s="274">
        <f t="shared" si="8"/>
        <v>-43.7</v>
      </c>
      <c r="M113" s="27">
        <f>IFERROR(100/'Skjema total MA'!I113*K113,0)</f>
        <v>2.4640419848471948</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v>190688</v>
      </c>
      <c r="G117" s="250">
        <v>85540</v>
      </c>
      <c r="H117" s="183">
        <f t="shared" si="9"/>
        <v>-55.1</v>
      </c>
      <c r="I117" s="27">
        <f>IFERROR(100/'Skjema total MA'!F117*G117,0)</f>
        <v>17.162969822684794</v>
      </c>
      <c r="J117" s="322">
        <f t="shared" si="7"/>
        <v>190688</v>
      </c>
      <c r="K117" s="44">
        <f t="shared" si="7"/>
        <v>85540</v>
      </c>
      <c r="L117" s="274">
        <f t="shared" si="8"/>
        <v>-55.1</v>
      </c>
      <c r="M117" s="27">
        <f>IFERROR(100/'Skjema total MA'!I117*K117,0)</f>
        <v>17.162969822684794</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11689</v>
      </c>
      <c r="C119" s="176">
        <f>SUM(C120:C122)</f>
        <v>259</v>
      </c>
      <c r="D119" s="188">
        <f t="shared" si="6"/>
        <v>-97.8</v>
      </c>
      <c r="E119" s="11">
        <f>IFERROR(100/'Skjema total MA'!C119*C119,0)</f>
        <v>0.15219517343942457</v>
      </c>
      <c r="F119" s="344">
        <f>SUM(F120:F122)</f>
        <v>38422</v>
      </c>
      <c r="G119" s="176">
        <f>SUM(G120:G122)</f>
        <v>19438</v>
      </c>
      <c r="H119" s="188">
        <f t="shared" si="9"/>
        <v>-49.4</v>
      </c>
      <c r="I119" s="11">
        <f>IFERROR(100/'Skjema total MA'!F119*G119,0)</f>
        <v>0.38729441340326481</v>
      </c>
      <c r="J119" s="345">
        <f t="shared" si="7"/>
        <v>50111</v>
      </c>
      <c r="K119" s="252">
        <f t="shared" si="7"/>
        <v>19697</v>
      </c>
      <c r="L119" s="464">
        <f t="shared" si="8"/>
        <v>-60.7</v>
      </c>
      <c r="M119" s="11">
        <f>IFERROR(100/'Skjema total MA'!I119*K119,0)</f>
        <v>0.37958434350272563</v>
      </c>
    </row>
    <row r="120" spans="1:14" x14ac:dyDescent="0.2">
      <c r="A120" s="21" t="s">
        <v>9</v>
      </c>
      <c r="B120" s="250">
        <v>11689</v>
      </c>
      <c r="C120" s="162">
        <v>259</v>
      </c>
      <c r="D120" s="183">
        <f t="shared" si="6"/>
        <v>-97.8</v>
      </c>
      <c r="E120" s="27">
        <f>IFERROR(100/'Skjema total MA'!C120*C120,0)</f>
        <v>0.22434651395458538</v>
      </c>
      <c r="F120" s="250"/>
      <c r="G120" s="162"/>
      <c r="H120" s="183"/>
      <c r="I120" s="27"/>
      <c r="J120" s="322">
        <f t="shared" si="7"/>
        <v>11689</v>
      </c>
      <c r="K120" s="44">
        <f t="shared" si="7"/>
        <v>259</v>
      </c>
      <c r="L120" s="274">
        <f t="shared" si="8"/>
        <v>-97.8</v>
      </c>
      <c r="M120" s="27">
        <f>IFERROR(100/'Skjema total MA'!I120*K120,0)</f>
        <v>0.22434651395458538</v>
      </c>
    </row>
    <row r="121" spans="1:14" x14ac:dyDescent="0.2">
      <c r="A121" s="21" t="s">
        <v>10</v>
      </c>
      <c r="B121" s="250"/>
      <c r="C121" s="162"/>
      <c r="D121" s="183"/>
      <c r="E121" s="27"/>
      <c r="F121" s="250">
        <v>38422</v>
      </c>
      <c r="G121" s="162">
        <v>19438</v>
      </c>
      <c r="H121" s="183">
        <f t="shared" si="9"/>
        <v>-49.4</v>
      </c>
      <c r="I121" s="27">
        <f>IFERROR(100/'Skjema total MA'!F121*G121,0)</f>
        <v>0.38728298293495256</v>
      </c>
      <c r="J121" s="322">
        <f t="shared" si="7"/>
        <v>38422</v>
      </c>
      <c r="K121" s="44">
        <f t="shared" si="7"/>
        <v>19438</v>
      </c>
      <c r="L121" s="274">
        <f t="shared" si="8"/>
        <v>-49.4</v>
      </c>
      <c r="M121" s="27">
        <f>IFERROR(100/'Skjema total MA'!I121*K121,0)</f>
        <v>0.3867127885425739</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v>3104</v>
      </c>
      <c r="G125" s="250">
        <v>5782</v>
      </c>
      <c r="H125" s="183">
        <f t="shared" si="9"/>
        <v>86.3</v>
      </c>
      <c r="I125" s="27">
        <f>IFERROR(100/'Skjema total MA'!F125*G125,0)</f>
        <v>1.5630562340013037</v>
      </c>
      <c r="J125" s="322">
        <f t="shared" si="7"/>
        <v>3104</v>
      </c>
      <c r="K125" s="44">
        <f t="shared" si="7"/>
        <v>5782</v>
      </c>
      <c r="L125" s="274">
        <f t="shared" si="8"/>
        <v>86.3</v>
      </c>
      <c r="M125" s="27">
        <f>IFERROR(100/'Skjema total MA'!I125*K125,0)</f>
        <v>1.560287456956635</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73" priority="138">
      <formula>kvartal &lt; 4</formula>
    </cfRule>
  </conditionalFormatting>
  <conditionalFormatting sqref="B69">
    <cfRule type="expression" dxfId="672" priority="106">
      <formula>kvartal &lt; 4</formula>
    </cfRule>
  </conditionalFormatting>
  <conditionalFormatting sqref="C69">
    <cfRule type="expression" dxfId="671" priority="105">
      <formula>kvartal &lt; 4</formula>
    </cfRule>
  </conditionalFormatting>
  <conditionalFormatting sqref="B72">
    <cfRule type="expression" dxfId="670" priority="104">
      <formula>kvartal &lt; 4</formula>
    </cfRule>
  </conditionalFormatting>
  <conditionalFormatting sqref="C72">
    <cfRule type="expression" dxfId="669" priority="103">
      <formula>kvartal &lt; 4</formula>
    </cfRule>
  </conditionalFormatting>
  <conditionalFormatting sqref="B80">
    <cfRule type="expression" dxfId="668" priority="102">
      <formula>kvartal &lt; 4</formula>
    </cfRule>
  </conditionalFormatting>
  <conditionalFormatting sqref="C80">
    <cfRule type="expression" dxfId="667" priority="101">
      <formula>kvartal &lt; 4</formula>
    </cfRule>
  </conditionalFormatting>
  <conditionalFormatting sqref="B83">
    <cfRule type="expression" dxfId="666" priority="100">
      <formula>kvartal &lt; 4</formula>
    </cfRule>
  </conditionalFormatting>
  <conditionalFormatting sqref="C83">
    <cfRule type="expression" dxfId="665" priority="99">
      <formula>kvartal &lt; 4</formula>
    </cfRule>
  </conditionalFormatting>
  <conditionalFormatting sqref="B90">
    <cfRule type="expression" dxfId="664" priority="90">
      <formula>kvartal &lt; 4</formula>
    </cfRule>
  </conditionalFormatting>
  <conditionalFormatting sqref="C90">
    <cfRule type="expression" dxfId="663" priority="89">
      <formula>kvartal &lt; 4</formula>
    </cfRule>
  </conditionalFormatting>
  <conditionalFormatting sqref="B93">
    <cfRule type="expression" dxfId="662" priority="88">
      <formula>kvartal &lt; 4</formula>
    </cfRule>
  </conditionalFormatting>
  <conditionalFormatting sqref="C93">
    <cfRule type="expression" dxfId="661" priority="87">
      <formula>kvartal &lt; 4</formula>
    </cfRule>
  </conditionalFormatting>
  <conditionalFormatting sqref="B101">
    <cfRule type="expression" dxfId="660" priority="86">
      <formula>kvartal &lt; 4</formula>
    </cfRule>
  </conditionalFormatting>
  <conditionalFormatting sqref="C101">
    <cfRule type="expression" dxfId="659" priority="85">
      <formula>kvartal &lt; 4</formula>
    </cfRule>
  </conditionalFormatting>
  <conditionalFormatting sqref="B104">
    <cfRule type="expression" dxfId="658" priority="84">
      <formula>kvartal &lt; 4</formula>
    </cfRule>
  </conditionalFormatting>
  <conditionalFormatting sqref="C104">
    <cfRule type="expression" dxfId="657" priority="83">
      <formula>kvartal &lt; 4</formula>
    </cfRule>
  </conditionalFormatting>
  <conditionalFormatting sqref="B115">
    <cfRule type="expression" dxfId="656" priority="82">
      <formula>kvartal &lt; 4</formula>
    </cfRule>
  </conditionalFormatting>
  <conditionalFormatting sqref="C115">
    <cfRule type="expression" dxfId="655" priority="81">
      <formula>kvartal &lt; 4</formula>
    </cfRule>
  </conditionalFormatting>
  <conditionalFormatting sqref="B123">
    <cfRule type="expression" dxfId="654" priority="80">
      <formula>kvartal &lt; 4</formula>
    </cfRule>
  </conditionalFormatting>
  <conditionalFormatting sqref="C123">
    <cfRule type="expression" dxfId="653" priority="79">
      <formula>kvartal &lt; 4</formula>
    </cfRule>
  </conditionalFormatting>
  <conditionalFormatting sqref="F70">
    <cfRule type="expression" dxfId="652" priority="78">
      <formula>kvartal &lt; 4</formula>
    </cfRule>
  </conditionalFormatting>
  <conditionalFormatting sqref="G70">
    <cfRule type="expression" dxfId="651" priority="77">
      <formula>kvartal &lt; 4</formula>
    </cfRule>
  </conditionalFormatting>
  <conditionalFormatting sqref="F71:G71">
    <cfRule type="expression" dxfId="650" priority="76">
      <formula>kvartal &lt; 4</formula>
    </cfRule>
  </conditionalFormatting>
  <conditionalFormatting sqref="F73:G74">
    <cfRule type="expression" dxfId="649" priority="75">
      <formula>kvartal &lt; 4</formula>
    </cfRule>
  </conditionalFormatting>
  <conditionalFormatting sqref="F81:G82">
    <cfRule type="expression" dxfId="648" priority="74">
      <formula>kvartal &lt; 4</formula>
    </cfRule>
  </conditionalFormatting>
  <conditionalFormatting sqref="F84:G85">
    <cfRule type="expression" dxfId="647" priority="73">
      <formula>kvartal &lt; 4</formula>
    </cfRule>
  </conditionalFormatting>
  <conditionalFormatting sqref="F91:G92">
    <cfRule type="expression" dxfId="646" priority="68">
      <formula>kvartal &lt; 4</formula>
    </cfRule>
  </conditionalFormatting>
  <conditionalFormatting sqref="F94:G95">
    <cfRule type="expression" dxfId="645" priority="67">
      <formula>kvartal &lt; 4</formula>
    </cfRule>
  </conditionalFormatting>
  <conditionalFormatting sqref="F102:G103">
    <cfRule type="expression" dxfId="644" priority="66">
      <formula>kvartal &lt; 4</formula>
    </cfRule>
  </conditionalFormatting>
  <conditionalFormatting sqref="F105:G106">
    <cfRule type="expression" dxfId="643" priority="65">
      <formula>kvartal &lt; 4</formula>
    </cfRule>
  </conditionalFormatting>
  <conditionalFormatting sqref="F115">
    <cfRule type="expression" dxfId="642" priority="64">
      <formula>kvartal &lt; 4</formula>
    </cfRule>
  </conditionalFormatting>
  <conditionalFormatting sqref="G115">
    <cfRule type="expression" dxfId="641" priority="63">
      <formula>kvartal &lt; 4</formula>
    </cfRule>
  </conditionalFormatting>
  <conditionalFormatting sqref="F123:G123">
    <cfRule type="expression" dxfId="640" priority="62">
      <formula>kvartal &lt; 4</formula>
    </cfRule>
  </conditionalFormatting>
  <conditionalFormatting sqref="F69:G69">
    <cfRule type="expression" dxfId="639" priority="61">
      <formula>kvartal &lt; 4</formula>
    </cfRule>
  </conditionalFormatting>
  <conditionalFormatting sqref="F72:G72">
    <cfRule type="expression" dxfId="638" priority="60">
      <formula>kvartal &lt; 4</formula>
    </cfRule>
  </conditionalFormatting>
  <conditionalFormatting sqref="F80:G80">
    <cfRule type="expression" dxfId="637" priority="59">
      <formula>kvartal &lt; 4</formula>
    </cfRule>
  </conditionalFormatting>
  <conditionalFormatting sqref="F83:G83">
    <cfRule type="expression" dxfId="636" priority="58">
      <formula>kvartal &lt; 4</formula>
    </cfRule>
  </conditionalFormatting>
  <conditionalFormatting sqref="F90:G90">
    <cfRule type="expression" dxfId="635" priority="52">
      <formula>kvartal &lt; 4</formula>
    </cfRule>
  </conditionalFormatting>
  <conditionalFormatting sqref="F93">
    <cfRule type="expression" dxfId="634" priority="51">
      <formula>kvartal &lt; 4</formula>
    </cfRule>
  </conditionalFormatting>
  <conditionalFormatting sqref="G93">
    <cfRule type="expression" dxfId="633" priority="50">
      <formula>kvartal &lt; 4</formula>
    </cfRule>
  </conditionalFormatting>
  <conditionalFormatting sqref="F101">
    <cfRule type="expression" dxfId="632" priority="49">
      <formula>kvartal &lt; 4</formula>
    </cfRule>
  </conditionalFormatting>
  <conditionalFormatting sqref="G101">
    <cfRule type="expression" dxfId="631" priority="48">
      <formula>kvartal &lt; 4</formula>
    </cfRule>
  </conditionalFormatting>
  <conditionalFormatting sqref="G104">
    <cfRule type="expression" dxfId="630" priority="47">
      <formula>kvartal &lt; 4</formula>
    </cfRule>
  </conditionalFormatting>
  <conditionalFormatting sqref="F104">
    <cfRule type="expression" dxfId="629" priority="46">
      <formula>kvartal &lt; 4</formula>
    </cfRule>
  </conditionalFormatting>
  <conditionalFormatting sqref="J69:K73">
    <cfRule type="expression" dxfId="628" priority="45">
      <formula>kvartal &lt; 4</formula>
    </cfRule>
  </conditionalFormatting>
  <conditionalFormatting sqref="J74:K74">
    <cfRule type="expression" dxfId="627" priority="44">
      <formula>kvartal &lt; 4</formula>
    </cfRule>
  </conditionalFormatting>
  <conditionalFormatting sqref="J80:K85">
    <cfRule type="expression" dxfId="626" priority="43">
      <formula>kvartal &lt; 4</formula>
    </cfRule>
  </conditionalFormatting>
  <conditionalFormatting sqref="J90:K95">
    <cfRule type="expression" dxfId="625" priority="40">
      <formula>kvartal &lt; 4</formula>
    </cfRule>
  </conditionalFormatting>
  <conditionalFormatting sqref="J101:K106">
    <cfRule type="expression" dxfId="624" priority="39">
      <formula>kvartal &lt; 4</formula>
    </cfRule>
  </conditionalFormatting>
  <conditionalFormatting sqref="J115:K115">
    <cfRule type="expression" dxfId="623" priority="38">
      <formula>kvartal &lt; 4</formula>
    </cfRule>
  </conditionalFormatting>
  <conditionalFormatting sqref="J123:K123">
    <cfRule type="expression" dxfId="622" priority="37">
      <formula>kvartal &lt; 4</formula>
    </cfRule>
  </conditionalFormatting>
  <conditionalFormatting sqref="A50:A52">
    <cfRule type="expression" dxfId="621" priority="18">
      <formula>kvartal &lt; 4</formula>
    </cfRule>
  </conditionalFormatting>
  <conditionalFormatting sqref="A69:A74">
    <cfRule type="expression" dxfId="620" priority="6">
      <formula>kvartal &lt; 4</formula>
    </cfRule>
  </conditionalFormatting>
  <conditionalFormatting sqref="A115">
    <cfRule type="expression" dxfId="619" priority="5">
      <formula>kvartal &lt; 4</formula>
    </cfRule>
  </conditionalFormatting>
  <conditionalFormatting sqref="A123">
    <cfRule type="expression" dxfId="618" priority="4">
      <formula>kvartal &lt; 4</formula>
    </cfRule>
  </conditionalFormatting>
  <conditionalFormatting sqref="A80:A85">
    <cfRule type="expression" dxfId="617" priority="3">
      <formula>kvartal &lt; 4</formula>
    </cfRule>
  </conditionalFormatting>
  <conditionalFormatting sqref="A90:A95">
    <cfRule type="expression" dxfId="616" priority="2">
      <formula>kvartal &lt; 4</formula>
    </cfRule>
  </conditionalFormatting>
  <conditionalFormatting sqref="A101:A106">
    <cfRule type="expression" dxfId="615" priority="1">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58"/>
  <sheetViews>
    <sheetView showGridLines="0" tabSelected="1" zoomScale="70" zoomScaleNormal="70" workbookViewId="0"/>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310" t="s">
        <v>32</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33</v>
      </c>
      <c r="B6" s="71"/>
      <c r="C6" s="70"/>
      <c r="D6" s="69"/>
      <c r="E6" s="69"/>
      <c r="F6" s="69"/>
      <c r="G6" s="69"/>
      <c r="H6" s="69"/>
      <c r="I6" s="69"/>
      <c r="J6" s="69"/>
      <c r="K6" s="69"/>
      <c r="L6" s="69"/>
      <c r="M6" s="69"/>
      <c r="N6" s="69"/>
    </row>
    <row r="7" spans="1:14" ht="20.100000000000001" customHeight="1" x14ac:dyDescent="0.35">
      <c r="A7" s="70"/>
      <c r="B7" s="70" t="s">
        <v>34</v>
      </c>
      <c r="C7" s="70" t="s">
        <v>35</v>
      </c>
      <c r="D7" s="69"/>
      <c r="E7" s="69"/>
      <c r="F7" s="69"/>
      <c r="G7" s="69"/>
      <c r="H7" s="69"/>
      <c r="I7" s="69"/>
      <c r="J7" s="69"/>
      <c r="K7" s="69"/>
      <c r="L7" s="69"/>
      <c r="M7" s="69"/>
      <c r="N7" s="69"/>
    </row>
    <row r="8" spans="1:14" ht="20.100000000000001" customHeight="1" x14ac:dyDescent="0.35">
      <c r="A8" s="70"/>
      <c r="B8" s="70" t="s">
        <v>36</v>
      </c>
      <c r="C8" s="70" t="s">
        <v>37</v>
      </c>
      <c r="D8" s="69"/>
      <c r="E8" s="69"/>
      <c r="F8" s="69"/>
      <c r="G8" s="69"/>
      <c r="H8" s="69"/>
      <c r="I8" s="69"/>
      <c r="J8" s="69"/>
      <c r="K8" s="69"/>
      <c r="L8" s="69"/>
      <c r="M8" s="69"/>
      <c r="N8" s="69"/>
    </row>
    <row r="9" spans="1:14" ht="20.100000000000001" customHeight="1" x14ac:dyDescent="0.35">
      <c r="A9" s="70"/>
      <c r="B9" s="70" t="s">
        <v>38</v>
      </c>
      <c r="C9" s="70" t="s">
        <v>41</v>
      </c>
      <c r="D9" s="69"/>
      <c r="E9" s="69"/>
      <c r="F9" s="69"/>
      <c r="G9" s="69"/>
      <c r="H9" s="69"/>
      <c r="I9" s="69"/>
      <c r="J9" s="69"/>
      <c r="K9" s="69"/>
      <c r="L9" s="69"/>
      <c r="M9" s="69"/>
      <c r="N9" s="69"/>
    </row>
    <row r="10" spans="1:14" ht="20.100000000000001" customHeight="1" x14ac:dyDescent="0.35">
      <c r="A10" s="70"/>
      <c r="B10" s="70" t="s">
        <v>39</v>
      </c>
      <c r="C10" s="70" t="s">
        <v>43</v>
      </c>
      <c r="D10" s="69"/>
      <c r="E10" s="69"/>
      <c r="F10" s="69"/>
      <c r="G10" s="69"/>
      <c r="H10" s="69"/>
      <c r="I10" s="69"/>
      <c r="J10" s="69"/>
      <c r="K10" s="69"/>
      <c r="L10" s="69"/>
      <c r="M10" s="69"/>
      <c r="N10" s="69"/>
    </row>
    <row r="11" spans="1:14" ht="20.100000000000001" customHeight="1" x14ac:dyDescent="0.35">
      <c r="A11" s="70"/>
      <c r="B11" s="70" t="s">
        <v>40</v>
      </c>
      <c r="C11" s="70" t="s">
        <v>44</v>
      </c>
      <c r="D11" s="69"/>
      <c r="E11" s="69"/>
      <c r="F11" s="69"/>
      <c r="G11" s="69"/>
      <c r="H11" s="69"/>
      <c r="I11" s="69"/>
      <c r="J11" s="69"/>
      <c r="K11" s="69"/>
      <c r="L11" s="69"/>
      <c r="M11" s="69"/>
      <c r="N11" s="69"/>
    </row>
    <row r="12" spans="1:14" ht="20.100000000000001" customHeight="1" x14ac:dyDescent="0.35">
      <c r="A12" s="70"/>
      <c r="B12" s="70" t="s">
        <v>42</v>
      </c>
      <c r="C12" s="70" t="s">
        <v>45</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309" t="s">
        <v>46</v>
      </c>
      <c r="B14" s="71"/>
      <c r="C14" s="70"/>
      <c r="D14" s="69"/>
      <c r="E14" s="69"/>
      <c r="F14" s="69"/>
      <c r="G14" s="69"/>
      <c r="H14" s="69"/>
      <c r="I14" s="69"/>
      <c r="J14" s="69"/>
      <c r="K14" s="69"/>
      <c r="L14" s="69"/>
      <c r="M14" s="69"/>
      <c r="N14" s="69"/>
    </row>
    <row r="15" spans="1:14" ht="20.100000000000001" customHeight="1" x14ac:dyDescent="0.35">
      <c r="A15" s="70"/>
      <c r="B15" s="70" t="s">
        <v>47</v>
      </c>
      <c r="C15" s="70"/>
      <c r="D15" s="69"/>
      <c r="E15" s="69"/>
      <c r="F15" s="69"/>
      <c r="G15" s="69"/>
      <c r="H15" s="69"/>
      <c r="I15" s="69"/>
      <c r="J15" s="69"/>
      <c r="K15" s="69"/>
      <c r="L15" s="69"/>
      <c r="M15" s="69"/>
      <c r="N15" s="69"/>
    </row>
    <row r="16" spans="1:14" ht="20.100000000000001" customHeight="1" x14ac:dyDescent="0.35">
      <c r="A16" s="70"/>
      <c r="B16" s="71" t="s">
        <v>48</v>
      </c>
      <c r="C16" s="70" t="s">
        <v>49</v>
      </c>
      <c r="D16" s="69"/>
      <c r="E16" s="69"/>
      <c r="F16" s="69"/>
      <c r="G16" s="69"/>
      <c r="H16" s="69"/>
      <c r="I16" s="69"/>
      <c r="J16" s="69"/>
      <c r="K16" s="69"/>
      <c r="L16" s="69"/>
      <c r="M16" s="69"/>
      <c r="N16" s="69"/>
    </row>
    <row r="17" spans="1:14" ht="20.100000000000001" customHeight="1" x14ac:dyDescent="0.35">
      <c r="A17" s="70"/>
      <c r="B17" s="71" t="s">
        <v>50</v>
      </c>
      <c r="C17" s="70" t="s">
        <v>51</v>
      </c>
      <c r="D17" s="69"/>
      <c r="E17" s="69"/>
      <c r="F17" s="69"/>
      <c r="G17" s="69"/>
      <c r="H17" s="69"/>
      <c r="I17" s="69"/>
      <c r="J17" s="69"/>
      <c r="K17" s="69"/>
      <c r="L17" s="69"/>
      <c r="M17" s="69"/>
      <c r="N17" s="69"/>
    </row>
    <row r="18" spans="1:14" ht="20.100000000000001" customHeight="1" x14ac:dyDescent="0.35">
      <c r="A18" s="70"/>
      <c r="B18" s="71" t="s">
        <v>432</v>
      </c>
      <c r="C18" s="70" t="s">
        <v>433</v>
      </c>
      <c r="D18" s="69"/>
      <c r="E18" s="69"/>
      <c r="F18" s="69"/>
      <c r="G18" s="69"/>
      <c r="H18" s="69"/>
      <c r="I18" s="69"/>
      <c r="J18" s="69"/>
      <c r="K18" s="69"/>
      <c r="L18" s="69"/>
      <c r="M18" s="69"/>
      <c r="N18" s="69"/>
    </row>
    <row r="19" spans="1:14" ht="20.100000000000001" customHeight="1" x14ac:dyDescent="0.35">
      <c r="A19" s="70"/>
      <c r="B19" s="70" t="s">
        <v>434</v>
      </c>
      <c r="C19" s="70" t="s">
        <v>361</v>
      </c>
      <c r="D19" s="69"/>
      <c r="E19" s="69"/>
      <c r="F19" s="69"/>
      <c r="G19" s="69"/>
      <c r="H19" s="69"/>
      <c r="I19" s="69"/>
      <c r="J19" s="69"/>
      <c r="K19" s="69"/>
      <c r="L19" s="69"/>
      <c r="M19" s="69"/>
      <c r="N19" s="69"/>
    </row>
    <row r="20" spans="1:14" s="382" customFormat="1" ht="20.100000000000001" customHeight="1" x14ac:dyDescent="0.35">
      <c r="A20" s="380"/>
      <c r="B20" s="380" t="s">
        <v>436</v>
      </c>
      <c r="C20" s="380" t="s">
        <v>435</v>
      </c>
      <c r="D20" s="381"/>
      <c r="E20" s="381"/>
      <c r="F20" s="381"/>
      <c r="G20" s="381"/>
      <c r="H20" s="381"/>
      <c r="I20" s="381"/>
      <c r="J20" s="381"/>
      <c r="K20" s="381"/>
      <c r="L20" s="381"/>
      <c r="M20" s="381"/>
      <c r="N20" s="381"/>
    </row>
    <row r="21" spans="1:14" ht="20.100000000000001" customHeight="1" x14ac:dyDescent="0.35">
      <c r="A21" s="70"/>
      <c r="B21" s="70"/>
      <c r="C21" s="70"/>
    </row>
    <row r="22" spans="1:14" ht="18.75" customHeight="1" x14ac:dyDescent="0.35">
      <c r="A22" s="70"/>
      <c r="B22" s="380" t="s">
        <v>345</v>
      </c>
      <c r="C22" s="380"/>
    </row>
    <row r="23" spans="1:14" ht="20.100000000000001" customHeight="1" x14ac:dyDescent="0.35">
      <c r="A23" s="70"/>
      <c r="B23" s="383" t="s">
        <v>346</v>
      </c>
      <c r="C23" s="380" t="s">
        <v>347</v>
      </c>
    </row>
    <row r="24" spans="1:14" ht="20.100000000000001" hidden="1" customHeight="1" x14ac:dyDescent="0.35">
      <c r="A24" s="70"/>
      <c r="B24" s="383" t="s">
        <v>348</v>
      </c>
      <c r="C24" s="380" t="s">
        <v>349</v>
      </c>
    </row>
    <row r="25" spans="1:14" ht="20.100000000000001" hidden="1" customHeight="1" x14ac:dyDescent="0.35">
      <c r="A25" s="70"/>
      <c r="B25" s="383" t="s">
        <v>350</v>
      </c>
      <c r="C25" s="380" t="s">
        <v>351</v>
      </c>
    </row>
    <row r="26" spans="1:14" ht="20.100000000000001" hidden="1" customHeight="1" x14ac:dyDescent="0.35">
      <c r="A26" s="70"/>
      <c r="B26" s="383" t="s">
        <v>352</v>
      </c>
      <c r="C26" s="380" t="s">
        <v>353</v>
      </c>
    </row>
    <row r="27" spans="1:14" ht="20.100000000000001" customHeight="1" x14ac:dyDescent="0.35">
      <c r="A27" s="70"/>
      <c r="B27" s="383" t="s">
        <v>262</v>
      </c>
      <c r="C27" s="380" t="s">
        <v>354</v>
      </c>
    </row>
    <row r="28" spans="1:14" ht="20.100000000000001" hidden="1" customHeight="1" x14ac:dyDescent="0.35">
      <c r="A28" s="70"/>
      <c r="B28" s="376" t="s">
        <v>355</v>
      </c>
      <c r="C28" s="308" t="s">
        <v>356</v>
      </c>
    </row>
    <row r="29" spans="1:14" ht="20.100000000000001" hidden="1" customHeight="1" x14ac:dyDescent="0.35">
      <c r="A29" s="70"/>
      <c r="B29" s="376" t="s">
        <v>357</v>
      </c>
      <c r="C29" s="308" t="s">
        <v>358</v>
      </c>
    </row>
    <row r="30" spans="1:14" ht="18.75" customHeight="1" x14ac:dyDescent="0.35">
      <c r="A30" s="70"/>
      <c r="B30" s="383" t="s">
        <v>359</v>
      </c>
      <c r="C30" s="380" t="s">
        <v>360</v>
      </c>
    </row>
    <row r="31" spans="1:14" ht="18.75" customHeight="1" x14ac:dyDescent="0.35">
      <c r="A31" s="70"/>
      <c r="B31" s="383"/>
      <c r="C31" s="380"/>
    </row>
    <row r="32" spans="1:14" ht="20.100000000000001" customHeight="1" x14ac:dyDescent="0.35">
      <c r="A32" s="70"/>
      <c r="B32" s="70"/>
      <c r="C32" s="70"/>
    </row>
    <row r="33" spans="1:14" x14ac:dyDescent="0.35">
      <c r="A33" s="71" t="s">
        <v>52</v>
      </c>
      <c r="B33" s="70"/>
      <c r="C33" s="70"/>
    </row>
    <row r="34" spans="1:14" ht="26.25" hidden="1" customHeight="1" x14ac:dyDescent="0.4">
      <c r="C34" s="72"/>
    </row>
    <row r="35" spans="1:14" ht="26.25" hidden="1" customHeight="1" x14ac:dyDescent="0.4">
      <c r="C35" s="72"/>
    </row>
    <row r="36" spans="1:14" ht="18.75" customHeight="1" x14ac:dyDescent="0.4">
      <c r="C36" s="377"/>
      <c r="D36" s="378"/>
    </row>
    <row r="37" spans="1:14" ht="26.25" x14ac:dyDescent="0.4">
      <c r="C37" s="72"/>
    </row>
    <row r="38" spans="1:14" ht="26.25" x14ac:dyDescent="0.4">
      <c r="C38" s="72"/>
    </row>
    <row r="39" spans="1:14" ht="26.25" x14ac:dyDescent="0.4">
      <c r="C39" s="377"/>
      <c r="D39" s="382"/>
      <c r="E39" s="382"/>
      <c r="F39" s="382"/>
      <c r="G39" s="382"/>
      <c r="H39" s="382"/>
      <c r="I39" s="382"/>
      <c r="J39" s="382"/>
      <c r="K39" s="382"/>
      <c r="L39" s="382"/>
      <c r="M39" s="382"/>
      <c r="N39" s="382"/>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hyperlink ref="A14" location="'Tabel 1.1'!A1" display="TABELLER"/>
    <hyperlink ref="B16" location="'Tabell 1.1'!A1" display="Tabell 1.1"/>
    <hyperlink ref="B17" location="'Tabell 1.2'!A1" display="Tabell 1.2"/>
    <hyperlink ref="A33" location="'Noter og kommentarer'!A1" display="NOTER OG KOMMENTARER"/>
    <hyperlink ref="B23" location="'Tabell 4'!A1" display="Tabell 4"/>
    <hyperlink ref="B27" location="'Tabell 6'!A1" display="Tabell 6"/>
    <hyperlink ref="B30" location="'Tabell 8'!A1" display="Tabell 8"/>
    <hyperlink ref="B24" location="'Tabell 5.1'!A1" display="Tabell 5.1"/>
    <hyperlink ref="B25" location="'Tabell 5.2'!A1" display="Tabell 5.2"/>
    <hyperlink ref="B26" location="'Tabell 5.3'!A1" display="Tabell 5.3"/>
    <hyperlink ref="B28" location="'Tabell 7a'!A1" display="Tabell 7a"/>
    <hyperlink ref="B29"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196</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665.33699999999999</v>
      </c>
      <c r="C7" s="343">
        <v>1256.691</v>
      </c>
      <c r="D7" s="384">
        <f>IF(B7=0, "    ---- ", IF(ABS(ROUND(100/B7*C7-100,1))&lt;999,ROUND(100/B7*C7-100,1),IF(ROUND(100/B7*C7-100,1)&gt;999,999,-999)))</f>
        <v>88.9</v>
      </c>
      <c r="E7" s="11">
        <f>IFERROR(100/'Skjema total MA'!C7*C7,0)</f>
        <v>7.6166196573924039E-2</v>
      </c>
      <c r="F7" s="342"/>
      <c r="G7" s="343"/>
      <c r="H7" s="384"/>
      <c r="I7" s="177"/>
      <c r="J7" s="344">
        <v>665.33699999999999</v>
      </c>
      <c r="K7" s="345">
        <v>1256.691</v>
      </c>
      <c r="L7" s="463">
        <f>IF(J7=0, "    ---- ", IF(ABS(ROUND(100/J7*K7-100,1))&lt;999,ROUND(100/J7*K7-100,1),IF(ROUND(100/J7*K7-100,1)&gt;999,999,-999)))</f>
        <v>88.9</v>
      </c>
      <c r="M7" s="11">
        <f>IFERROR(100/'Skjema total MA'!I7*K7,0)</f>
        <v>3.408591835605964E-2</v>
      </c>
    </row>
    <row r="8" spans="1:15" ht="15.75" x14ac:dyDescent="0.2">
      <c r="A8" s="21" t="s">
        <v>26</v>
      </c>
      <c r="B8" s="316">
        <v>69.373000000000005</v>
      </c>
      <c r="C8" s="317">
        <v>1172.5229999999999</v>
      </c>
      <c r="D8" s="183">
        <f t="shared" ref="D8:D10" si="0">IF(B8=0, "    ---- ", IF(ABS(ROUND(100/B8*C8-100,1))&lt;999,ROUND(100/B8*C8-100,1),IF(ROUND(100/B8*C8-100,1)&gt;999,999,-999)))</f>
        <v>999</v>
      </c>
      <c r="E8" s="27">
        <f>IFERROR(100/'Skjema total MA'!C8*C8,0)</f>
        <v>0.11457858433424541</v>
      </c>
      <c r="F8" s="320"/>
      <c r="G8" s="321"/>
      <c r="H8" s="183"/>
      <c r="I8" s="193"/>
      <c r="J8" s="250">
        <v>69.373000000000005</v>
      </c>
      <c r="K8" s="322">
        <v>1172.5229999999999</v>
      </c>
      <c r="L8" s="183">
        <f t="shared" ref="L8:L9" si="1">IF(J8=0, "    ---- ", IF(ABS(ROUND(100/J8*K8-100,1))&lt;999,ROUND(100/J8*K8-100,1),IF(ROUND(100/J8*K8-100,1)&gt;999,999,-999)))</f>
        <v>999</v>
      </c>
      <c r="M8" s="27">
        <f>IFERROR(100/'Skjema total MA'!I8*K8,0)</f>
        <v>0.11457858433424541</v>
      </c>
    </row>
    <row r="9" spans="1:15" ht="15.75" x14ac:dyDescent="0.2">
      <c r="A9" s="21" t="s">
        <v>25</v>
      </c>
      <c r="B9" s="316">
        <v>595.96400000000006</v>
      </c>
      <c r="C9" s="317">
        <v>84.167999999999907</v>
      </c>
      <c r="D9" s="183">
        <f t="shared" si="0"/>
        <v>-85.9</v>
      </c>
      <c r="E9" s="27">
        <f>IFERROR(100/'Skjema total MA'!C9*C9,0)</f>
        <v>1.6230448566757552E-2</v>
      </c>
      <c r="F9" s="320"/>
      <c r="G9" s="321"/>
      <c r="H9" s="183"/>
      <c r="I9" s="193"/>
      <c r="J9" s="250">
        <v>595.96400000000006</v>
      </c>
      <c r="K9" s="322">
        <v>84.167999999999907</v>
      </c>
      <c r="L9" s="183">
        <f t="shared" si="1"/>
        <v>-85.9</v>
      </c>
      <c r="M9" s="27">
        <f>IFERROR(100/'Skjema total MA'!I9*K9,0)</f>
        <v>1.6230448566757552E-2</v>
      </c>
    </row>
    <row r="10" spans="1:15" ht="15.75" x14ac:dyDescent="0.2">
      <c r="A10" s="13" t="s">
        <v>466</v>
      </c>
      <c r="B10" s="346">
        <v>3783.1570000000002</v>
      </c>
      <c r="C10" s="347">
        <v>12214.147999999999</v>
      </c>
      <c r="D10" s="188">
        <f t="shared" si="0"/>
        <v>222.9</v>
      </c>
      <c r="E10" s="11">
        <f>IFERROR(100/'Skjema total MA'!C10*C10,0)</f>
        <v>5.5684206896780393E-2</v>
      </c>
      <c r="F10" s="346"/>
      <c r="G10" s="347"/>
      <c r="H10" s="188"/>
      <c r="I10" s="177"/>
      <c r="J10" s="344">
        <v>3783.1570000000002</v>
      </c>
      <c r="K10" s="345">
        <v>12214.147999999999</v>
      </c>
      <c r="L10" s="464">
        <f t="shared" ref="L10" si="2">IF(J10=0, "    ---- ", IF(ABS(ROUND(100/J10*K10-100,1))&lt;999,ROUND(100/J10*K10-100,1),IF(ROUND(100/J10*K10-100,1)&gt;999,999,-999)))</f>
        <v>222.9</v>
      </c>
      <c r="M10" s="11">
        <f>IFERROR(100/'Skjema total MA'!I10*K10,0)</f>
        <v>1.9201883377155126E-2</v>
      </c>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v>0</v>
      </c>
      <c r="C28" s="322">
        <v>1678.26</v>
      </c>
      <c r="D28" s="183" t="str">
        <f t="shared" ref="D28" si="3">IF(B28=0, "    ---- ", IF(ABS(ROUND(100/B28*C28-100,1))&lt;999,ROUND(100/B28*C28-100,1),IF(ROUND(100/B28*C28-100,1)&gt;999,999,-999)))</f>
        <v xml:space="preserve">    ---- </v>
      </c>
      <c r="E28" s="27">
        <f>IFERROR(100/'Skjema total MA'!C28*C28,0)</f>
        <v>0.23712505990469948</v>
      </c>
      <c r="F28" s="250"/>
      <c r="G28" s="322"/>
      <c r="H28" s="183"/>
      <c r="I28" s="27"/>
      <c r="J28" s="44">
        <f t="shared" ref="J28:K28" si="4">SUM(B28,F28)</f>
        <v>0</v>
      </c>
      <c r="K28" s="44">
        <f t="shared" si="4"/>
        <v>1678.26</v>
      </c>
      <c r="L28" s="274" t="str">
        <f t="shared" ref="L28" si="5">IF(J28=0, "    ---- ", IF(ABS(ROUND(100/J28*K28-100,1))&lt;999,ROUND(100/J28*K28-100,1),IF(ROUND(100/J28*K28-100,1)&gt;999,999,-999)))</f>
        <v xml:space="preserve">    ---- </v>
      </c>
      <c r="M28" s="23">
        <f>IFERROR(100/'Skjema total MA'!I28*K28,0)</f>
        <v>0.23712505990469948</v>
      </c>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117019.42</v>
      </c>
      <c r="C47" s="347">
        <f>SUM(C48:C49)</f>
        <v>106386.386</v>
      </c>
      <c r="D47" s="463">
        <f t="shared" ref="D47:D48" si="6">IF(B47=0, "    ---- ", IF(ABS(ROUND(100/B47*C47-100,1))&lt;999,ROUND(100/B47*C47-100,1),IF(ROUND(100/B47*C47-100,1)&gt;999,999,-999)))</f>
        <v>-9.1</v>
      </c>
      <c r="E47" s="11">
        <f>IFERROR(100/'Skjema total MA'!C47*C47,0)</f>
        <v>4.7431699596858952</v>
      </c>
      <c r="F47" s="162"/>
      <c r="G47" s="33"/>
      <c r="H47" s="176"/>
      <c r="I47" s="176"/>
      <c r="J47" s="37"/>
      <c r="K47" s="37"/>
      <c r="L47" s="176"/>
      <c r="M47" s="176"/>
      <c r="N47" s="165"/>
      <c r="O47" s="165"/>
    </row>
    <row r="48" spans="1:15" s="3" customFormat="1" ht="15.75" x14ac:dyDescent="0.2">
      <c r="A48" s="38" t="s">
        <v>476</v>
      </c>
      <c r="B48" s="316">
        <v>117019.42</v>
      </c>
      <c r="C48" s="317">
        <v>106386.386</v>
      </c>
      <c r="D48" s="274">
        <f t="shared" si="6"/>
        <v>-9.1</v>
      </c>
      <c r="E48" s="27">
        <f>IFERROR(100/'Skjema total MA'!C48*C48,0)</f>
        <v>9.5582778052524837</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14" priority="138">
      <formula>kvartal &lt; 4</formula>
    </cfRule>
  </conditionalFormatting>
  <conditionalFormatting sqref="B69">
    <cfRule type="expression" dxfId="613" priority="106">
      <formula>kvartal &lt; 4</formula>
    </cfRule>
  </conditionalFormatting>
  <conditionalFormatting sqref="C69">
    <cfRule type="expression" dxfId="612" priority="105">
      <formula>kvartal &lt; 4</formula>
    </cfRule>
  </conditionalFormatting>
  <conditionalFormatting sqref="B72">
    <cfRule type="expression" dxfId="611" priority="104">
      <formula>kvartal &lt; 4</formula>
    </cfRule>
  </conditionalFormatting>
  <conditionalFormatting sqref="C72">
    <cfRule type="expression" dxfId="610" priority="103">
      <formula>kvartal &lt; 4</formula>
    </cfRule>
  </conditionalFormatting>
  <conditionalFormatting sqref="B80">
    <cfRule type="expression" dxfId="609" priority="102">
      <formula>kvartal &lt; 4</formula>
    </cfRule>
  </conditionalFormatting>
  <conditionalFormatting sqref="C80">
    <cfRule type="expression" dxfId="608" priority="101">
      <formula>kvartal &lt; 4</formula>
    </cfRule>
  </conditionalFormatting>
  <conditionalFormatting sqref="B83">
    <cfRule type="expression" dxfId="607" priority="100">
      <formula>kvartal &lt; 4</formula>
    </cfRule>
  </conditionalFormatting>
  <conditionalFormatting sqref="C83">
    <cfRule type="expression" dxfId="606" priority="99">
      <formula>kvartal &lt; 4</formula>
    </cfRule>
  </conditionalFormatting>
  <conditionalFormatting sqref="B90">
    <cfRule type="expression" dxfId="605" priority="90">
      <formula>kvartal &lt; 4</formula>
    </cfRule>
  </conditionalFormatting>
  <conditionalFormatting sqref="C90">
    <cfRule type="expression" dxfId="604" priority="89">
      <formula>kvartal &lt; 4</formula>
    </cfRule>
  </conditionalFormatting>
  <conditionalFormatting sqref="B93">
    <cfRule type="expression" dxfId="603" priority="88">
      <formula>kvartal &lt; 4</formula>
    </cfRule>
  </conditionalFormatting>
  <conditionalFormatting sqref="C93">
    <cfRule type="expression" dxfId="602" priority="87">
      <formula>kvartal &lt; 4</formula>
    </cfRule>
  </conditionalFormatting>
  <conditionalFormatting sqref="B101">
    <cfRule type="expression" dxfId="601" priority="86">
      <formula>kvartal &lt; 4</formula>
    </cfRule>
  </conditionalFormatting>
  <conditionalFormatting sqref="C101">
    <cfRule type="expression" dxfId="600" priority="85">
      <formula>kvartal &lt; 4</formula>
    </cfRule>
  </conditionalFormatting>
  <conditionalFormatting sqref="B104">
    <cfRule type="expression" dxfId="599" priority="84">
      <formula>kvartal &lt; 4</formula>
    </cfRule>
  </conditionalFormatting>
  <conditionalFormatting sqref="C104">
    <cfRule type="expression" dxfId="598" priority="83">
      <formula>kvartal &lt; 4</formula>
    </cfRule>
  </conditionalFormatting>
  <conditionalFormatting sqref="B115">
    <cfRule type="expression" dxfId="597" priority="82">
      <formula>kvartal &lt; 4</formula>
    </cfRule>
  </conditionalFormatting>
  <conditionalFormatting sqref="C115">
    <cfRule type="expression" dxfId="596" priority="81">
      <formula>kvartal &lt; 4</formula>
    </cfRule>
  </conditionalFormatting>
  <conditionalFormatting sqref="B123">
    <cfRule type="expression" dxfId="595" priority="80">
      <formula>kvartal &lt; 4</formula>
    </cfRule>
  </conditionalFormatting>
  <conditionalFormatting sqref="C123">
    <cfRule type="expression" dxfId="594" priority="79">
      <formula>kvartal &lt; 4</formula>
    </cfRule>
  </conditionalFormatting>
  <conditionalFormatting sqref="F70">
    <cfRule type="expression" dxfId="593" priority="78">
      <formula>kvartal &lt; 4</formula>
    </cfRule>
  </conditionalFormatting>
  <conditionalFormatting sqref="G70">
    <cfRule type="expression" dxfId="592" priority="77">
      <formula>kvartal &lt; 4</formula>
    </cfRule>
  </conditionalFormatting>
  <conditionalFormatting sqref="F71:G71">
    <cfRule type="expression" dxfId="591" priority="76">
      <formula>kvartal &lt; 4</formula>
    </cfRule>
  </conditionalFormatting>
  <conditionalFormatting sqref="F73:G74">
    <cfRule type="expression" dxfId="590" priority="75">
      <formula>kvartal &lt; 4</formula>
    </cfRule>
  </conditionalFormatting>
  <conditionalFormatting sqref="F81:G82">
    <cfRule type="expression" dxfId="589" priority="74">
      <formula>kvartal &lt; 4</formula>
    </cfRule>
  </conditionalFormatting>
  <conditionalFormatting sqref="F84:G85">
    <cfRule type="expression" dxfId="588" priority="73">
      <formula>kvartal &lt; 4</formula>
    </cfRule>
  </conditionalFormatting>
  <conditionalFormatting sqref="F91:G92">
    <cfRule type="expression" dxfId="587" priority="68">
      <formula>kvartal &lt; 4</formula>
    </cfRule>
  </conditionalFormatting>
  <conditionalFormatting sqref="F94:G95">
    <cfRule type="expression" dxfId="586" priority="67">
      <formula>kvartal &lt; 4</formula>
    </cfRule>
  </conditionalFormatting>
  <conditionalFormatting sqref="F102:G103">
    <cfRule type="expression" dxfId="585" priority="66">
      <formula>kvartal &lt; 4</formula>
    </cfRule>
  </conditionalFormatting>
  <conditionalFormatting sqref="F105:G106">
    <cfRule type="expression" dxfId="584" priority="65">
      <formula>kvartal &lt; 4</formula>
    </cfRule>
  </conditionalFormatting>
  <conditionalFormatting sqref="F115">
    <cfRule type="expression" dxfId="583" priority="64">
      <formula>kvartal &lt; 4</formula>
    </cfRule>
  </conditionalFormatting>
  <conditionalFormatting sqref="G115">
    <cfRule type="expression" dxfId="582" priority="63">
      <formula>kvartal &lt; 4</formula>
    </cfRule>
  </conditionalFormatting>
  <conditionalFormatting sqref="F123:G123">
    <cfRule type="expression" dxfId="581" priority="62">
      <formula>kvartal &lt; 4</formula>
    </cfRule>
  </conditionalFormatting>
  <conditionalFormatting sqref="F69:G69">
    <cfRule type="expression" dxfId="580" priority="61">
      <formula>kvartal &lt; 4</formula>
    </cfRule>
  </conditionalFormatting>
  <conditionalFormatting sqref="F72:G72">
    <cfRule type="expression" dxfId="579" priority="60">
      <formula>kvartal &lt; 4</formula>
    </cfRule>
  </conditionalFormatting>
  <conditionalFormatting sqref="F80:G80">
    <cfRule type="expression" dxfId="578" priority="59">
      <formula>kvartal &lt; 4</formula>
    </cfRule>
  </conditionalFormatting>
  <conditionalFormatting sqref="F83:G83">
    <cfRule type="expression" dxfId="577" priority="58">
      <formula>kvartal &lt; 4</formula>
    </cfRule>
  </conditionalFormatting>
  <conditionalFormatting sqref="F90:G90">
    <cfRule type="expression" dxfId="576" priority="52">
      <formula>kvartal &lt; 4</formula>
    </cfRule>
  </conditionalFormatting>
  <conditionalFormatting sqref="F93">
    <cfRule type="expression" dxfId="575" priority="51">
      <formula>kvartal &lt; 4</formula>
    </cfRule>
  </conditionalFormatting>
  <conditionalFormatting sqref="G93">
    <cfRule type="expression" dxfId="574" priority="50">
      <formula>kvartal &lt; 4</formula>
    </cfRule>
  </conditionalFormatting>
  <conditionalFormatting sqref="F101">
    <cfRule type="expression" dxfId="573" priority="49">
      <formula>kvartal &lt; 4</formula>
    </cfRule>
  </conditionalFormatting>
  <conditionalFormatting sqref="G101">
    <cfRule type="expression" dxfId="572" priority="48">
      <formula>kvartal &lt; 4</formula>
    </cfRule>
  </conditionalFormatting>
  <conditionalFormatting sqref="G104">
    <cfRule type="expression" dxfId="571" priority="47">
      <formula>kvartal &lt; 4</formula>
    </cfRule>
  </conditionalFormatting>
  <conditionalFormatting sqref="F104">
    <cfRule type="expression" dxfId="570" priority="46">
      <formula>kvartal &lt; 4</formula>
    </cfRule>
  </conditionalFormatting>
  <conditionalFormatting sqref="J69:K73">
    <cfRule type="expression" dxfId="569" priority="45">
      <formula>kvartal &lt; 4</formula>
    </cfRule>
  </conditionalFormatting>
  <conditionalFormatting sqref="J74:K74">
    <cfRule type="expression" dxfId="568" priority="44">
      <formula>kvartal &lt; 4</formula>
    </cfRule>
  </conditionalFormatting>
  <conditionalFormatting sqref="J80:K85">
    <cfRule type="expression" dxfId="567" priority="43">
      <formula>kvartal &lt; 4</formula>
    </cfRule>
  </conditionalFormatting>
  <conditionalFormatting sqref="J90:K95">
    <cfRule type="expression" dxfId="566" priority="40">
      <formula>kvartal &lt; 4</formula>
    </cfRule>
  </conditionalFormatting>
  <conditionalFormatting sqref="J101:K106">
    <cfRule type="expression" dxfId="565" priority="39">
      <formula>kvartal &lt; 4</formula>
    </cfRule>
  </conditionalFormatting>
  <conditionalFormatting sqref="J115:K115">
    <cfRule type="expression" dxfId="564" priority="38">
      <formula>kvartal &lt; 4</formula>
    </cfRule>
  </conditionalFormatting>
  <conditionalFormatting sqref="J123:K123">
    <cfRule type="expression" dxfId="563" priority="37">
      <formula>kvartal &lt; 4</formula>
    </cfRule>
  </conditionalFormatting>
  <conditionalFormatting sqref="A50:A52">
    <cfRule type="expression" dxfId="562" priority="18">
      <formula>kvartal &lt; 4</formula>
    </cfRule>
  </conditionalFormatting>
  <conditionalFormatting sqref="A69:A74">
    <cfRule type="expression" dxfId="561" priority="6">
      <formula>kvartal &lt; 4</formula>
    </cfRule>
  </conditionalFormatting>
  <conditionalFormatting sqref="A115">
    <cfRule type="expression" dxfId="560" priority="5">
      <formula>kvartal &lt; 4</formula>
    </cfRule>
  </conditionalFormatting>
  <conditionalFormatting sqref="A123">
    <cfRule type="expression" dxfId="559" priority="4">
      <formula>kvartal &lt; 4</formula>
    </cfRule>
  </conditionalFormatting>
  <conditionalFormatting sqref="A80:A85">
    <cfRule type="expression" dxfId="558" priority="3">
      <formula>kvartal &lt; 4</formula>
    </cfRule>
  </conditionalFormatting>
  <conditionalFormatting sqref="A90:A95">
    <cfRule type="expression" dxfId="557" priority="2">
      <formula>kvartal &lt; 4</formula>
    </cfRule>
  </conditionalFormatting>
  <conditionalFormatting sqref="A101:A106">
    <cfRule type="expression" dxfId="556"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100</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19934</v>
      </c>
      <c r="C47" s="347">
        <f>SUM(C48:C49)</f>
        <v>21888.014999999999</v>
      </c>
      <c r="D47" s="463">
        <f t="shared" ref="D47:D57" si="0">IF(B47=0, "    ---- ", IF(ABS(ROUND(100/B47*C47-100,1))&lt;999,ROUND(100/B47*C47-100,1),IF(ROUND(100/B47*C47-100,1)&gt;999,999,-999)))</f>
        <v>9.8000000000000007</v>
      </c>
      <c r="E47" s="11">
        <f>IFERROR(100/'Skjema total MA'!C47*C47,0)</f>
        <v>0.97586335177467409</v>
      </c>
      <c r="F47" s="162"/>
      <c r="G47" s="33"/>
      <c r="H47" s="176"/>
      <c r="I47" s="176"/>
      <c r="J47" s="37"/>
      <c r="K47" s="37"/>
      <c r="L47" s="176"/>
      <c r="M47" s="176"/>
      <c r="N47" s="165"/>
      <c r="O47" s="165"/>
    </row>
    <row r="48" spans="1:15" s="3" customFormat="1" ht="15.75" x14ac:dyDescent="0.2">
      <c r="A48" s="38" t="s">
        <v>476</v>
      </c>
      <c r="B48" s="316">
        <v>19934</v>
      </c>
      <c r="C48" s="317">
        <v>21888.014999999999</v>
      </c>
      <c r="D48" s="274">
        <f t="shared" si="0"/>
        <v>9.8000000000000007</v>
      </c>
      <c r="E48" s="27">
        <f>IFERROR(100/'Skjema total MA'!C48*C48,0)</f>
        <v>1.9665272582483764</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101</v>
      </c>
      <c r="C56" s="347">
        <f>SUM(C57:C58)</f>
        <v>160</v>
      </c>
      <c r="D56" s="464">
        <f t="shared" si="0"/>
        <v>58.4</v>
      </c>
      <c r="E56" s="11">
        <f>IFERROR(100/'Skjema total MA'!C56*C56,0)</f>
        <v>0.38075199661587628</v>
      </c>
      <c r="F56" s="162"/>
      <c r="G56" s="33"/>
      <c r="H56" s="162"/>
      <c r="I56" s="162"/>
      <c r="J56" s="33"/>
      <c r="K56" s="33"/>
      <c r="L56" s="176"/>
      <c r="M56" s="176"/>
      <c r="N56" s="165"/>
      <c r="O56" s="165"/>
    </row>
    <row r="57" spans="1:15" s="3" customFormat="1" ht="15.75" x14ac:dyDescent="0.2">
      <c r="A57" s="38" t="s">
        <v>476</v>
      </c>
      <c r="B57" s="316">
        <v>101</v>
      </c>
      <c r="C57" s="317">
        <v>160</v>
      </c>
      <c r="D57" s="274">
        <f t="shared" si="0"/>
        <v>58.4</v>
      </c>
      <c r="E57" s="27">
        <f>IFERROR(100/'Skjema total MA'!C57*C57,0)</f>
        <v>0.38075199661587628</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55" priority="138">
      <formula>kvartal &lt; 4</formula>
    </cfRule>
  </conditionalFormatting>
  <conditionalFormatting sqref="B69">
    <cfRule type="expression" dxfId="554" priority="106">
      <formula>kvartal &lt; 4</formula>
    </cfRule>
  </conditionalFormatting>
  <conditionalFormatting sqref="C69">
    <cfRule type="expression" dxfId="553" priority="105">
      <formula>kvartal &lt; 4</formula>
    </cfRule>
  </conditionalFormatting>
  <conditionalFormatting sqref="B72">
    <cfRule type="expression" dxfId="552" priority="104">
      <formula>kvartal &lt; 4</formula>
    </cfRule>
  </conditionalFormatting>
  <conditionalFormatting sqref="C72">
    <cfRule type="expression" dxfId="551" priority="103">
      <formula>kvartal &lt; 4</formula>
    </cfRule>
  </conditionalFormatting>
  <conditionalFormatting sqref="B80">
    <cfRule type="expression" dxfId="550" priority="102">
      <formula>kvartal &lt; 4</formula>
    </cfRule>
  </conditionalFormatting>
  <conditionalFormatting sqref="C80">
    <cfRule type="expression" dxfId="549" priority="101">
      <formula>kvartal &lt; 4</formula>
    </cfRule>
  </conditionalFormatting>
  <conditionalFormatting sqref="B83">
    <cfRule type="expression" dxfId="548" priority="100">
      <formula>kvartal &lt; 4</formula>
    </cfRule>
  </conditionalFormatting>
  <conditionalFormatting sqref="C83">
    <cfRule type="expression" dxfId="547" priority="99">
      <formula>kvartal &lt; 4</formula>
    </cfRule>
  </conditionalFormatting>
  <conditionalFormatting sqref="B90">
    <cfRule type="expression" dxfId="546" priority="90">
      <formula>kvartal &lt; 4</formula>
    </cfRule>
  </conditionalFormatting>
  <conditionalFormatting sqref="C90">
    <cfRule type="expression" dxfId="545" priority="89">
      <formula>kvartal &lt; 4</formula>
    </cfRule>
  </conditionalFormatting>
  <conditionalFormatting sqref="B93">
    <cfRule type="expression" dxfId="544" priority="88">
      <formula>kvartal &lt; 4</formula>
    </cfRule>
  </conditionalFormatting>
  <conditionalFormatting sqref="C93">
    <cfRule type="expression" dxfId="543" priority="87">
      <formula>kvartal &lt; 4</formula>
    </cfRule>
  </conditionalFormatting>
  <conditionalFormatting sqref="B101">
    <cfRule type="expression" dxfId="542" priority="86">
      <formula>kvartal &lt; 4</formula>
    </cfRule>
  </conditionalFormatting>
  <conditionalFormatting sqref="C101">
    <cfRule type="expression" dxfId="541" priority="85">
      <formula>kvartal &lt; 4</formula>
    </cfRule>
  </conditionalFormatting>
  <conditionalFormatting sqref="B104">
    <cfRule type="expression" dxfId="540" priority="84">
      <formula>kvartal &lt; 4</formula>
    </cfRule>
  </conditionalFormatting>
  <conditionalFormatting sqref="C104">
    <cfRule type="expression" dxfId="539" priority="83">
      <formula>kvartal &lt; 4</formula>
    </cfRule>
  </conditionalFormatting>
  <conditionalFormatting sqref="B115">
    <cfRule type="expression" dxfId="538" priority="82">
      <formula>kvartal &lt; 4</formula>
    </cfRule>
  </conditionalFormatting>
  <conditionalFormatting sqref="C115">
    <cfRule type="expression" dxfId="537" priority="81">
      <formula>kvartal &lt; 4</formula>
    </cfRule>
  </conditionalFormatting>
  <conditionalFormatting sqref="B123">
    <cfRule type="expression" dxfId="536" priority="80">
      <formula>kvartal &lt; 4</formula>
    </cfRule>
  </conditionalFormatting>
  <conditionalFormatting sqref="C123">
    <cfRule type="expression" dxfId="535" priority="79">
      <formula>kvartal &lt; 4</formula>
    </cfRule>
  </conditionalFormatting>
  <conditionalFormatting sqref="F70">
    <cfRule type="expression" dxfId="534" priority="78">
      <formula>kvartal &lt; 4</formula>
    </cfRule>
  </conditionalFormatting>
  <conditionalFormatting sqref="G70">
    <cfRule type="expression" dxfId="533" priority="77">
      <formula>kvartal &lt; 4</formula>
    </cfRule>
  </conditionalFormatting>
  <conditionalFormatting sqref="F71:G71">
    <cfRule type="expression" dxfId="532" priority="76">
      <formula>kvartal &lt; 4</formula>
    </cfRule>
  </conditionalFormatting>
  <conditionalFormatting sqref="F73:G74">
    <cfRule type="expression" dxfId="531" priority="75">
      <formula>kvartal &lt; 4</formula>
    </cfRule>
  </conditionalFormatting>
  <conditionalFormatting sqref="F81:G82">
    <cfRule type="expression" dxfId="530" priority="74">
      <formula>kvartal &lt; 4</formula>
    </cfRule>
  </conditionalFormatting>
  <conditionalFormatting sqref="F84:G85">
    <cfRule type="expression" dxfId="529" priority="73">
      <formula>kvartal &lt; 4</formula>
    </cfRule>
  </conditionalFormatting>
  <conditionalFormatting sqref="F91:G92">
    <cfRule type="expression" dxfId="528" priority="68">
      <formula>kvartal &lt; 4</formula>
    </cfRule>
  </conditionalFormatting>
  <conditionalFormatting sqref="F94:G95">
    <cfRule type="expression" dxfId="527" priority="67">
      <formula>kvartal &lt; 4</formula>
    </cfRule>
  </conditionalFormatting>
  <conditionalFormatting sqref="F102:G103">
    <cfRule type="expression" dxfId="526" priority="66">
      <formula>kvartal &lt; 4</formula>
    </cfRule>
  </conditionalFormatting>
  <conditionalFormatting sqref="F105:G106">
    <cfRule type="expression" dxfId="525" priority="65">
      <formula>kvartal &lt; 4</formula>
    </cfRule>
  </conditionalFormatting>
  <conditionalFormatting sqref="F115">
    <cfRule type="expression" dxfId="524" priority="64">
      <formula>kvartal &lt; 4</formula>
    </cfRule>
  </conditionalFormatting>
  <conditionalFormatting sqref="G115">
    <cfRule type="expression" dxfId="523" priority="63">
      <formula>kvartal &lt; 4</formula>
    </cfRule>
  </conditionalFormatting>
  <conditionalFormatting sqref="F123:G123">
    <cfRule type="expression" dxfId="522" priority="62">
      <formula>kvartal &lt; 4</formula>
    </cfRule>
  </conditionalFormatting>
  <conditionalFormatting sqref="F69:G69">
    <cfRule type="expression" dxfId="521" priority="61">
      <formula>kvartal &lt; 4</formula>
    </cfRule>
  </conditionalFormatting>
  <conditionalFormatting sqref="F72:G72">
    <cfRule type="expression" dxfId="520" priority="60">
      <formula>kvartal &lt; 4</formula>
    </cfRule>
  </conditionalFormatting>
  <conditionalFormatting sqref="F80:G80">
    <cfRule type="expression" dxfId="519" priority="59">
      <formula>kvartal &lt; 4</formula>
    </cfRule>
  </conditionalFormatting>
  <conditionalFormatting sqref="F83:G83">
    <cfRule type="expression" dxfId="518" priority="58">
      <formula>kvartal &lt; 4</formula>
    </cfRule>
  </conditionalFormatting>
  <conditionalFormatting sqref="F90:G90">
    <cfRule type="expression" dxfId="517" priority="52">
      <formula>kvartal &lt; 4</formula>
    </cfRule>
  </conditionalFormatting>
  <conditionalFormatting sqref="F93">
    <cfRule type="expression" dxfId="516" priority="51">
      <formula>kvartal &lt; 4</formula>
    </cfRule>
  </conditionalFormatting>
  <conditionalFormatting sqref="G93">
    <cfRule type="expression" dxfId="515" priority="50">
      <formula>kvartal &lt; 4</formula>
    </cfRule>
  </conditionalFormatting>
  <conditionalFormatting sqref="F101">
    <cfRule type="expression" dxfId="514" priority="49">
      <formula>kvartal &lt; 4</formula>
    </cfRule>
  </conditionalFormatting>
  <conditionalFormatting sqref="G101">
    <cfRule type="expression" dxfId="513" priority="48">
      <formula>kvartal &lt; 4</formula>
    </cfRule>
  </conditionalFormatting>
  <conditionalFormatting sqref="G104">
    <cfRule type="expression" dxfId="512" priority="47">
      <formula>kvartal &lt; 4</formula>
    </cfRule>
  </conditionalFormatting>
  <conditionalFormatting sqref="F104">
    <cfRule type="expression" dxfId="511" priority="46">
      <formula>kvartal &lt; 4</formula>
    </cfRule>
  </conditionalFormatting>
  <conditionalFormatting sqref="J69:K73">
    <cfRule type="expression" dxfId="510" priority="45">
      <formula>kvartal &lt; 4</formula>
    </cfRule>
  </conditionalFormatting>
  <conditionalFormatting sqref="J74:K74">
    <cfRule type="expression" dxfId="509" priority="44">
      <formula>kvartal &lt; 4</formula>
    </cfRule>
  </conditionalFormatting>
  <conditionalFormatting sqref="J80:K85">
    <cfRule type="expression" dxfId="508" priority="43">
      <formula>kvartal &lt; 4</formula>
    </cfRule>
  </conditionalFormatting>
  <conditionalFormatting sqref="J90:K95">
    <cfRule type="expression" dxfId="507" priority="40">
      <formula>kvartal &lt; 4</formula>
    </cfRule>
  </conditionalFormatting>
  <conditionalFormatting sqref="J101:K106">
    <cfRule type="expression" dxfId="506" priority="39">
      <formula>kvartal &lt; 4</formula>
    </cfRule>
  </conditionalFormatting>
  <conditionalFormatting sqref="J115:K115">
    <cfRule type="expression" dxfId="505" priority="38">
      <formula>kvartal &lt; 4</formula>
    </cfRule>
  </conditionalFormatting>
  <conditionalFormatting sqref="J123:K123">
    <cfRule type="expression" dxfId="504" priority="37">
      <formula>kvartal &lt; 4</formula>
    </cfRule>
  </conditionalFormatting>
  <conditionalFormatting sqref="A50:A52">
    <cfRule type="expression" dxfId="503" priority="18">
      <formula>kvartal &lt; 4</formula>
    </cfRule>
  </conditionalFormatting>
  <conditionalFormatting sqref="A69:A74">
    <cfRule type="expression" dxfId="502" priority="6">
      <formula>kvartal &lt; 4</formula>
    </cfRule>
  </conditionalFormatting>
  <conditionalFormatting sqref="A115">
    <cfRule type="expression" dxfId="501" priority="5">
      <formula>kvartal &lt; 4</formula>
    </cfRule>
  </conditionalFormatting>
  <conditionalFormatting sqref="A123">
    <cfRule type="expression" dxfId="500" priority="4">
      <formula>kvartal &lt; 4</formula>
    </cfRule>
  </conditionalFormatting>
  <conditionalFormatting sqref="A80:A85">
    <cfRule type="expression" dxfId="499" priority="3">
      <formula>kvartal &lt; 4</formula>
    </cfRule>
  </conditionalFormatting>
  <conditionalFormatting sqref="A90:A95">
    <cfRule type="expression" dxfId="498" priority="2">
      <formula>kvartal &lt; 4</formula>
    </cfRule>
  </conditionalFormatting>
  <conditionalFormatting sqref="A101:A106">
    <cfRule type="expression" dxfId="497"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172</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727" t="s">
        <v>457</v>
      </c>
      <c r="D45" s="179" t="s">
        <v>3</v>
      </c>
      <c r="E45" s="179" t="s">
        <v>30</v>
      </c>
      <c r="F45" s="192"/>
      <c r="G45" s="192"/>
      <c r="H45" s="191"/>
      <c r="I45" s="191"/>
      <c r="J45" s="192"/>
      <c r="K45" s="192"/>
      <c r="L45" s="191"/>
      <c r="M45" s="191"/>
      <c r="N45" s="165"/>
      <c r="O45" s="165"/>
    </row>
    <row r="46" spans="1:15" s="3" customFormat="1" x14ac:dyDescent="0.2">
      <c r="A46" s="724"/>
      <c r="B46" s="260"/>
      <c r="C46" s="728"/>
      <c r="D46" s="261" t="s">
        <v>4</v>
      </c>
      <c r="E46" s="173" t="s">
        <v>31</v>
      </c>
      <c r="F46" s="191"/>
      <c r="G46" s="191"/>
      <c r="H46" s="191"/>
      <c r="I46" s="191"/>
      <c r="J46" s="191"/>
      <c r="K46" s="191"/>
      <c r="L46" s="191"/>
      <c r="M46" s="191"/>
      <c r="N46" s="165"/>
      <c r="O46" s="165"/>
    </row>
    <row r="47" spans="1:15" s="3" customFormat="1" ht="15.75" x14ac:dyDescent="0.2">
      <c r="A47" s="14" t="s">
        <v>24</v>
      </c>
      <c r="B47" s="346">
        <f>SUM(B48:B49)</f>
        <v>2312</v>
      </c>
      <c r="C47" s="347">
        <f>SUM(C48:C49)</f>
        <v>620</v>
      </c>
      <c r="D47" s="463">
        <f t="shared" ref="D47:D58" si="0">IF(B47=0, "    ---- ", IF(ABS(ROUND(100/B47*C47-100,1))&lt;999,ROUND(100/B47*C47-100,1),IF(ROUND(100/B47*C47-100,1)&gt;999,999,-999)))</f>
        <v>-73.2</v>
      </c>
      <c r="E47" s="11">
        <f>IFERROR(100/'Skjema total MA'!C47*C47,0)</f>
        <v>2.7642309186113861E-2</v>
      </c>
      <c r="F47" s="162"/>
      <c r="G47" s="33"/>
      <c r="H47" s="176"/>
      <c r="I47" s="176"/>
      <c r="J47" s="37"/>
      <c r="K47" s="37"/>
      <c r="L47" s="176"/>
      <c r="M47" s="176"/>
      <c r="N47" s="165"/>
      <c r="O47" s="165"/>
    </row>
    <row r="48" spans="1:15" s="3" customFormat="1" ht="15.75" x14ac:dyDescent="0.2">
      <c r="A48" s="38" t="s">
        <v>476</v>
      </c>
      <c r="B48" s="316">
        <v>2312</v>
      </c>
      <c r="C48" s="725">
        <v>620</v>
      </c>
      <c r="D48" s="274">
        <f t="shared" si="0"/>
        <v>-73.2</v>
      </c>
      <c r="E48" s="27">
        <f>IFERROR(100/'Skjema total MA'!C48*C48,0)</f>
        <v>5.5703858943535689E-2</v>
      </c>
      <c r="F48" s="162"/>
      <c r="G48" s="33"/>
      <c r="H48" s="162"/>
      <c r="I48" s="162"/>
      <c r="J48" s="33"/>
      <c r="K48" s="33"/>
      <c r="L48" s="176"/>
      <c r="M48" s="176"/>
      <c r="N48" s="165"/>
      <c r="O48" s="165"/>
    </row>
    <row r="49" spans="1:15" s="3" customFormat="1" ht="15.75" x14ac:dyDescent="0.2">
      <c r="A49" s="38" t="s">
        <v>477</v>
      </c>
      <c r="B49" s="44">
        <v>0</v>
      </c>
      <c r="C49" s="322">
        <v>0</v>
      </c>
      <c r="D49" s="274" t="str">
        <f>IF(B49=0, "    ---- ", IF(ABS(ROUND(100/B49*C49-100,1))&lt;999,ROUND(100/B49*C49-100,1),IF(ROUND(100/B49*C49-100,1)&gt;999,999,-999)))</f>
        <v xml:space="preserve">    ---- </v>
      </c>
      <c r="E49" s="27">
        <f>IFERROR(100/'Skjema total MA'!C49*C49,0)</f>
        <v>0</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0</v>
      </c>
      <c r="C53" s="347">
        <f>SUM(C54:C55)</f>
        <v>68</v>
      </c>
      <c r="D53" s="464" t="str">
        <f t="shared" si="0"/>
        <v xml:space="preserve">    ---- </v>
      </c>
      <c r="E53" s="11">
        <f>IFERROR(100/'Skjema total MA'!C53*C53,0)</f>
        <v>0.14935524439196321</v>
      </c>
      <c r="F53" s="162"/>
      <c r="G53" s="33"/>
      <c r="H53" s="162"/>
      <c r="I53" s="162"/>
      <c r="J53" s="33"/>
      <c r="K53" s="33"/>
      <c r="L53" s="176"/>
      <c r="M53" s="176"/>
      <c r="N53" s="165"/>
      <c r="O53" s="165"/>
    </row>
    <row r="54" spans="1:15" s="3" customFormat="1" ht="15.75" x14ac:dyDescent="0.2">
      <c r="A54" s="38" t="s">
        <v>476</v>
      </c>
      <c r="B54" s="316">
        <v>0</v>
      </c>
      <c r="C54" s="317">
        <v>68</v>
      </c>
      <c r="D54" s="274" t="str">
        <f t="shared" si="0"/>
        <v xml:space="preserve">    ---- </v>
      </c>
      <c r="E54" s="27">
        <f>IFERROR(100/'Skjema total MA'!C54*C54,0)</f>
        <v>0.14935524439196321</v>
      </c>
      <c r="F54" s="162"/>
      <c r="G54" s="33"/>
      <c r="H54" s="162"/>
      <c r="I54" s="162"/>
      <c r="J54" s="33"/>
      <c r="K54" s="33"/>
      <c r="L54" s="176"/>
      <c r="M54" s="176"/>
      <c r="N54" s="165"/>
      <c r="O54" s="165"/>
    </row>
    <row r="55" spans="1:15" s="3" customFormat="1" ht="15.75" x14ac:dyDescent="0.2">
      <c r="A55" s="38" t="s">
        <v>477</v>
      </c>
      <c r="B55" s="316">
        <v>0</v>
      </c>
      <c r="C55" s="317">
        <v>0</v>
      </c>
      <c r="D55" s="274" t="str">
        <f t="shared" si="0"/>
        <v xml:space="preserve">    ---- </v>
      </c>
      <c r="E55" s="27">
        <f>IFERROR(100/'Skjema total MA'!C55*C55,0)</f>
        <v>0</v>
      </c>
      <c r="F55" s="162"/>
      <c r="G55" s="33"/>
      <c r="H55" s="162"/>
      <c r="I55" s="162"/>
      <c r="J55" s="33"/>
      <c r="K55" s="33"/>
      <c r="L55" s="176"/>
      <c r="M55" s="176"/>
      <c r="N55" s="165"/>
      <c r="O55" s="165"/>
    </row>
    <row r="56" spans="1:15" s="3" customFormat="1" ht="15.75" x14ac:dyDescent="0.2">
      <c r="A56" s="39" t="s">
        <v>490</v>
      </c>
      <c r="B56" s="346">
        <f>SUM(B57:B58)</f>
        <v>0</v>
      </c>
      <c r="C56" s="347">
        <f>SUM(C57:C58)</f>
        <v>1</v>
      </c>
      <c r="D56" s="464" t="str">
        <f t="shared" si="0"/>
        <v xml:space="preserve">    ---- </v>
      </c>
      <c r="E56" s="11">
        <f>IFERROR(100/'Skjema total MA'!C56*C56,0)</f>
        <v>2.3796999788492268E-3</v>
      </c>
      <c r="F56" s="162"/>
      <c r="G56" s="33"/>
      <c r="H56" s="162"/>
      <c r="I56" s="162"/>
      <c r="J56" s="33"/>
      <c r="K56" s="33"/>
      <c r="L56" s="176"/>
      <c r="M56" s="176"/>
      <c r="N56" s="165"/>
      <c r="O56" s="165"/>
    </row>
    <row r="57" spans="1:15" s="3" customFormat="1" ht="15.75" x14ac:dyDescent="0.2">
      <c r="A57" s="38" t="s">
        <v>476</v>
      </c>
      <c r="B57" s="316">
        <v>0</v>
      </c>
      <c r="C57" s="317">
        <v>1</v>
      </c>
      <c r="D57" s="274" t="str">
        <f t="shared" si="0"/>
        <v xml:space="preserve">    ---- </v>
      </c>
      <c r="E57" s="27">
        <f>IFERROR(100/'Skjema total MA'!C57*C57,0)</f>
        <v>2.3796999788492268E-3</v>
      </c>
      <c r="F57" s="162"/>
      <c r="G57" s="33"/>
      <c r="H57" s="162"/>
      <c r="I57" s="162"/>
      <c r="J57" s="33"/>
      <c r="K57" s="33"/>
      <c r="L57" s="176"/>
      <c r="M57" s="176"/>
      <c r="N57" s="165"/>
      <c r="O57" s="165"/>
    </row>
    <row r="58" spans="1:15" s="3" customFormat="1" ht="15.75" x14ac:dyDescent="0.2">
      <c r="A58" s="46" t="s">
        <v>477</v>
      </c>
      <c r="B58" s="318">
        <v>0</v>
      </c>
      <c r="C58" s="319">
        <v>0</v>
      </c>
      <c r="D58" s="275" t="str">
        <f t="shared" si="0"/>
        <v xml:space="preserve">    ---- </v>
      </c>
      <c r="E58" s="22">
        <f>IFERROR(100/'Skjema total MA'!C58*C58,0)</f>
        <v>0</v>
      </c>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96" priority="138">
      <formula>kvartal &lt; 4</formula>
    </cfRule>
  </conditionalFormatting>
  <conditionalFormatting sqref="B69">
    <cfRule type="expression" dxfId="495" priority="106">
      <formula>kvartal &lt; 4</formula>
    </cfRule>
  </conditionalFormatting>
  <conditionalFormatting sqref="C69">
    <cfRule type="expression" dxfId="494" priority="105">
      <formula>kvartal &lt; 4</formula>
    </cfRule>
  </conditionalFormatting>
  <conditionalFormatting sqref="B72">
    <cfRule type="expression" dxfId="493" priority="104">
      <formula>kvartal &lt; 4</formula>
    </cfRule>
  </conditionalFormatting>
  <conditionalFormatting sqref="C72">
    <cfRule type="expression" dxfId="492" priority="103">
      <formula>kvartal &lt; 4</formula>
    </cfRule>
  </conditionalFormatting>
  <conditionalFormatting sqref="B80">
    <cfRule type="expression" dxfId="491" priority="102">
      <formula>kvartal &lt; 4</formula>
    </cfRule>
  </conditionalFormatting>
  <conditionalFormatting sqref="C80">
    <cfRule type="expression" dxfId="490" priority="101">
      <formula>kvartal &lt; 4</formula>
    </cfRule>
  </conditionalFormatting>
  <conditionalFormatting sqref="B83">
    <cfRule type="expression" dxfId="489" priority="100">
      <formula>kvartal &lt; 4</formula>
    </cfRule>
  </conditionalFormatting>
  <conditionalFormatting sqref="C83">
    <cfRule type="expression" dxfId="488" priority="99">
      <formula>kvartal &lt; 4</formula>
    </cfRule>
  </conditionalFormatting>
  <conditionalFormatting sqref="B90">
    <cfRule type="expression" dxfId="487" priority="90">
      <formula>kvartal &lt; 4</formula>
    </cfRule>
  </conditionalFormatting>
  <conditionalFormatting sqref="C90">
    <cfRule type="expression" dxfId="486" priority="89">
      <formula>kvartal &lt; 4</formula>
    </cfRule>
  </conditionalFormatting>
  <conditionalFormatting sqref="B93">
    <cfRule type="expression" dxfId="485" priority="88">
      <formula>kvartal &lt; 4</formula>
    </cfRule>
  </conditionalFormatting>
  <conditionalFormatting sqref="C93">
    <cfRule type="expression" dxfId="484" priority="87">
      <formula>kvartal &lt; 4</formula>
    </cfRule>
  </conditionalFormatting>
  <conditionalFormatting sqref="B101">
    <cfRule type="expression" dxfId="483" priority="86">
      <formula>kvartal &lt; 4</formula>
    </cfRule>
  </conditionalFormatting>
  <conditionalFormatting sqref="C101">
    <cfRule type="expression" dxfId="482" priority="85">
      <formula>kvartal &lt; 4</formula>
    </cfRule>
  </conditionalFormatting>
  <conditionalFormatting sqref="B104">
    <cfRule type="expression" dxfId="481" priority="84">
      <formula>kvartal &lt; 4</formula>
    </cfRule>
  </conditionalFormatting>
  <conditionalFormatting sqref="C104">
    <cfRule type="expression" dxfId="480" priority="83">
      <formula>kvartal &lt; 4</formula>
    </cfRule>
  </conditionalFormatting>
  <conditionalFormatting sqref="B115">
    <cfRule type="expression" dxfId="479" priority="82">
      <formula>kvartal &lt; 4</formula>
    </cfRule>
  </conditionalFormatting>
  <conditionalFormatting sqref="C115">
    <cfRule type="expression" dxfId="478" priority="81">
      <formula>kvartal &lt; 4</formula>
    </cfRule>
  </conditionalFormatting>
  <conditionalFormatting sqref="B123">
    <cfRule type="expression" dxfId="477" priority="80">
      <formula>kvartal &lt; 4</formula>
    </cfRule>
  </conditionalFormatting>
  <conditionalFormatting sqref="C123">
    <cfRule type="expression" dxfId="476" priority="79">
      <formula>kvartal &lt; 4</formula>
    </cfRule>
  </conditionalFormatting>
  <conditionalFormatting sqref="F70">
    <cfRule type="expression" dxfId="475" priority="78">
      <formula>kvartal &lt; 4</formula>
    </cfRule>
  </conditionalFormatting>
  <conditionalFormatting sqref="G70">
    <cfRule type="expression" dxfId="474" priority="77">
      <formula>kvartal &lt; 4</formula>
    </cfRule>
  </conditionalFormatting>
  <conditionalFormatting sqref="F71:G71">
    <cfRule type="expression" dxfId="473" priority="76">
      <formula>kvartal &lt; 4</formula>
    </cfRule>
  </conditionalFormatting>
  <conditionalFormatting sqref="F73:G74">
    <cfRule type="expression" dxfId="472" priority="75">
      <formula>kvartal &lt; 4</formula>
    </cfRule>
  </conditionalFormatting>
  <conditionalFormatting sqref="F81:G82">
    <cfRule type="expression" dxfId="471" priority="74">
      <formula>kvartal &lt; 4</formula>
    </cfRule>
  </conditionalFormatting>
  <conditionalFormatting sqref="F84:G85">
    <cfRule type="expression" dxfId="470" priority="73">
      <formula>kvartal &lt; 4</formula>
    </cfRule>
  </conditionalFormatting>
  <conditionalFormatting sqref="F91:G92">
    <cfRule type="expression" dxfId="469" priority="68">
      <formula>kvartal &lt; 4</formula>
    </cfRule>
  </conditionalFormatting>
  <conditionalFormatting sqref="F94:G95">
    <cfRule type="expression" dxfId="468" priority="67">
      <formula>kvartal &lt; 4</formula>
    </cfRule>
  </conditionalFormatting>
  <conditionalFormatting sqref="F102:G103">
    <cfRule type="expression" dxfId="467" priority="66">
      <formula>kvartal &lt; 4</formula>
    </cfRule>
  </conditionalFormatting>
  <conditionalFormatting sqref="F105:G106">
    <cfRule type="expression" dxfId="466" priority="65">
      <formula>kvartal &lt; 4</formula>
    </cfRule>
  </conditionalFormatting>
  <conditionalFormatting sqref="F115">
    <cfRule type="expression" dxfId="465" priority="64">
      <formula>kvartal &lt; 4</formula>
    </cfRule>
  </conditionalFormatting>
  <conditionalFormatting sqref="G115">
    <cfRule type="expression" dxfId="464" priority="63">
      <formula>kvartal &lt; 4</formula>
    </cfRule>
  </conditionalFormatting>
  <conditionalFormatting sqref="F123:G123">
    <cfRule type="expression" dxfId="463" priority="62">
      <formula>kvartal &lt; 4</formula>
    </cfRule>
  </conditionalFormatting>
  <conditionalFormatting sqref="F69:G69">
    <cfRule type="expression" dxfId="462" priority="61">
      <formula>kvartal &lt; 4</formula>
    </cfRule>
  </conditionalFormatting>
  <conditionalFormatting sqref="F72:G72">
    <cfRule type="expression" dxfId="461" priority="60">
      <formula>kvartal &lt; 4</formula>
    </cfRule>
  </conditionalFormatting>
  <conditionalFormatting sqref="F80:G80">
    <cfRule type="expression" dxfId="460" priority="59">
      <formula>kvartal &lt; 4</formula>
    </cfRule>
  </conditionalFormatting>
  <conditionalFormatting sqref="F83:G83">
    <cfRule type="expression" dxfId="459" priority="58">
      <formula>kvartal &lt; 4</formula>
    </cfRule>
  </conditionalFormatting>
  <conditionalFormatting sqref="F90:G90">
    <cfRule type="expression" dxfId="458" priority="52">
      <formula>kvartal &lt; 4</formula>
    </cfRule>
  </conditionalFormatting>
  <conditionalFormatting sqref="F93">
    <cfRule type="expression" dxfId="457" priority="51">
      <formula>kvartal &lt; 4</formula>
    </cfRule>
  </conditionalFormatting>
  <conditionalFormatting sqref="G93">
    <cfRule type="expression" dxfId="456" priority="50">
      <formula>kvartal &lt; 4</formula>
    </cfRule>
  </conditionalFormatting>
  <conditionalFormatting sqref="F101">
    <cfRule type="expression" dxfId="455" priority="49">
      <formula>kvartal &lt; 4</formula>
    </cfRule>
  </conditionalFormatting>
  <conditionalFormatting sqref="G101">
    <cfRule type="expression" dxfId="454" priority="48">
      <formula>kvartal &lt; 4</formula>
    </cfRule>
  </conditionalFormatting>
  <conditionalFormatting sqref="G104">
    <cfRule type="expression" dxfId="453" priority="47">
      <formula>kvartal &lt; 4</formula>
    </cfRule>
  </conditionalFormatting>
  <conditionalFormatting sqref="F104">
    <cfRule type="expression" dxfId="452" priority="46">
      <formula>kvartal &lt; 4</formula>
    </cfRule>
  </conditionalFormatting>
  <conditionalFormatting sqref="J69:K73">
    <cfRule type="expression" dxfId="451" priority="45">
      <formula>kvartal &lt; 4</formula>
    </cfRule>
  </conditionalFormatting>
  <conditionalFormatting sqref="J74:K74">
    <cfRule type="expression" dxfId="450" priority="44">
      <formula>kvartal &lt; 4</formula>
    </cfRule>
  </conditionalFormatting>
  <conditionalFormatting sqref="J80:K85">
    <cfRule type="expression" dxfId="449" priority="43">
      <formula>kvartal &lt; 4</formula>
    </cfRule>
  </conditionalFormatting>
  <conditionalFormatting sqref="J90:K95">
    <cfRule type="expression" dxfId="448" priority="40">
      <formula>kvartal &lt; 4</formula>
    </cfRule>
  </conditionalFormatting>
  <conditionalFormatting sqref="J101:K106">
    <cfRule type="expression" dxfId="447" priority="39">
      <formula>kvartal &lt; 4</formula>
    </cfRule>
  </conditionalFormatting>
  <conditionalFormatting sqref="J115:K115">
    <cfRule type="expression" dxfId="446" priority="38">
      <formula>kvartal &lt; 4</formula>
    </cfRule>
  </conditionalFormatting>
  <conditionalFormatting sqref="J123:K123">
    <cfRule type="expression" dxfId="445" priority="37">
      <formula>kvartal &lt; 4</formula>
    </cfRule>
  </conditionalFormatting>
  <conditionalFormatting sqref="A50:A52">
    <cfRule type="expression" dxfId="444" priority="18">
      <formula>kvartal &lt; 4</formula>
    </cfRule>
  </conditionalFormatting>
  <conditionalFormatting sqref="A69:A74">
    <cfRule type="expression" dxfId="443" priority="6">
      <formula>kvartal &lt; 4</formula>
    </cfRule>
  </conditionalFormatting>
  <conditionalFormatting sqref="A115">
    <cfRule type="expression" dxfId="442" priority="5">
      <formula>kvartal &lt; 4</formula>
    </cfRule>
  </conditionalFormatting>
  <conditionalFormatting sqref="A123">
    <cfRule type="expression" dxfId="441" priority="4">
      <formula>kvartal &lt; 4</formula>
    </cfRule>
  </conditionalFormatting>
  <conditionalFormatting sqref="A80:A85">
    <cfRule type="expression" dxfId="440" priority="3">
      <formula>kvartal &lt; 4</formula>
    </cfRule>
  </conditionalFormatting>
  <conditionalFormatting sqref="A90:A95">
    <cfRule type="expression" dxfId="439" priority="2">
      <formula>kvartal &lt; 4</formula>
    </cfRule>
  </conditionalFormatting>
  <conditionalFormatting sqref="A101:A106">
    <cfRule type="expression" dxfId="438"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174</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115050.06148</v>
      </c>
      <c r="C7" s="343">
        <v>116212.271566322</v>
      </c>
      <c r="D7" s="384">
        <f>IF(B7=0, "    ---- ", IF(ABS(ROUND(100/B7*C7-100,1))&lt;999,ROUND(100/B7*C7-100,1),IF(ROUND(100/B7*C7-100,1)&gt;999,999,-999)))</f>
        <v>1</v>
      </c>
      <c r="E7" s="11">
        <f>IFERROR(100/'Skjema total MA'!C7*C7,0)</f>
        <v>7.0434551695068439</v>
      </c>
      <c r="F7" s="342">
        <v>1413913.3683199999</v>
      </c>
      <c r="G7" s="343">
        <v>1289591.20695</v>
      </c>
      <c r="H7" s="384">
        <f>IF(F7=0, "    ---- ", IF(ABS(ROUND(100/F7*G7-100,1))&lt;999,ROUND(100/F7*G7-100,1),IF(ROUND(100/F7*G7-100,1)&gt;999,999,-999)))</f>
        <v>-8.8000000000000007</v>
      </c>
      <c r="I7" s="177">
        <f>IFERROR(100/'Skjema total MA'!F7*G7,0)</f>
        <v>63.311444815764261</v>
      </c>
      <c r="J7" s="344">
        <v>1528963.4297999998</v>
      </c>
      <c r="K7" s="345">
        <v>1405803.4785163221</v>
      </c>
      <c r="L7" s="463">
        <f>IF(J7=0, "    ---- ", IF(ABS(ROUND(100/J7*K7-100,1))&lt;999,ROUND(100/J7*K7-100,1),IF(ROUND(100/J7*K7-100,1)&gt;999,999,-999)))</f>
        <v>-8.1</v>
      </c>
      <c r="M7" s="11">
        <f>IFERROR(100/'Skjema total MA'!I7*K7,0)</f>
        <v>38.130377788471471</v>
      </c>
    </row>
    <row r="8" spans="1:15" ht="15.75" x14ac:dyDescent="0.2">
      <c r="A8" s="21" t="s">
        <v>26</v>
      </c>
      <c r="B8" s="316">
        <v>88477.8384978049</v>
      </c>
      <c r="C8" s="317">
        <v>91831.201051682394</v>
      </c>
      <c r="D8" s="183">
        <f t="shared" ref="D8:D10" si="0">IF(B8=0, "    ---- ", IF(ABS(ROUND(100/B8*C8-100,1))&lt;999,ROUND(100/B8*C8-100,1),IF(ROUND(100/B8*C8-100,1)&gt;999,999,-999)))</f>
        <v>3.8</v>
      </c>
      <c r="E8" s="27">
        <f>IFERROR(100/'Skjema total MA'!C8*C8,0)</f>
        <v>8.9737165191772252</v>
      </c>
      <c r="F8" s="320"/>
      <c r="G8" s="321"/>
      <c r="H8" s="183"/>
      <c r="I8" s="193"/>
      <c r="J8" s="250">
        <v>88477.8384978049</v>
      </c>
      <c r="K8" s="322">
        <v>91831.201051682394</v>
      </c>
      <c r="L8" s="183">
        <f t="shared" ref="L8:L9" si="1">IF(J8=0, "    ---- ", IF(ABS(ROUND(100/J8*K8-100,1))&lt;999,ROUND(100/J8*K8-100,1),IF(ROUND(100/J8*K8-100,1)&gt;999,999,-999)))</f>
        <v>3.8</v>
      </c>
      <c r="M8" s="27">
        <f>IFERROR(100/'Skjema total MA'!I8*K8,0)</f>
        <v>8.9737165191772252</v>
      </c>
    </row>
    <row r="9" spans="1:15" ht="15.75" x14ac:dyDescent="0.2">
      <c r="A9" s="21" t="s">
        <v>25</v>
      </c>
      <c r="B9" s="316">
        <v>21386.678922192401</v>
      </c>
      <c r="C9" s="317">
        <v>20424.5035083609</v>
      </c>
      <c r="D9" s="183">
        <f t="shared" si="0"/>
        <v>-4.5</v>
      </c>
      <c r="E9" s="27">
        <f>IFERROR(100/'Skjema total MA'!C9*C9,0)</f>
        <v>3.9385378492302432</v>
      </c>
      <c r="F9" s="320"/>
      <c r="G9" s="321"/>
      <c r="H9" s="183"/>
      <c r="I9" s="193"/>
      <c r="J9" s="250">
        <v>21386.678922192401</v>
      </c>
      <c r="K9" s="322">
        <v>20424.5035083609</v>
      </c>
      <c r="L9" s="183">
        <f t="shared" si="1"/>
        <v>-4.5</v>
      </c>
      <c r="M9" s="27">
        <f>IFERROR(100/'Skjema total MA'!I9*K9,0)</f>
        <v>3.9385378492302432</v>
      </c>
    </row>
    <row r="10" spans="1:15" ht="15.75" x14ac:dyDescent="0.2">
      <c r="A10" s="13" t="s">
        <v>466</v>
      </c>
      <c r="B10" s="346">
        <v>783314.59199999995</v>
      </c>
      <c r="C10" s="347">
        <v>869200.92454814701</v>
      </c>
      <c r="D10" s="188">
        <f t="shared" si="0"/>
        <v>11</v>
      </c>
      <c r="E10" s="11">
        <f>IFERROR(100/'Skjema total MA'!C10*C10,0)</f>
        <v>3.9626803373769359</v>
      </c>
      <c r="F10" s="346">
        <v>19591274.599780001</v>
      </c>
      <c r="G10" s="347">
        <v>23543677.474309102</v>
      </c>
      <c r="H10" s="188">
        <f t="shared" ref="H10:H12" si="2">IF(F10=0, "    ---- ", IF(ABS(ROUND(100/F10*G10-100,1))&lt;999,ROUND(100/F10*G10-100,1),IF(ROUND(100/F10*G10-100,1)&gt;999,999,-999)))</f>
        <v>20.2</v>
      </c>
      <c r="I10" s="177">
        <f>IFERROR(100/'Skjema total MA'!F10*G10,0)</f>
        <v>56.494282521545173</v>
      </c>
      <c r="J10" s="344">
        <v>20374589.191780001</v>
      </c>
      <c r="K10" s="345">
        <v>24412878.398857247</v>
      </c>
      <c r="L10" s="464">
        <f t="shared" ref="L10:L12" si="3">IF(J10=0, "    ---- ", IF(ABS(ROUND(100/J10*K10-100,1))&lt;999,ROUND(100/J10*K10-100,1),IF(ROUND(100/J10*K10-100,1)&gt;999,999,-999)))</f>
        <v>19.8</v>
      </c>
      <c r="M10" s="11">
        <f>IFERROR(100/'Skjema total MA'!I10*K10,0)</f>
        <v>38.37952871665928</v>
      </c>
    </row>
    <row r="11" spans="1:15" s="43" customFormat="1" ht="15.75" x14ac:dyDescent="0.2">
      <c r="A11" s="13" t="s">
        <v>467</v>
      </c>
      <c r="B11" s="346"/>
      <c r="C11" s="347"/>
      <c r="D11" s="188"/>
      <c r="E11" s="11"/>
      <c r="F11" s="346">
        <v>38204.667220000003</v>
      </c>
      <c r="G11" s="347">
        <v>24353.772440000001</v>
      </c>
      <c r="H11" s="188">
        <f t="shared" si="2"/>
        <v>-36.299999999999997</v>
      </c>
      <c r="I11" s="177">
        <f>IFERROR(100/'Skjema total MA'!F11*G11,0)</f>
        <v>46.416282029398083</v>
      </c>
      <c r="J11" s="344">
        <v>38204.667220000003</v>
      </c>
      <c r="K11" s="345">
        <v>24353.772440000001</v>
      </c>
      <c r="L11" s="464">
        <f t="shared" si="3"/>
        <v>-36.299999999999997</v>
      </c>
      <c r="M11" s="11">
        <f>IFERROR(100/'Skjema total MA'!I11*K11,0)</f>
        <v>43.931198154632881</v>
      </c>
      <c r="N11" s="160"/>
      <c r="O11" s="165"/>
    </row>
    <row r="12" spans="1:15" s="43" customFormat="1" ht="15.75" x14ac:dyDescent="0.2">
      <c r="A12" s="41" t="s">
        <v>468</v>
      </c>
      <c r="B12" s="348"/>
      <c r="C12" s="349"/>
      <c r="D12" s="186"/>
      <c r="E12" s="36"/>
      <c r="F12" s="348">
        <v>13557.409250000001</v>
      </c>
      <c r="G12" s="349">
        <v>29269.519560000001</v>
      </c>
      <c r="H12" s="186">
        <f t="shared" si="2"/>
        <v>115.9</v>
      </c>
      <c r="I12" s="186">
        <f>IFERROR(100/'Skjema total MA'!F12*G12,0)</f>
        <v>47.810183596406993</v>
      </c>
      <c r="J12" s="350">
        <v>13557.409250000001</v>
      </c>
      <c r="K12" s="351">
        <v>29269.519560000001</v>
      </c>
      <c r="L12" s="465">
        <f t="shared" si="3"/>
        <v>115.9</v>
      </c>
      <c r="M12" s="36">
        <f>IFERROR(100/'Skjema total MA'!I12*K12,0)</f>
        <v>47.826589249451793</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35148.305339999999</v>
      </c>
      <c r="C22" s="352">
        <v>35014.887563073898</v>
      </c>
      <c r="D22" s="384">
        <f t="shared" ref="D22:D35" si="4">IF(B22=0, "    ---- ", IF(ABS(ROUND(100/B22*C22-100,1))&lt;999,ROUND(100/B22*C22-100,1),IF(ROUND(100/B22*C22-100,1)&gt;999,999,-999)))</f>
        <v>-0.4</v>
      </c>
      <c r="E22" s="11">
        <f>IFERROR(100/'Skjema total MA'!C22*C22,0)</f>
        <v>6.9325704433394844</v>
      </c>
      <c r="F22" s="352">
        <v>40138.183190000003</v>
      </c>
      <c r="G22" s="352">
        <v>82422.248149999999</v>
      </c>
      <c r="H22" s="384">
        <f t="shared" ref="H22:H35" si="5">IF(F22=0, "    ---- ", IF(ABS(ROUND(100/F22*G22-100,1))&lt;999,ROUND(100/F22*G22-100,1),IF(ROUND(100/F22*G22-100,1)&gt;999,999,-999)))</f>
        <v>105.3</v>
      </c>
      <c r="I22" s="11">
        <f>IFERROR(100/'Skjema total MA'!F22*G22,0)</f>
        <v>27.943775538329859</v>
      </c>
      <c r="J22" s="352">
        <f t="shared" ref="J22:K35" si="6">SUM(B22,F22)</f>
        <v>75286.488530000002</v>
      </c>
      <c r="K22" s="352">
        <f t="shared" si="6"/>
        <v>117437.13571307389</v>
      </c>
      <c r="L22" s="463">
        <f t="shared" ref="L22:L35" si="7">IF(J22=0, "    ---- ", IF(ABS(ROUND(100/J22*K22-100,1))&lt;999,ROUND(100/J22*K22-100,1),IF(ROUND(100/J22*K22-100,1)&gt;999,999,-999)))</f>
        <v>56</v>
      </c>
      <c r="M22" s="24">
        <f>IFERROR(100/'Skjema total MA'!I22*K22,0)</f>
        <v>14.678991629518942</v>
      </c>
    </row>
    <row r="23" spans="1:15" ht="15.75" x14ac:dyDescent="0.2">
      <c r="A23" s="49" t="s">
        <v>469</v>
      </c>
      <c r="B23" s="44"/>
      <c r="C23" s="322">
        <v>34502.785563074001</v>
      </c>
      <c r="D23" s="183" t="str">
        <f t="shared" ref="D23:D25" si="8">IF(B23=0, "    ---- ", IF(ABS(ROUND(100/B23*C23-100,1))&lt;999,ROUND(100/B23*C23-100,1),IF(ROUND(100/B23*C23-100,1)&gt;999,999,-999)))</f>
        <v xml:space="preserve">    ---- </v>
      </c>
      <c r="E23" s="27">
        <f>IFERROR(100/'Skjema total MA'!C23*C23,0)</f>
        <v>14.492685553069387</v>
      </c>
      <c r="F23" s="250"/>
      <c r="G23" s="322">
        <v>1211.6679999999999</v>
      </c>
      <c r="H23" s="183" t="str">
        <f t="shared" ref="H23:H26" si="9">IF(F23=0, "    ---- ", IF(ABS(ROUND(100/F23*G23-100,1))&lt;999,ROUND(100/F23*G23-100,1),IF(ROUND(100/F23*G23-100,1)&gt;999,999,-999)))</f>
        <v xml:space="preserve">    ---- </v>
      </c>
      <c r="I23" s="27">
        <f>IFERROR(100/'Skjema total MA'!F23*G23,0)</f>
        <v>2.3560095866042374</v>
      </c>
      <c r="J23" s="44"/>
      <c r="K23" s="44">
        <f t="shared" ref="K23:K26" si="10">SUM(C23,G23)</f>
        <v>35714.453563073999</v>
      </c>
      <c r="L23" s="274" t="str">
        <f t="shared" ref="L23:L26" si="11">IF(J23=0, "    ---- ", IF(ABS(ROUND(100/J23*K23-100,1))&lt;999,ROUND(100/J23*K23-100,1),IF(ROUND(100/J23*K23-100,1)&gt;999,999,-999)))</f>
        <v xml:space="preserve">    ---- </v>
      </c>
      <c r="M23" s="23">
        <f>IFERROR(100/'Skjema total MA'!I23*K23,0)</f>
        <v>12.336634541899588</v>
      </c>
    </row>
    <row r="24" spans="1:15" ht="15.75" x14ac:dyDescent="0.2">
      <c r="A24" s="49" t="s">
        <v>470</v>
      </c>
      <c r="B24" s="44"/>
      <c r="C24" s="322">
        <v>510.85199999999998</v>
      </c>
      <c r="D24" s="183" t="str">
        <f t="shared" si="8"/>
        <v xml:space="preserve">    ---- </v>
      </c>
      <c r="E24" s="27">
        <f>IFERROR(100/'Skjema total MA'!C24*C24,0)</f>
        <v>18.386434294623779</v>
      </c>
      <c r="F24" s="250"/>
      <c r="G24" s="322"/>
      <c r="H24" s="183"/>
      <c r="I24" s="27"/>
      <c r="J24" s="44"/>
      <c r="K24" s="44">
        <f t="shared" si="10"/>
        <v>510.85199999999998</v>
      </c>
      <c r="L24" s="274" t="str">
        <f t="shared" si="11"/>
        <v xml:space="preserve">    ---- </v>
      </c>
      <c r="M24" s="23">
        <f>IFERROR(100/'Skjema total MA'!I24*K24,0)</f>
        <v>3.9350924856423921</v>
      </c>
    </row>
    <row r="25" spans="1:15" ht="15.75" x14ac:dyDescent="0.2">
      <c r="A25" s="49" t="s">
        <v>471</v>
      </c>
      <c r="B25" s="44"/>
      <c r="C25" s="322">
        <v>1.25</v>
      </c>
      <c r="D25" s="183" t="str">
        <f t="shared" si="8"/>
        <v xml:space="preserve">    ---- </v>
      </c>
      <c r="E25" s="27">
        <f>IFERROR(100/'Skjema total MA'!C25*C25,0)</f>
        <v>2.4303699022991298E-2</v>
      </c>
      <c r="F25" s="250"/>
      <c r="G25" s="322">
        <v>20254.556</v>
      </c>
      <c r="H25" s="183" t="str">
        <f t="shared" si="9"/>
        <v xml:space="preserve">    ---- </v>
      </c>
      <c r="I25" s="27">
        <f>IFERROR(100/'Skjema total MA'!F25*G25,0)</f>
        <v>74.241921764360981</v>
      </c>
      <c r="J25" s="44"/>
      <c r="K25" s="44">
        <f t="shared" si="10"/>
        <v>20255.806</v>
      </c>
      <c r="L25" s="274" t="str">
        <f t="shared" si="11"/>
        <v xml:space="preserve">    ---- </v>
      </c>
      <c r="M25" s="23">
        <f>IFERROR(100/'Skjema total MA'!I25*K25,0)</f>
        <v>62.469560788655919</v>
      </c>
    </row>
    <row r="26" spans="1:15" ht="15.75" x14ac:dyDescent="0.2">
      <c r="A26" s="49" t="s">
        <v>472</v>
      </c>
      <c r="B26" s="44"/>
      <c r="C26" s="322"/>
      <c r="D26" s="183"/>
      <c r="E26" s="27"/>
      <c r="F26" s="250"/>
      <c r="G26" s="322">
        <v>60956.024149999997</v>
      </c>
      <c r="H26" s="183" t="str">
        <f t="shared" si="9"/>
        <v xml:space="preserve">    ---- </v>
      </c>
      <c r="I26" s="27">
        <f>IFERROR(100/'Skjema total MA'!F26*G26,0)</f>
        <v>29.584090576300909</v>
      </c>
      <c r="J26" s="44"/>
      <c r="K26" s="44">
        <f t="shared" si="10"/>
        <v>60956.024149999997</v>
      </c>
      <c r="L26" s="274" t="str">
        <f t="shared" si="11"/>
        <v xml:space="preserve">    ---- </v>
      </c>
      <c r="M26" s="23">
        <f>IFERROR(100/'Skjema total MA'!I26*K26,0)</f>
        <v>29.584090576300909</v>
      </c>
    </row>
    <row r="27" spans="1:15" x14ac:dyDescent="0.2">
      <c r="A27" s="49" t="s">
        <v>11</v>
      </c>
      <c r="B27" s="44"/>
      <c r="C27" s="322"/>
      <c r="D27" s="183"/>
      <c r="E27" s="27"/>
      <c r="F27" s="250"/>
      <c r="G27" s="322"/>
      <c r="H27" s="183"/>
      <c r="I27" s="27"/>
      <c r="J27" s="44"/>
      <c r="K27" s="44"/>
      <c r="L27" s="274"/>
      <c r="M27" s="23"/>
    </row>
    <row r="28" spans="1:15" ht="15.75" x14ac:dyDescent="0.2">
      <c r="A28" s="49" t="s">
        <v>366</v>
      </c>
      <c r="B28" s="44">
        <v>35663.472393142103</v>
      </c>
      <c r="C28" s="322">
        <v>36136.847552855201</v>
      </c>
      <c r="D28" s="183">
        <f t="shared" si="4"/>
        <v>1.3</v>
      </c>
      <c r="E28" s="27">
        <f>IFERROR(100/'Skjema total MA'!C28*C28,0)</f>
        <v>5.105854957359278</v>
      </c>
      <c r="F28" s="250"/>
      <c r="G28" s="322"/>
      <c r="H28" s="183"/>
      <c r="I28" s="27"/>
      <c r="J28" s="44">
        <f t="shared" si="6"/>
        <v>35663.472393142103</v>
      </c>
      <c r="K28" s="44">
        <f t="shared" si="6"/>
        <v>36136.847552855201</v>
      </c>
      <c r="L28" s="274">
        <f t="shared" si="7"/>
        <v>1.3</v>
      </c>
      <c r="M28" s="23">
        <f>IFERROR(100/'Skjema total MA'!I28*K28,0)</f>
        <v>5.105854957359278</v>
      </c>
    </row>
    <row r="29" spans="1:15" s="3" customFormat="1" ht="15.75" x14ac:dyDescent="0.2">
      <c r="A29" s="13" t="s">
        <v>23</v>
      </c>
      <c r="B29" s="252">
        <v>4136386.69948284</v>
      </c>
      <c r="C29" s="252">
        <v>3961286.014</v>
      </c>
      <c r="D29" s="188">
        <f t="shared" si="4"/>
        <v>-4.2</v>
      </c>
      <c r="E29" s="11">
        <f>IFERROR(100/'Skjema total MA'!C29*C29,0)</f>
        <v>8.0087824657836943</v>
      </c>
      <c r="F29" s="252">
        <v>3361949.17</v>
      </c>
      <c r="G29" s="252">
        <v>3394700.37</v>
      </c>
      <c r="H29" s="188">
        <f t="shared" si="5"/>
        <v>1</v>
      </c>
      <c r="I29" s="11">
        <f>IFERROR(100/'Skjema total MA'!F29*G29,0)</f>
        <v>16.974982411980555</v>
      </c>
      <c r="J29" s="252">
        <f t="shared" si="6"/>
        <v>7498335.8694828395</v>
      </c>
      <c r="K29" s="252">
        <f t="shared" si="6"/>
        <v>7355986.3839999996</v>
      </c>
      <c r="L29" s="464">
        <f t="shared" si="7"/>
        <v>-1.9</v>
      </c>
      <c r="M29" s="24">
        <f>IFERROR(100/'Skjema total MA'!I29*K29,0)</f>
        <v>10.590243416445515</v>
      </c>
      <c r="N29" s="165"/>
      <c r="O29" s="165"/>
    </row>
    <row r="30" spans="1:15" s="3" customFormat="1" ht="15.75" x14ac:dyDescent="0.2">
      <c r="A30" s="49" t="s">
        <v>469</v>
      </c>
      <c r="B30" s="44"/>
      <c r="C30" s="322">
        <v>970850.78827256698</v>
      </c>
      <c r="D30" s="183" t="str">
        <f t="shared" ref="D30" si="12">IF(B30=0, "    ---- ", IF(ABS(ROUND(100/B30*C30-100,1))&lt;999,ROUND(100/B30*C30-100,1),IF(ROUND(100/B30*C30-100,1)&gt;999,999,-999)))</f>
        <v xml:space="preserve">    ---- </v>
      </c>
      <c r="E30" s="27">
        <f>IFERROR(100/'Skjema total MA'!C30*C30,0)</f>
        <v>8.6068763624669824</v>
      </c>
      <c r="F30" s="250"/>
      <c r="G30" s="322">
        <v>510321.48800000001</v>
      </c>
      <c r="H30" s="183" t="str">
        <f t="shared" ref="H30" si="13">IF(F30=0, "    ---- ", IF(ABS(ROUND(100/F30*G30-100,1))&lt;999,ROUND(100/F30*G30-100,1),IF(ROUND(100/F30*G30-100,1)&gt;999,999,-999)))</f>
        <v xml:space="preserve">    ---- </v>
      </c>
      <c r="I30" s="27">
        <f>IFERROR(100/'Skjema total MA'!F30*G30,0)</f>
        <v>11.902941099336912</v>
      </c>
      <c r="J30" s="44"/>
      <c r="K30" s="44">
        <f t="shared" ref="K30" si="14">SUM(C30,G30)</f>
        <v>1481172.276272567</v>
      </c>
      <c r="L30" s="274" t="str">
        <f t="shared" ref="L30" si="15">IF(J30=0, "    ---- ", IF(ABS(ROUND(100/J30*K30-100,1))&lt;999,ROUND(100/J30*K30-100,1),IF(ROUND(100/J30*K30-100,1)&gt;999,999,-999)))</f>
        <v xml:space="preserve">    ---- </v>
      </c>
      <c r="M30" s="23">
        <f>IFERROR(100/'Skjema total MA'!I30*K30,0)</f>
        <v>9.5146384008701279</v>
      </c>
      <c r="N30" s="165"/>
      <c r="O30" s="165"/>
    </row>
    <row r="31" spans="1:15" s="3" customFormat="1" ht="15.75" x14ac:dyDescent="0.2">
      <c r="A31" s="49" t="s">
        <v>470</v>
      </c>
      <c r="B31" s="44"/>
      <c r="C31" s="322">
        <v>2714985.2597274301</v>
      </c>
      <c r="D31" s="183" t="str">
        <f t="shared" ref="D31:D32" si="16">IF(B31=0, "    ---- ", IF(ABS(ROUND(100/B31*C31-100,1))&lt;999,ROUND(100/B31*C31-100,1),IF(ROUND(100/B31*C31-100,1)&gt;999,999,-999)))</f>
        <v xml:space="preserve">    ---- </v>
      </c>
      <c r="E31" s="27">
        <f>IFERROR(100/'Skjema total MA'!C31*C31,0)</f>
        <v>7.7819812249658273</v>
      </c>
      <c r="F31" s="250"/>
      <c r="G31" s="322">
        <v>837031.34199999995</v>
      </c>
      <c r="H31" s="183" t="str">
        <f t="shared" ref="H31:H33" si="17">IF(F31=0, "    ---- ", IF(ABS(ROUND(100/F31*G31-100,1))&lt;999,ROUND(100/F31*G31-100,1),IF(ROUND(100/F31*G31-100,1)&gt;999,999,-999)))</f>
        <v xml:space="preserve">    ---- </v>
      </c>
      <c r="I31" s="27">
        <f>IFERROR(100/'Skjema total MA'!F31*G31,0)</f>
        <v>8.9808969771666121</v>
      </c>
      <c r="J31" s="44"/>
      <c r="K31" s="44">
        <f t="shared" ref="K31:K33" si="18">SUM(C31,G31)</f>
        <v>3552016.6017274298</v>
      </c>
      <c r="L31" s="274" t="str">
        <f t="shared" ref="L31:L33" si="19">IF(J31=0, "    ---- ", IF(ABS(ROUND(100/J31*K31-100,1))&lt;999,ROUND(100/J31*K31-100,1),IF(ROUND(100/J31*K31-100,1)&gt;999,999,-999)))</f>
        <v xml:space="preserve">    ---- </v>
      </c>
      <c r="M31" s="23">
        <f>IFERROR(100/'Skjema total MA'!I31*K31,0)</f>
        <v>8.0347407636462016</v>
      </c>
      <c r="N31" s="165"/>
      <c r="O31" s="165"/>
    </row>
    <row r="32" spans="1:15" ht="15.75" x14ac:dyDescent="0.2">
      <c r="A32" s="49" t="s">
        <v>471</v>
      </c>
      <c r="B32" s="44"/>
      <c r="C32" s="322">
        <v>275449.96600000001</v>
      </c>
      <c r="D32" s="183" t="str">
        <f t="shared" si="16"/>
        <v xml:space="preserve">    ---- </v>
      </c>
      <c r="E32" s="27">
        <f>IFERROR(100/'Skjema total MA'!C32*C32,0)</f>
        <v>20.96412991503469</v>
      </c>
      <c r="F32" s="250"/>
      <c r="G32" s="322">
        <v>1812822.04</v>
      </c>
      <c r="H32" s="183" t="str">
        <f t="shared" si="17"/>
        <v xml:space="preserve">    ---- </v>
      </c>
      <c r="I32" s="27">
        <f>IFERROR(100/'Skjema total MA'!F32*G32,0)</f>
        <v>46.672872695069216</v>
      </c>
      <c r="J32" s="44"/>
      <c r="K32" s="44">
        <f t="shared" si="18"/>
        <v>2088272.0060000001</v>
      </c>
      <c r="L32" s="274" t="str">
        <f t="shared" si="19"/>
        <v xml:space="preserve">    ---- </v>
      </c>
      <c r="M32" s="23">
        <f>IFERROR(100/'Skjema total MA'!I32*K32,0)</f>
        <v>40.17442892749596</v>
      </c>
    </row>
    <row r="33" spans="1:15" ht="15.75" x14ac:dyDescent="0.2">
      <c r="A33" s="49" t="s">
        <v>472</v>
      </c>
      <c r="B33" s="44"/>
      <c r="C33" s="322"/>
      <c r="D33" s="183"/>
      <c r="E33" s="27"/>
      <c r="F33" s="250"/>
      <c r="G33" s="322">
        <v>234525.5</v>
      </c>
      <c r="H33" s="183" t="str">
        <f t="shared" si="17"/>
        <v xml:space="preserve">    ---- </v>
      </c>
      <c r="I33" s="27">
        <f>IFERROR(100/'Skjema total MA'!F33*G33,0)</f>
        <v>25.151119084840207</v>
      </c>
      <c r="J33" s="44"/>
      <c r="K33" s="44">
        <f t="shared" si="18"/>
        <v>234525.5</v>
      </c>
      <c r="L33" s="274" t="str">
        <f t="shared" si="19"/>
        <v xml:space="preserve">    ---- </v>
      </c>
      <c r="M33" s="23">
        <f>IFERROR(100/'Skjema total MA'!I33*K33,0)</f>
        <v>25.151119084840207</v>
      </c>
    </row>
    <row r="34" spans="1:15" ht="15.75" x14ac:dyDescent="0.2">
      <c r="A34" s="13" t="s">
        <v>467</v>
      </c>
      <c r="B34" s="252">
        <v>276.28068999999999</v>
      </c>
      <c r="C34" s="345">
        <v>1017.84928</v>
      </c>
      <c r="D34" s="188">
        <f t="shared" si="4"/>
        <v>268.39999999999998</v>
      </c>
      <c r="E34" s="11">
        <f>IFERROR(100/'Skjema total MA'!C34*C34,0)</f>
        <v>13.388262838067391</v>
      </c>
      <c r="F34" s="344">
        <v>892.80376999999999</v>
      </c>
      <c r="G34" s="345">
        <v>2377.52999</v>
      </c>
      <c r="H34" s="188">
        <f t="shared" si="5"/>
        <v>166.3</v>
      </c>
      <c r="I34" s="11">
        <f>IFERROR(100/'Skjema total MA'!F34*G34,0)</f>
        <v>42.613386428136515</v>
      </c>
      <c r="J34" s="252">
        <f t="shared" si="6"/>
        <v>1169.08446</v>
      </c>
      <c r="K34" s="252">
        <f t="shared" si="6"/>
        <v>3395.3792699999999</v>
      </c>
      <c r="L34" s="464">
        <f t="shared" si="7"/>
        <v>190.4</v>
      </c>
      <c r="M34" s="24">
        <f>IFERROR(100/'Skjema total MA'!I34*K34,0)</f>
        <v>25.757982809393287</v>
      </c>
    </row>
    <row r="35" spans="1:15" ht="15.75" x14ac:dyDescent="0.2">
      <c r="A35" s="13" t="s">
        <v>468</v>
      </c>
      <c r="B35" s="252">
        <v>76.16</v>
      </c>
      <c r="C35" s="345">
        <v>0</v>
      </c>
      <c r="D35" s="188">
        <f t="shared" si="4"/>
        <v>-100</v>
      </c>
      <c r="E35" s="11">
        <f>IFERROR(100/'Skjema total MA'!C35*C35,0)</f>
        <v>0</v>
      </c>
      <c r="F35" s="344">
        <v>5523.6266400000004</v>
      </c>
      <c r="G35" s="345">
        <v>5975.4178000000002</v>
      </c>
      <c r="H35" s="188">
        <f t="shared" si="5"/>
        <v>8.1999999999999993</v>
      </c>
      <c r="I35" s="11">
        <f>IFERROR(100/'Skjema total MA'!F35*G35,0)</f>
        <v>21.990977243076291</v>
      </c>
      <c r="J35" s="252">
        <f t="shared" si="6"/>
        <v>5599.7866400000003</v>
      </c>
      <c r="K35" s="252">
        <f t="shared" si="6"/>
        <v>5975.4178000000002</v>
      </c>
      <c r="L35" s="464">
        <f t="shared" si="7"/>
        <v>6.7</v>
      </c>
      <c r="M35" s="24">
        <f>IFERROR(100/'Skjema total MA'!I35*K35,0)</f>
        <v>34.685904527844741</v>
      </c>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667557.84499999997</v>
      </c>
      <c r="C66" s="387">
        <f>C67+C68+C75+C76</f>
        <v>514517</v>
      </c>
      <c r="D66" s="384">
        <f t="shared" ref="D66:D111" si="20">IF(B66=0, "    ---- ", IF(ABS(ROUND(100/B66*C66-100,1))&lt;999,ROUND(100/B66*C66-100,1),IF(ROUND(100/B66*C66-100,1)&gt;999,999,-999)))</f>
        <v>-22.9</v>
      </c>
      <c r="E66" s="11">
        <f>IFERROR(100/'Skjema total MA'!C66*C66,0)</f>
        <v>13.686283799494802</v>
      </c>
      <c r="F66" s="386">
        <f>F67+F68+F75+F76</f>
        <v>947418.90500000003</v>
      </c>
      <c r="G66" s="386">
        <f>G67+G68+G75+G76</f>
        <v>922959.58100000001</v>
      </c>
      <c r="H66" s="384">
        <f t="shared" ref="H66:H111" si="21">IF(F66=0, "    ---- ", IF(ABS(ROUND(100/F66*G66-100,1))&lt;999,ROUND(100/F66*G66-100,1),IF(ROUND(100/F66*G66-100,1)&gt;999,999,-999)))</f>
        <v>-2.6</v>
      </c>
      <c r="I66" s="11">
        <f>IFERROR(100/'Skjema total MA'!F66*G66,0)</f>
        <v>13.355383965607045</v>
      </c>
      <c r="J66" s="345">
        <f t="shared" ref="J66:K86" si="22">SUM(B66,F66)</f>
        <v>1614976.75</v>
      </c>
      <c r="K66" s="352">
        <f t="shared" si="22"/>
        <v>1437476.581</v>
      </c>
      <c r="L66" s="464">
        <f t="shared" ref="L66:L111" si="23">IF(J66=0, "    ---- ", IF(ABS(ROUND(100/J66*K66-100,1))&lt;999,ROUND(100/J66*K66-100,1),IF(ROUND(100/J66*K66-100,1)&gt;999,999,-999)))</f>
        <v>-11</v>
      </c>
      <c r="M66" s="11">
        <f>IFERROR(100/'Skjema total MA'!I66*K66,0)</f>
        <v>13.471968520218059</v>
      </c>
    </row>
    <row r="67" spans="1:15" x14ac:dyDescent="0.2">
      <c r="A67" s="21" t="s">
        <v>9</v>
      </c>
      <c r="B67" s="44">
        <v>620965</v>
      </c>
      <c r="C67" s="162">
        <v>448435.70799999998</v>
      </c>
      <c r="D67" s="183">
        <f t="shared" si="20"/>
        <v>-27.8</v>
      </c>
      <c r="E67" s="27">
        <f>IFERROR(100/'Skjema total MA'!C67*C67,0)</f>
        <v>14.174467750715626</v>
      </c>
      <c r="F67" s="250"/>
      <c r="G67" s="162"/>
      <c r="H67" s="183"/>
      <c r="I67" s="27"/>
      <c r="J67" s="322">
        <f t="shared" si="22"/>
        <v>620965</v>
      </c>
      <c r="K67" s="44">
        <f t="shared" si="22"/>
        <v>448435.70799999998</v>
      </c>
      <c r="L67" s="274">
        <f t="shared" si="23"/>
        <v>-27.8</v>
      </c>
      <c r="M67" s="27">
        <f>IFERROR(100/'Skjema total MA'!I67*K67,0)</f>
        <v>14.174467750715626</v>
      </c>
    </row>
    <row r="68" spans="1:15" x14ac:dyDescent="0.2">
      <c r="A68" s="21" t="s">
        <v>10</v>
      </c>
      <c r="B68" s="327">
        <v>8847</v>
      </c>
      <c r="C68" s="328">
        <v>7942</v>
      </c>
      <c r="D68" s="183">
        <f t="shared" si="20"/>
        <v>-10.199999999999999</v>
      </c>
      <c r="E68" s="27">
        <f>IFERROR(100/'Skjema total MA'!C68*C68,0)</f>
        <v>8.5211346005823589</v>
      </c>
      <c r="F68" s="327">
        <v>947418.90500000003</v>
      </c>
      <c r="G68" s="328">
        <v>922959.58100000001</v>
      </c>
      <c r="H68" s="183">
        <f t="shared" si="21"/>
        <v>-2.6</v>
      </c>
      <c r="I68" s="27">
        <f>IFERROR(100/'Skjema total MA'!F68*G68,0)</f>
        <v>13.55112294646319</v>
      </c>
      <c r="J68" s="322">
        <f t="shared" si="22"/>
        <v>956265.90500000003</v>
      </c>
      <c r="K68" s="44">
        <f t="shared" si="22"/>
        <v>930901.58100000001</v>
      </c>
      <c r="L68" s="274">
        <f t="shared" si="23"/>
        <v>-2.7</v>
      </c>
      <c r="M68" s="27">
        <f>IFERROR(100/'Skjema total MA'!I68*K68,0)</f>
        <v>13.4832198958908</v>
      </c>
    </row>
    <row r="69" spans="1:15" ht="15.75" x14ac:dyDescent="0.2">
      <c r="A69" s="729" t="s">
        <v>478</v>
      </c>
      <c r="B69" s="316" t="s">
        <v>458</v>
      </c>
      <c r="C69" s="316" t="s">
        <v>458</v>
      </c>
      <c r="D69" s="183" t="str">
        <f>IF(kvartal=4,IF(B69=0, "    ---- ", IF(ABS(ROUND(100/B69*C69-100,1))&lt;999,ROUND(100/B69*C69-100,1),IF(ROUND(100/B69*C69-100,1)&gt;999,999,-999))),"")</f>
        <v/>
      </c>
      <c r="E69" s="453" t="str">
        <f>IF(kvartal=4,IFERROR(100/'Skjema total MA'!B69*C69,0),"")</f>
        <v/>
      </c>
      <c r="F69" s="316"/>
      <c r="G69" s="316"/>
      <c r="H69" s="183"/>
      <c r="I69" s="453"/>
      <c r="J69" s="325"/>
      <c r="K69" s="325"/>
      <c r="L69" s="183"/>
      <c r="M69" s="23"/>
    </row>
    <row r="70" spans="1:15" x14ac:dyDescent="0.2">
      <c r="A70" s="729" t="s">
        <v>12</v>
      </c>
      <c r="B70" s="329"/>
      <c r="C70" s="330"/>
      <c r="D70" s="183"/>
      <c r="E70" s="453" t="str">
        <f>IF(kvartal=4,IFERROR(100/'Skjema total MA'!B70*C70,0),"")</f>
        <v/>
      </c>
      <c r="F70" s="316"/>
      <c r="G70" s="316"/>
      <c r="H70" s="183"/>
      <c r="I70" s="453"/>
      <c r="J70" s="325"/>
      <c r="K70" s="325"/>
      <c r="L70" s="183"/>
      <c r="M70" s="23"/>
    </row>
    <row r="71" spans="1:15" x14ac:dyDescent="0.2">
      <c r="A71" s="729" t="s">
        <v>13</v>
      </c>
      <c r="B71" s="251"/>
      <c r="C71" s="324"/>
      <c r="D71" s="183"/>
      <c r="E71" s="453" t="str">
        <f>IF(kvartal=4,IFERROR(100/'Skjema total MA'!B71*C71,0),"")</f>
        <v/>
      </c>
      <c r="F71" s="316"/>
      <c r="G71" s="316"/>
      <c r="H71" s="183"/>
      <c r="I71" s="453"/>
      <c r="J71" s="325"/>
      <c r="K71" s="325"/>
      <c r="L71" s="183"/>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c r="G72" s="316"/>
      <c r="H72" s="183"/>
      <c r="I72" s="453"/>
      <c r="J72" s="325"/>
      <c r="K72" s="325"/>
      <c r="L72" s="183"/>
      <c r="M72" s="23"/>
    </row>
    <row r="73" spans="1:15" x14ac:dyDescent="0.2">
      <c r="A73" s="729" t="s">
        <v>12</v>
      </c>
      <c r="B73" s="251"/>
      <c r="C73" s="324"/>
      <c r="D73" s="183"/>
      <c r="E73" s="453" t="str">
        <f>IF(kvartal=4,IFERROR(100/'Skjema total MA'!B73*C73,0),"")</f>
        <v/>
      </c>
      <c r="F73" s="316"/>
      <c r="G73" s="316"/>
      <c r="H73" s="183"/>
      <c r="I73" s="453"/>
      <c r="J73" s="325"/>
      <c r="K73" s="325"/>
      <c r="L73" s="183"/>
      <c r="M73" s="23"/>
    </row>
    <row r="74" spans="1:15" s="3" customFormat="1" x14ac:dyDescent="0.2">
      <c r="A74" s="729" t="s">
        <v>13</v>
      </c>
      <c r="B74" s="251"/>
      <c r="C74" s="324"/>
      <c r="D74" s="183"/>
      <c r="E74" s="453" t="str">
        <f>IF(kvartal=4,IFERROR(100/'Skjema total MA'!B74*C74,0),"")</f>
        <v/>
      </c>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v>37745.845000000001</v>
      </c>
      <c r="C76" s="162">
        <v>58139.292000000001</v>
      </c>
      <c r="D76" s="183">
        <f t="shared" ref="D76" si="24">IF(B76=0, "    ---- ", IF(ABS(ROUND(100/B76*C76-100,1))&lt;999,ROUND(100/B76*C76-100,1),IF(ROUND(100/B76*C76-100,1)&gt;999,999,-999)))</f>
        <v>54</v>
      </c>
      <c r="E76" s="27">
        <f>IFERROR(100/'Skjema total MA'!C77*C76,0)</f>
        <v>1.8622675711325587</v>
      </c>
      <c r="F76" s="250"/>
      <c r="G76" s="162"/>
      <c r="H76" s="183"/>
      <c r="I76" s="27"/>
      <c r="J76" s="322">
        <f t="shared" ref="J76" si="25">SUM(B76,F76)</f>
        <v>37745.845000000001</v>
      </c>
      <c r="K76" s="44">
        <f t="shared" ref="K76" si="26">SUM(C76,G76)</f>
        <v>58139.292000000001</v>
      </c>
      <c r="L76" s="274">
        <f t="shared" ref="L76" si="27">IF(J76=0, "    ---- ", IF(ABS(ROUND(100/J76*K76-100,1))&lt;999,ROUND(100/J76*K76-100,1),IF(ROUND(100/J76*K76-100,1)&gt;999,999,-999)))</f>
        <v>54</v>
      </c>
      <c r="M76" s="27">
        <f>IFERROR(100/'Skjema total MA'!I77*K76,0)</f>
        <v>0.58553203784895502</v>
      </c>
      <c r="N76" s="165"/>
      <c r="O76" s="165"/>
    </row>
    <row r="77" spans="1:15" ht="15.75" x14ac:dyDescent="0.2">
      <c r="A77" s="21" t="s">
        <v>480</v>
      </c>
      <c r="B77" s="250">
        <v>621963.18499999994</v>
      </c>
      <c r="C77" s="250">
        <v>447895.66099999996</v>
      </c>
      <c r="D77" s="183">
        <f t="shared" si="20"/>
        <v>-28</v>
      </c>
      <c r="E77" s="27">
        <f>IFERROR(100/'Skjema total MA'!C77*C77,0)</f>
        <v>14.346606847762814</v>
      </c>
      <c r="F77" s="250">
        <v>946368.71900000004</v>
      </c>
      <c r="G77" s="162">
        <v>921552.94799999997</v>
      </c>
      <c r="H77" s="183">
        <f t="shared" si="21"/>
        <v>-2.6</v>
      </c>
      <c r="I77" s="27">
        <f>IFERROR(100/'Skjema total MA'!F77*G77,0)</f>
        <v>13.53762101612306</v>
      </c>
      <c r="J77" s="322">
        <f t="shared" si="22"/>
        <v>1568331.9040000001</v>
      </c>
      <c r="K77" s="44">
        <f t="shared" si="22"/>
        <v>1369448.6089999999</v>
      </c>
      <c r="L77" s="274">
        <f t="shared" si="23"/>
        <v>-12.7</v>
      </c>
      <c r="M77" s="27">
        <f>IFERROR(100/'Skjema total MA'!I77*K77,0)</f>
        <v>13.791981415205173</v>
      </c>
    </row>
    <row r="78" spans="1:15" x14ac:dyDescent="0.2">
      <c r="A78" s="21" t="s">
        <v>9</v>
      </c>
      <c r="B78" s="250">
        <v>614166.96299999999</v>
      </c>
      <c r="C78" s="162">
        <v>441360.67099999997</v>
      </c>
      <c r="D78" s="183">
        <f t="shared" si="20"/>
        <v>-28.1</v>
      </c>
      <c r="E78" s="27">
        <f>IFERROR(100/'Skjema total MA'!C78*C78,0)</f>
        <v>14.565561824114608</v>
      </c>
      <c r="F78" s="250"/>
      <c r="G78" s="162"/>
      <c r="H78" s="183"/>
      <c r="I78" s="27"/>
      <c r="J78" s="322">
        <f t="shared" si="22"/>
        <v>614166.96299999999</v>
      </c>
      <c r="K78" s="44">
        <f t="shared" si="22"/>
        <v>441360.67099999997</v>
      </c>
      <c r="L78" s="274">
        <f t="shared" si="23"/>
        <v>-28.1</v>
      </c>
      <c r="M78" s="27">
        <f>IFERROR(100/'Skjema total MA'!I78*K78,0)</f>
        <v>14.565561824114608</v>
      </c>
    </row>
    <row r="79" spans="1:15" x14ac:dyDescent="0.2">
      <c r="A79" s="21" t="s">
        <v>10</v>
      </c>
      <c r="B79" s="327">
        <v>7796.2219999999998</v>
      </c>
      <c r="C79" s="328">
        <v>6534.99</v>
      </c>
      <c r="D79" s="183">
        <f t="shared" si="20"/>
        <v>-16.2</v>
      </c>
      <c r="E79" s="27">
        <f>IFERROR(100/'Skjema total MA'!C79*C79,0)</f>
        <v>7.1189937622639556</v>
      </c>
      <c r="F79" s="327">
        <v>946368.71900000004</v>
      </c>
      <c r="G79" s="328">
        <v>921552.94799999997</v>
      </c>
      <c r="H79" s="183">
        <f t="shared" si="21"/>
        <v>-2.6</v>
      </c>
      <c r="I79" s="27">
        <f>IFERROR(100/'Skjema total MA'!F79*G79,0)</f>
        <v>13.53762101612306</v>
      </c>
      <c r="J79" s="322">
        <f t="shared" si="22"/>
        <v>954164.94099999999</v>
      </c>
      <c r="K79" s="44">
        <f t="shared" si="22"/>
        <v>928087.93799999997</v>
      </c>
      <c r="L79" s="274">
        <f t="shared" si="23"/>
        <v>-2.7</v>
      </c>
      <c r="M79" s="27">
        <f>IFERROR(100/'Skjema total MA'!I79*K79,0)</f>
        <v>13.452217994055498</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c r="G80" s="316"/>
      <c r="H80" s="183"/>
      <c r="I80" s="453"/>
      <c r="J80" s="325"/>
      <c r="K80" s="325"/>
      <c r="L80" s="183"/>
      <c r="M80" s="23"/>
    </row>
    <row r="81" spans="1:13" x14ac:dyDescent="0.2">
      <c r="A81" s="729" t="s">
        <v>12</v>
      </c>
      <c r="B81" s="251"/>
      <c r="C81" s="324"/>
      <c r="D81" s="183"/>
      <c r="E81" s="453" t="str">
        <f>IF(kvartal=4,IFERROR(100/'Skjema total MA'!B81*C81,0),"")</f>
        <v/>
      </c>
      <c r="F81" s="316"/>
      <c r="G81" s="316"/>
      <c r="H81" s="183"/>
      <c r="I81" s="453"/>
      <c r="J81" s="325"/>
      <c r="K81" s="325"/>
      <c r="L81" s="183"/>
      <c r="M81" s="23"/>
    </row>
    <row r="82" spans="1:13" x14ac:dyDescent="0.2">
      <c r="A82" s="729" t="s">
        <v>13</v>
      </c>
      <c r="B82" s="251"/>
      <c r="C82" s="324"/>
      <c r="D82" s="183"/>
      <c r="E82" s="453" t="str">
        <f>IF(kvartal=4,IFERROR(100/'Skjema total MA'!B82*C82,0),"")</f>
        <v/>
      </c>
      <c r="F82" s="316"/>
      <c r="G82" s="316"/>
      <c r="H82" s="183"/>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c r="G83" s="316"/>
      <c r="H83" s="183"/>
      <c r="I83" s="453"/>
      <c r="J83" s="325"/>
      <c r="K83" s="325"/>
      <c r="L83" s="183"/>
      <c r="M83" s="23"/>
    </row>
    <row r="84" spans="1:13" x14ac:dyDescent="0.2">
      <c r="A84" s="729" t="s">
        <v>12</v>
      </c>
      <c r="B84" s="251"/>
      <c r="C84" s="324"/>
      <c r="D84" s="183"/>
      <c r="E84" s="453" t="str">
        <f>IF(kvartal=4,IFERROR(100/'Skjema total MA'!B84*C84,0),"")</f>
        <v/>
      </c>
      <c r="F84" s="316"/>
      <c r="G84" s="316"/>
      <c r="H84" s="183"/>
      <c r="I84" s="453"/>
      <c r="J84" s="325"/>
      <c r="K84" s="325"/>
      <c r="L84" s="183"/>
      <c r="M84" s="23"/>
    </row>
    <row r="85" spans="1:13" x14ac:dyDescent="0.2">
      <c r="A85" s="729" t="s">
        <v>13</v>
      </c>
      <c r="B85" s="251"/>
      <c r="C85" s="324"/>
      <c r="D85" s="183"/>
      <c r="E85" s="453" t="str">
        <f>IF(kvartal=4,IFERROR(100/'Skjema total MA'!B85*C85,0),"")</f>
        <v/>
      </c>
      <c r="F85" s="316"/>
      <c r="G85" s="316"/>
      <c r="H85" s="183"/>
      <c r="I85" s="453"/>
      <c r="J85" s="325"/>
      <c r="K85" s="325"/>
      <c r="L85" s="183"/>
      <c r="M85" s="23"/>
    </row>
    <row r="86" spans="1:13" ht="15.75" x14ac:dyDescent="0.2">
      <c r="A86" s="21" t="s">
        <v>481</v>
      </c>
      <c r="B86" s="250">
        <v>7848.8149999999996</v>
      </c>
      <c r="C86" s="162">
        <v>8482.0470000000005</v>
      </c>
      <c r="D86" s="183">
        <f t="shared" si="20"/>
        <v>8.1</v>
      </c>
      <c r="E86" s="27">
        <f>IFERROR(100/'Skjema total MA'!C86*C86,0)</f>
        <v>6.2863682024480987</v>
      </c>
      <c r="F86" s="250">
        <v>1050.1859999999999</v>
      </c>
      <c r="G86" s="162">
        <v>1406.633</v>
      </c>
      <c r="H86" s="183">
        <f t="shared" si="21"/>
        <v>33.9</v>
      </c>
      <c r="I86" s="27">
        <f>IFERROR(100/'Skjema total MA'!F86*G86,0)</f>
        <v>39.099650841582594</v>
      </c>
      <c r="J86" s="322">
        <f t="shared" si="22"/>
        <v>8899.0010000000002</v>
      </c>
      <c r="K86" s="44">
        <f t="shared" si="22"/>
        <v>9888.68</v>
      </c>
      <c r="L86" s="274">
        <f t="shared" si="23"/>
        <v>11.1</v>
      </c>
      <c r="M86" s="27">
        <f>IFERROR(100/'Skjema total MA'!I86*K86,0)</f>
        <v>7.1385433845407338</v>
      </c>
    </row>
    <row r="87" spans="1:13" ht="15.75" x14ac:dyDescent="0.2">
      <c r="A87" s="13" t="s">
        <v>466</v>
      </c>
      <c r="B87" s="387">
        <f>B88+B89+B96+B97</f>
        <v>44157248.708517127</v>
      </c>
      <c r="C87" s="387">
        <f>C88+C89+C96+C97</f>
        <v>45001241.651541643</v>
      </c>
      <c r="D87" s="188">
        <f t="shared" si="20"/>
        <v>1.9</v>
      </c>
      <c r="E87" s="11">
        <f>IFERROR(100/'Skjema total MA'!C87*C87,0)</f>
        <v>11.695653961935975</v>
      </c>
      <c r="F87" s="386">
        <f>SUM(F88,F89,F96,F97)</f>
        <v>27190126.230220001</v>
      </c>
      <c r="G87" s="386">
        <f>SUM(G88,G89,G96,G97)</f>
        <v>31504892.150901601</v>
      </c>
      <c r="H87" s="188">
        <f t="shared" si="21"/>
        <v>15.9</v>
      </c>
      <c r="I87" s="11">
        <f>IFERROR(100/'Skjema total MA'!F87*G87,0)</f>
        <v>13.437057564519304</v>
      </c>
      <c r="J87" s="345">
        <f t="shared" ref="J87:K111" si="28">SUM(B87,F87)</f>
        <v>71347374.938737124</v>
      </c>
      <c r="K87" s="252">
        <f t="shared" si="28"/>
        <v>76506133.802443236</v>
      </c>
      <c r="L87" s="464">
        <f t="shared" si="23"/>
        <v>7.2</v>
      </c>
      <c r="M87" s="11">
        <f>IFERROR(100/'Skjema total MA'!I87*K87,0)</f>
        <v>12.355010186243474</v>
      </c>
    </row>
    <row r="88" spans="1:13" x14ac:dyDescent="0.2">
      <c r="A88" s="21" t="s">
        <v>9</v>
      </c>
      <c r="B88" s="250">
        <v>43099856.746551096</v>
      </c>
      <c r="C88" s="162">
        <v>43842517.954695702</v>
      </c>
      <c r="D88" s="183">
        <f t="shared" si="20"/>
        <v>1.7</v>
      </c>
      <c r="E88" s="27">
        <f>IFERROR(100/'Skjema total MA'!C88*C88,0)</f>
        <v>11.63232999431186</v>
      </c>
      <c r="F88" s="250"/>
      <c r="G88" s="162"/>
      <c r="H88" s="183"/>
      <c r="I88" s="27"/>
      <c r="J88" s="322">
        <f t="shared" si="28"/>
        <v>43099856.746551096</v>
      </c>
      <c r="K88" s="44">
        <f t="shared" si="28"/>
        <v>43842517.954695702</v>
      </c>
      <c r="L88" s="274">
        <f t="shared" si="23"/>
        <v>1.7</v>
      </c>
      <c r="M88" s="27">
        <f>IFERROR(100/'Skjema total MA'!I88*K88,0)</f>
        <v>11.63232999431186</v>
      </c>
    </row>
    <row r="89" spans="1:13" x14ac:dyDescent="0.2">
      <c r="A89" s="21" t="s">
        <v>10</v>
      </c>
      <c r="B89" s="250">
        <v>1057391.9619660301</v>
      </c>
      <c r="C89" s="162">
        <v>1110947.11084594</v>
      </c>
      <c r="D89" s="183">
        <f t="shared" si="20"/>
        <v>5.0999999999999996</v>
      </c>
      <c r="E89" s="27">
        <f>IFERROR(100/'Skjema total MA'!C89*C89,0)</f>
        <v>41.432449305736746</v>
      </c>
      <c r="F89" s="250">
        <v>27190126.230220001</v>
      </c>
      <c r="G89" s="162">
        <v>31504892.150901601</v>
      </c>
      <c r="H89" s="183">
        <f t="shared" si="21"/>
        <v>15.9</v>
      </c>
      <c r="I89" s="27">
        <f>IFERROR(100/'Skjema total MA'!F89*G89,0)</f>
        <v>13.482112085108581</v>
      </c>
      <c r="J89" s="322">
        <f t="shared" si="28"/>
        <v>28247518.192186031</v>
      </c>
      <c r="K89" s="44">
        <f t="shared" si="28"/>
        <v>32615839.261747539</v>
      </c>
      <c r="L89" s="274">
        <f t="shared" si="23"/>
        <v>15.5</v>
      </c>
      <c r="M89" s="27">
        <f>IFERROR(100/'Skjema total MA'!I89*K89,0)</f>
        <v>13.799189156277079</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c r="G90" s="316"/>
      <c r="H90" s="183"/>
      <c r="I90" s="453"/>
      <c r="J90" s="325"/>
      <c r="K90" s="325"/>
      <c r="L90" s="183"/>
      <c r="M90" s="23"/>
    </row>
    <row r="91" spans="1:13" x14ac:dyDescent="0.2">
      <c r="A91" s="729" t="s">
        <v>12</v>
      </c>
      <c r="B91" s="251"/>
      <c r="C91" s="324"/>
      <c r="D91" s="183"/>
      <c r="E91" s="453" t="str">
        <f>IF(kvartal=4,IFERROR(100/'Skjema total MA'!B91*C91,0),"")</f>
        <v/>
      </c>
      <c r="F91" s="316"/>
      <c r="G91" s="316"/>
      <c r="H91" s="183"/>
      <c r="I91" s="453"/>
      <c r="J91" s="325"/>
      <c r="K91" s="325"/>
      <c r="L91" s="183"/>
      <c r="M91" s="23"/>
    </row>
    <row r="92" spans="1:13" x14ac:dyDescent="0.2">
      <c r="A92" s="729" t="s">
        <v>13</v>
      </c>
      <c r="B92" s="251"/>
      <c r="C92" s="324"/>
      <c r="D92" s="183"/>
      <c r="E92" s="453" t="str">
        <f>IF(kvartal=4,IFERROR(100/'Skjema total MA'!B92*C92,0),"")</f>
        <v/>
      </c>
      <c r="F92" s="316"/>
      <c r="G92" s="316"/>
      <c r="H92" s="183"/>
      <c r="I92" s="453"/>
      <c r="J92" s="325"/>
      <c r="K92" s="325"/>
      <c r="L92" s="183"/>
      <c r="M92" s="23"/>
    </row>
    <row r="93" spans="1:13" ht="15.75" x14ac:dyDescent="0.2">
      <c r="A93" s="729" t="s">
        <v>479</v>
      </c>
      <c r="B93" s="316" t="s">
        <v>458</v>
      </c>
      <c r="C93" s="316" t="s">
        <v>458</v>
      </c>
      <c r="D93" s="183" t="str">
        <f>IF(kvartal=4,IF(B93=0, "    ---- ", IF(ABS(ROUND(100/B93*C93-100,1))&lt;999,ROUND(100/B93*C93-100,1),IF(ROUND(100/B93*C93-100,1)&gt;999,999,-999))),"")</f>
        <v/>
      </c>
      <c r="E93" s="453" t="str">
        <f>IF(kvartal=4,IFERROR(100/'Skjema total MA'!B93*C93,0),"")</f>
        <v/>
      </c>
      <c r="F93" s="316"/>
      <c r="G93" s="316"/>
      <c r="H93" s="183"/>
      <c r="I93" s="453"/>
      <c r="J93" s="325"/>
      <c r="K93" s="325"/>
      <c r="L93" s="183"/>
      <c r="M93" s="23"/>
    </row>
    <row r="94" spans="1:13" x14ac:dyDescent="0.2">
      <c r="A94" s="729" t="s">
        <v>12</v>
      </c>
      <c r="B94" s="251"/>
      <c r="C94" s="324"/>
      <c r="D94" s="183"/>
      <c r="E94" s="453" t="str">
        <f>IF(kvartal=4,IFERROR(100/'Skjema total MA'!B94*C94,0),"")</f>
        <v/>
      </c>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v>0</v>
      </c>
      <c r="C97" s="162">
        <v>47776.586000000003</v>
      </c>
      <c r="D97" s="183" t="str">
        <f t="shared" ref="D97" si="29">IF(B97=0, "    ---- ", IF(ABS(ROUND(100/B97*C97-100,1))&lt;999,ROUND(100/B97*C97-100,1),IF(ROUND(100/B97*C97-100,1)&gt;999,999,-999)))</f>
        <v xml:space="preserve">    ---- </v>
      </c>
      <c r="E97" s="27">
        <f>IFERROR(100/'Skjema total MA'!C98*C97,0)</f>
        <v>1.2751809852802609E-2</v>
      </c>
      <c r="F97" s="250"/>
      <c r="G97" s="162"/>
      <c r="H97" s="183"/>
      <c r="I97" s="27"/>
      <c r="J97" s="322">
        <f t="shared" ref="J97" si="30">SUM(B97,F97)</f>
        <v>0</v>
      </c>
      <c r="K97" s="44">
        <f t="shared" ref="K97" si="31">SUM(C97,G97)</f>
        <v>47776.586000000003</v>
      </c>
      <c r="L97" s="274" t="str">
        <f t="shared" ref="L97" si="32">IF(J97=0, "    ---- ", IF(ABS(ROUND(100/J97*K97-100,1))&lt;999,ROUND(100/J97*K97-100,1),IF(ROUND(100/J97*K97-100,1)&gt;999,999,-999)))</f>
        <v xml:space="preserve">    ---- </v>
      </c>
      <c r="M97" s="27">
        <f>IFERROR(100/'Skjema total MA'!I98*K97,0)</f>
        <v>7.8614554725621524E-3</v>
      </c>
    </row>
    <row r="98" spans="1:13" ht="15.75" x14ac:dyDescent="0.2">
      <c r="A98" s="21" t="s">
        <v>480</v>
      </c>
      <c r="B98" s="250">
        <v>44131763.009034328</v>
      </c>
      <c r="C98" s="250">
        <v>44934868.449541636</v>
      </c>
      <c r="D98" s="183">
        <f t="shared" si="20"/>
        <v>1.8</v>
      </c>
      <c r="E98" s="27">
        <f>IFERROR(100/'Skjema total MA'!C98*C98,0)</f>
        <v>11.993341220095845</v>
      </c>
      <c r="F98" s="327">
        <v>27171829.25922</v>
      </c>
      <c r="G98" s="327">
        <v>31481383.4869016</v>
      </c>
      <c r="H98" s="183">
        <f t="shared" si="21"/>
        <v>15.9</v>
      </c>
      <c r="I98" s="27">
        <f>IFERROR(100/'Skjema total MA'!F98*G98,0)</f>
        <v>13.507443276085651</v>
      </c>
      <c r="J98" s="322">
        <f t="shared" si="28"/>
        <v>71303592.268254325</v>
      </c>
      <c r="K98" s="44">
        <f t="shared" si="28"/>
        <v>76416251.936443239</v>
      </c>
      <c r="L98" s="274">
        <f t="shared" si="23"/>
        <v>7.2</v>
      </c>
      <c r="M98" s="27">
        <f>IFERROR(100/'Skjema total MA'!I98*K98,0)</f>
        <v>12.574003550158228</v>
      </c>
    </row>
    <row r="99" spans="1:13" x14ac:dyDescent="0.2">
      <c r="A99" s="21" t="s">
        <v>9</v>
      </c>
      <c r="B99" s="327">
        <v>43074371.047068298</v>
      </c>
      <c r="C99" s="328">
        <v>43823921.338695697</v>
      </c>
      <c r="D99" s="183">
        <f t="shared" si="20"/>
        <v>1.7</v>
      </c>
      <c r="E99" s="27">
        <f>IFERROR(100/'Skjema total MA'!C99*C99,0)</f>
        <v>11.781137298165298</v>
      </c>
      <c r="F99" s="250"/>
      <c r="G99" s="162"/>
      <c r="H99" s="183"/>
      <c r="I99" s="27"/>
      <c r="J99" s="322">
        <f t="shared" si="28"/>
        <v>43074371.047068298</v>
      </c>
      <c r="K99" s="44">
        <f t="shared" si="28"/>
        <v>43823921.338695697</v>
      </c>
      <c r="L99" s="274">
        <f t="shared" si="23"/>
        <v>1.7</v>
      </c>
      <c r="M99" s="27">
        <f>IFERROR(100/'Skjema total MA'!I99*K99,0)</f>
        <v>11.781137298165298</v>
      </c>
    </row>
    <row r="100" spans="1:13" x14ac:dyDescent="0.2">
      <c r="A100" s="21" t="s">
        <v>10</v>
      </c>
      <c r="B100" s="327">
        <v>1057391.9619660301</v>
      </c>
      <c r="C100" s="328">
        <v>1110947.11084594</v>
      </c>
      <c r="D100" s="183">
        <f t="shared" si="20"/>
        <v>5.0999999999999996</v>
      </c>
      <c r="E100" s="27">
        <f>IFERROR(100/'Skjema total MA'!C100*C100,0)</f>
        <v>41.432449305736746</v>
      </c>
      <c r="F100" s="250">
        <v>27171829.25922</v>
      </c>
      <c r="G100" s="250">
        <v>31481383.4869016</v>
      </c>
      <c r="H100" s="183">
        <f t="shared" si="21"/>
        <v>15.9</v>
      </c>
      <c r="I100" s="27">
        <f>IFERROR(100/'Skjema total MA'!F100*G100,0)</f>
        <v>13.507443276085651</v>
      </c>
      <c r="J100" s="322">
        <f t="shared" si="28"/>
        <v>28229221.221186031</v>
      </c>
      <c r="K100" s="44">
        <f t="shared" si="28"/>
        <v>32592330.597747538</v>
      </c>
      <c r="L100" s="274">
        <f t="shared" si="23"/>
        <v>15.5</v>
      </c>
      <c r="M100" s="27">
        <f>IFERROR(100/'Skjema total MA'!I100*K100,0)</f>
        <v>13.825055731714631</v>
      </c>
    </row>
    <row r="101" spans="1:13" ht="15.75" x14ac:dyDescent="0.2">
      <c r="A101" s="729" t="s">
        <v>478</v>
      </c>
      <c r="B101" s="316" t="s">
        <v>458</v>
      </c>
      <c r="C101" s="316" t="s">
        <v>458</v>
      </c>
      <c r="D101" s="183" t="str">
        <f>IF(kvartal=4,IF(B101=0, "    ---- ", IF(ABS(ROUND(100/B101*C101-100,1))&lt;999,ROUND(100/B101*C101-100,1),IF(ROUND(100/B101*C101-100,1)&gt;999,999,-999))),"")</f>
        <v/>
      </c>
      <c r="E101" s="453" t="str">
        <f>IF(kvartal=4,IFERROR(100/'Skjema total MA'!B101*C101,0),"")</f>
        <v/>
      </c>
      <c r="F101" s="316"/>
      <c r="G101" s="316"/>
      <c r="H101" s="183"/>
      <c r="I101" s="453"/>
      <c r="J101" s="325"/>
      <c r="K101" s="325"/>
      <c r="L101" s="183"/>
      <c r="M101" s="23"/>
    </row>
    <row r="102" spans="1:13" x14ac:dyDescent="0.2">
      <c r="A102" s="729" t="s">
        <v>12</v>
      </c>
      <c r="B102" s="251"/>
      <c r="C102" s="324"/>
      <c r="D102" s="183"/>
      <c r="E102" s="453" t="str">
        <f>IF(kvartal=4,IFERROR(100/'Skjema total MA'!B102*C102,0),"")</f>
        <v/>
      </c>
      <c r="F102" s="316"/>
      <c r="G102" s="316"/>
      <c r="H102" s="183"/>
      <c r="I102" s="453"/>
      <c r="J102" s="325"/>
      <c r="K102" s="325"/>
      <c r="L102" s="183"/>
      <c r="M102" s="23"/>
    </row>
    <row r="103" spans="1:13" x14ac:dyDescent="0.2">
      <c r="A103" s="729" t="s">
        <v>13</v>
      </c>
      <c r="B103" s="251"/>
      <c r="C103" s="324"/>
      <c r="D103" s="183"/>
      <c r="E103" s="453" t="str">
        <f>IF(kvartal=4,IFERROR(100/'Skjema total MA'!B103*C103,0),"")</f>
        <v/>
      </c>
      <c r="F103" s="316"/>
      <c r="G103" s="316"/>
      <c r="H103" s="183"/>
      <c r="I103" s="453"/>
      <c r="J103" s="325"/>
      <c r="K103" s="325"/>
      <c r="L103" s="183"/>
      <c r="M103" s="23"/>
    </row>
    <row r="104" spans="1:13" ht="15.75" x14ac:dyDescent="0.2">
      <c r="A104" s="729" t="s">
        <v>479</v>
      </c>
      <c r="B104" s="316" t="s">
        <v>458</v>
      </c>
      <c r="C104" s="316" t="s">
        <v>458</v>
      </c>
      <c r="D104" s="183" t="str">
        <f>IF(kvartal=4,IF(B104=0, "    ---- ", IF(ABS(ROUND(100/B104*C104-100,1))&lt;999,ROUND(100/B104*C104-100,1),IF(ROUND(100/B104*C104-100,1)&gt;999,999,-999))),"")</f>
        <v/>
      </c>
      <c r="E104" s="453" t="str">
        <f>IF(kvartal=4,IFERROR(100/'Skjema total MA'!B104*C104,0),"")</f>
        <v/>
      </c>
      <c r="F104" s="316"/>
      <c r="G104" s="316"/>
      <c r="H104" s="183"/>
      <c r="I104" s="453"/>
      <c r="J104" s="325"/>
      <c r="K104" s="325"/>
      <c r="L104" s="183"/>
      <c r="M104" s="23"/>
    </row>
    <row r="105" spans="1:13" x14ac:dyDescent="0.2">
      <c r="A105" s="729" t="s">
        <v>12</v>
      </c>
      <c r="B105" s="251"/>
      <c r="C105" s="324"/>
      <c r="D105" s="183"/>
      <c r="E105" s="453" t="str">
        <f>IF(kvartal=4,IFERROR(100/'Skjema total MA'!B105*C105,0),"")</f>
        <v/>
      </c>
      <c r="F105" s="316"/>
      <c r="G105" s="316"/>
      <c r="H105" s="183"/>
      <c r="I105" s="453"/>
      <c r="J105" s="325"/>
      <c r="K105" s="325"/>
      <c r="L105" s="183"/>
      <c r="M105" s="23"/>
    </row>
    <row r="106" spans="1:13" x14ac:dyDescent="0.2">
      <c r="A106" s="729" t="s">
        <v>13</v>
      </c>
      <c r="B106" s="251"/>
      <c r="C106" s="324"/>
      <c r="D106" s="183"/>
      <c r="E106" s="453" t="str">
        <f>IF(kvartal=4,IFERROR(100/'Skjema total MA'!B106*C106,0),"")</f>
        <v/>
      </c>
      <c r="F106" s="316"/>
      <c r="G106" s="316"/>
      <c r="H106" s="183"/>
      <c r="I106" s="453"/>
      <c r="J106" s="325"/>
      <c r="K106" s="325"/>
      <c r="L106" s="183"/>
      <c r="M106" s="23"/>
    </row>
    <row r="107" spans="1:13" ht="15.75" x14ac:dyDescent="0.2">
      <c r="A107" s="21" t="s">
        <v>481</v>
      </c>
      <c r="B107" s="250">
        <v>25485.699482840999</v>
      </c>
      <c r="C107" s="162">
        <v>18596.616000000002</v>
      </c>
      <c r="D107" s="183">
        <f t="shared" si="20"/>
        <v>-27</v>
      </c>
      <c r="E107" s="27">
        <f>IFERROR(100/'Skjema total MA'!C107*C107,0)</f>
        <v>0.37809559158406569</v>
      </c>
      <c r="F107" s="250">
        <v>18296.971000000001</v>
      </c>
      <c r="G107" s="162">
        <v>23508.664000000001</v>
      </c>
      <c r="H107" s="183">
        <f t="shared" si="21"/>
        <v>28.5</v>
      </c>
      <c r="I107" s="27">
        <f>IFERROR(100/'Skjema total MA'!F107*G107,0)</f>
        <v>3.8395740196349468</v>
      </c>
      <c r="J107" s="322">
        <f t="shared" si="28"/>
        <v>43782.670482841</v>
      </c>
      <c r="K107" s="44">
        <f t="shared" si="28"/>
        <v>42105.279999999999</v>
      </c>
      <c r="L107" s="274">
        <f t="shared" si="23"/>
        <v>-3.8</v>
      </c>
      <c r="M107" s="27">
        <f>IFERROR(100/'Skjema total MA'!I107*K107,0)</f>
        <v>0.76129166291851857</v>
      </c>
    </row>
    <row r="108" spans="1:13" ht="15.75" x14ac:dyDescent="0.2">
      <c r="A108" s="21" t="s">
        <v>482</v>
      </c>
      <c r="B108" s="250">
        <v>31959043.092</v>
      </c>
      <c r="C108" s="250">
        <v>33406527.512664601</v>
      </c>
      <c r="D108" s="183">
        <f t="shared" si="20"/>
        <v>4.5</v>
      </c>
      <c r="E108" s="27">
        <f>IFERROR(100/'Skjema total MA'!C108*C108,0)</f>
        <v>10.872536769171631</v>
      </c>
      <c r="F108" s="250"/>
      <c r="G108" s="250"/>
      <c r="H108" s="183"/>
      <c r="I108" s="27"/>
      <c r="J108" s="322">
        <f t="shared" si="28"/>
        <v>31959043.092</v>
      </c>
      <c r="K108" s="44">
        <f t="shared" si="28"/>
        <v>33406527.512664601</v>
      </c>
      <c r="L108" s="274">
        <f t="shared" si="23"/>
        <v>4.5</v>
      </c>
      <c r="M108" s="27">
        <f>IFERROR(100/'Skjema total MA'!I108*K108,0)</f>
        <v>10.352608123690979</v>
      </c>
    </row>
    <row r="109" spans="1:13" ht="15.75" x14ac:dyDescent="0.2">
      <c r="A109" s="21" t="s">
        <v>483</v>
      </c>
      <c r="B109" s="250">
        <v>382855.94799999997</v>
      </c>
      <c r="C109" s="250">
        <v>650726.03586899803</v>
      </c>
      <c r="D109" s="183">
        <f t="shared" si="20"/>
        <v>70</v>
      </c>
      <c r="E109" s="27">
        <f>IFERROR(100/'Skjema total MA'!C109*C109,0)</f>
        <v>61.592432728846305</v>
      </c>
      <c r="F109" s="250">
        <v>10702263.7377962</v>
      </c>
      <c r="G109" s="250">
        <v>12863286.6115948</v>
      </c>
      <c r="H109" s="183">
        <f t="shared" si="21"/>
        <v>20.2</v>
      </c>
      <c r="I109" s="27">
        <f>IFERROR(100/'Skjema total MA'!F109*G109,0)</f>
        <v>17.380795085519111</v>
      </c>
      <c r="J109" s="322">
        <f t="shared" si="28"/>
        <v>11085119.685796201</v>
      </c>
      <c r="K109" s="44">
        <f t="shared" si="28"/>
        <v>13514012.647463799</v>
      </c>
      <c r="L109" s="274">
        <f t="shared" si="23"/>
        <v>21.9</v>
      </c>
      <c r="M109" s="27">
        <f>IFERROR(100/'Skjema total MA'!I109*K109,0)</f>
        <v>18.003051274550213</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3848.3739999999998</v>
      </c>
      <c r="C111" s="176">
        <f>SUM(C112:C114)</f>
        <v>294.08199999999999</v>
      </c>
      <c r="D111" s="188">
        <f t="shared" si="20"/>
        <v>-92.4</v>
      </c>
      <c r="E111" s="11">
        <f>IFERROR(100/'Skjema total MA'!C111*C111,0)</f>
        <v>6.625529374149404E-2</v>
      </c>
      <c r="F111" s="344">
        <f>SUM(F112:F114)</f>
        <v>393977.85399999999</v>
      </c>
      <c r="G111" s="176">
        <f>SUM(G112:G114)</f>
        <v>1290956.811</v>
      </c>
      <c r="H111" s="188">
        <f t="shared" si="21"/>
        <v>227.7</v>
      </c>
      <c r="I111" s="11">
        <f>IFERROR(100/'Skjema total MA'!F111*G111,0)</f>
        <v>26.894658577391006</v>
      </c>
      <c r="J111" s="345">
        <f t="shared" si="28"/>
        <v>397826.228</v>
      </c>
      <c r="K111" s="252">
        <f t="shared" si="28"/>
        <v>1291250.8929999999</v>
      </c>
      <c r="L111" s="464">
        <f t="shared" si="23"/>
        <v>224.6</v>
      </c>
      <c r="M111" s="11">
        <f>IFERROR(100/'Skjema total MA'!I111*K111,0)</f>
        <v>24.623814183471019</v>
      </c>
    </row>
    <row r="112" spans="1:13" x14ac:dyDescent="0.2">
      <c r="A112" s="21" t="s">
        <v>9</v>
      </c>
      <c r="B112" s="250">
        <v>3848.3739999999998</v>
      </c>
      <c r="C112" s="162">
        <v>294.08199999999999</v>
      </c>
      <c r="D112" s="183">
        <f t="shared" ref="D112:D124" si="33">IF(B112=0, "    ---- ", IF(ABS(ROUND(100/B112*C112-100,1))&lt;999,ROUND(100/B112*C112-100,1),IF(ROUND(100/B112*C112-100,1)&gt;999,999,-999)))</f>
        <v>-92.4</v>
      </c>
      <c r="E112" s="27">
        <f>IFERROR(100/'Skjema total MA'!C112*C112,0)</f>
        <v>6.8553265115204404E-2</v>
      </c>
      <c r="F112" s="250"/>
      <c r="G112" s="162"/>
      <c r="H112" s="183"/>
      <c r="I112" s="27"/>
      <c r="J112" s="322">
        <f t="shared" ref="J112:K125" si="34">SUM(B112,F112)</f>
        <v>3848.3739999999998</v>
      </c>
      <c r="K112" s="44">
        <f t="shared" si="34"/>
        <v>294.08199999999999</v>
      </c>
      <c r="L112" s="274">
        <f t="shared" ref="L112:L125" si="35">IF(J112=0, "    ---- ", IF(ABS(ROUND(100/J112*K112-100,1))&lt;999,ROUND(100/J112*K112-100,1),IF(ROUND(100/J112*K112-100,1)&gt;999,999,-999)))</f>
        <v>-92.4</v>
      </c>
      <c r="M112" s="27">
        <f>IFERROR(100/'Skjema total MA'!I112*K112,0)</f>
        <v>6.8514179839671147E-2</v>
      </c>
    </row>
    <row r="113" spans="1:14" x14ac:dyDescent="0.2">
      <c r="A113" s="21" t="s">
        <v>10</v>
      </c>
      <c r="B113" s="250"/>
      <c r="C113" s="162"/>
      <c r="D113" s="183"/>
      <c r="E113" s="27"/>
      <c r="F113" s="250">
        <v>393977.85399999999</v>
      </c>
      <c r="G113" s="162">
        <v>1290956.811</v>
      </c>
      <c r="H113" s="183">
        <f t="shared" ref="H113:H125" si="36">IF(F113=0, "    ---- ", IF(ABS(ROUND(100/F113*G113-100,1))&lt;999,ROUND(100/F113*G113-100,1),IF(ROUND(100/F113*G113-100,1)&gt;999,999,-999)))</f>
        <v>227.7</v>
      </c>
      <c r="I113" s="27">
        <f>IFERROR(100/'Skjema total MA'!F113*G113,0)</f>
        <v>26.972245583825369</v>
      </c>
      <c r="J113" s="322">
        <f t="shared" si="34"/>
        <v>393977.85399999999</v>
      </c>
      <c r="K113" s="44">
        <f t="shared" si="34"/>
        <v>1290956.811</v>
      </c>
      <c r="L113" s="274">
        <f t="shared" si="35"/>
        <v>227.7</v>
      </c>
      <c r="M113" s="27">
        <f>IFERROR(100/'Skjema total MA'!I113*K113,0)</f>
        <v>26.972245583825369</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t="str">
        <f>IF(kvartal=4,SUM(B115,F115),"")</f>
        <v/>
      </c>
      <c r="K115" s="325" t="str">
        <f>IF(kvartal=4,SUM(C115,G115),"")</f>
        <v/>
      </c>
      <c r="L115" s="183" t="str">
        <f>IF(kvartal=4,IF(J115=0, "    ---- ", IF(ABS(ROUND(100/J115*K115-100,1))&lt;999,ROUND(100/J115*K115-100,1),IF(ROUND(100/J115*K115-100,1)&gt;999,999,-999))),"")</f>
        <v/>
      </c>
      <c r="M115" s="23"/>
    </row>
    <row r="116" spans="1:14" ht="15.75" x14ac:dyDescent="0.2">
      <c r="A116" s="21" t="s">
        <v>482</v>
      </c>
      <c r="B116" s="250">
        <v>2874.9560000000001</v>
      </c>
      <c r="C116" s="250">
        <v>294.08199999999999</v>
      </c>
      <c r="D116" s="183">
        <f t="shared" si="33"/>
        <v>-89.8</v>
      </c>
      <c r="E116" s="27">
        <f>IFERROR(100/'Skjema total MA'!C116*C116,0)</f>
        <v>0.63461839923728691</v>
      </c>
      <c r="F116" s="250"/>
      <c r="G116" s="250"/>
      <c r="H116" s="183"/>
      <c r="I116" s="27"/>
      <c r="J116" s="322">
        <f t="shared" si="34"/>
        <v>2874.9560000000001</v>
      </c>
      <c r="K116" s="44">
        <f t="shared" si="34"/>
        <v>294.08199999999999</v>
      </c>
      <c r="L116" s="274">
        <f t="shared" si="35"/>
        <v>-89.8</v>
      </c>
      <c r="M116" s="27">
        <f>IFERROR(100/'Skjema total MA'!I116*K116,0)</f>
        <v>0.62716728496851348</v>
      </c>
    </row>
    <row r="117" spans="1:14" ht="15.75" x14ac:dyDescent="0.2">
      <c r="A117" s="21" t="s">
        <v>483</v>
      </c>
      <c r="B117" s="250"/>
      <c r="C117" s="250"/>
      <c r="D117" s="183"/>
      <c r="E117" s="27"/>
      <c r="F117" s="250">
        <v>74701.762000000002</v>
      </c>
      <c r="G117" s="250">
        <v>50491.228999999999</v>
      </c>
      <c r="H117" s="183">
        <f t="shared" si="36"/>
        <v>-32.4</v>
      </c>
      <c r="I117" s="27">
        <f>IFERROR(100/'Skjema total MA'!F117*G117,0)</f>
        <v>10.130692537260549</v>
      </c>
      <c r="J117" s="322">
        <f t="shared" si="34"/>
        <v>74701.762000000002</v>
      </c>
      <c r="K117" s="44">
        <f t="shared" si="34"/>
        <v>50491.228999999999</v>
      </c>
      <c r="L117" s="274">
        <f t="shared" si="35"/>
        <v>-32.4</v>
      </c>
      <c r="M117" s="27">
        <f>IFERROR(100/'Skjema total MA'!I117*K117,0)</f>
        <v>10.130692537260549</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91182.38</v>
      </c>
      <c r="C119" s="176">
        <f>SUM(C120:C122)</f>
        <v>47257.763639999699</v>
      </c>
      <c r="D119" s="188">
        <f t="shared" si="33"/>
        <v>-48.2</v>
      </c>
      <c r="E119" s="11">
        <f>IFERROR(100/'Skjema total MA'!C119*C119,0)</f>
        <v>27.769897812930832</v>
      </c>
      <c r="F119" s="344">
        <f>SUM(F120:F122)</f>
        <v>990660.43</v>
      </c>
      <c r="G119" s="176">
        <f>SUM(G120:G122)</f>
        <v>1343097.2990000001</v>
      </c>
      <c r="H119" s="188">
        <f t="shared" si="36"/>
        <v>35.6</v>
      </c>
      <c r="I119" s="11">
        <f>IFERROR(100/'Skjema total MA'!F119*G119,0)</f>
        <v>26.760679111004958</v>
      </c>
      <c r="J119" s="345">
        <f t="shared" si="34"/>
        <v>1081842.81</v>
      </c>
      <c r="K119" s="252">
        <f t="shared" si="34"/>
        <v>1390355.0626399999</v>
      </c>
      <c r="L119" s="464">
        <f t="shared" si="35"/>
        <v>28.5</v>
      </c>
      <c r="M119" s="11">
        <f>IFERROR(100/'Skjema total MA'!I119*K119,0)</f>
        <v>26.793776396806383</v>
      </c>
    </row>
    <row r="120" spans="1:14" x14ac:dyDescent="0.2">
      <c r="A120" s="21" t="s">
        <v>9</v>
      </c>
      <c r="B120" s="250">
        <v>91182.38</v>
      </c>
      <c r="C120" s="162">
        <v>47257.763639999699</v>
      </c>
      <c r="D120" s="183">
        <f t="shared" si="33"/>
        <v>-48.2</v>
      </c>
      <c r="E120" s="27">
        <f>IFERROR(100/'Skjema total MA'!C120*C120,0)</f>
        <v>40.934805134840502</v>
      </c>
      <c r="F120" s="250"/>
      <c r="G120" s="162"/>
      <c r="H120" s="183"/>
      <c r="I120" s="27"/>
      <c r="J120" s="322">
        <f t="shared" si="34"/>
        <v>91182.38</v>
      </c>
      <c r="K120" s="44">
        <f t="shared" si="34"/>
        <v>47257.763639999699</v>
      </c>
      <c r="L120" s="274">
        <f t="shared" si="35"/>
        <v>-48.2</v>
      </c>
      <c r="M120" s="27">
        <f>IFERROR(100/'Skjema total MA'!I120*K120,0)</f>
        <v>40.934805134840502</v>
      </c>
    </row>
    <row r="121" spans="1:14" x14ac:dyDescent="0.2">
      <c r="A121" s="21" t="s">
        <v>10</v>
      </c>
      <c r="B121" s="250"/>
      <c r="C121" s="162"/>
      <c r="D121" s="183"/>
      <c r="E121" s="27"/>
      <c r="F121" s="250">
        <v>990660.43</v>
      </c>
      <c r="G121" s="162">
        <v>1343097.2990000001</v>
      </c>
      <c r="H121" s="183">
        <f t="shared" si="36"/>
        <v>35.6</v>
      </c>
      <c r="I121" s="27">
        <f>IFERROR(100/'Skjema total MA'!F121*G121,0)</f>
        <v>26.759889305926428</v>
      </c>
      <c r="J121" s="322">
        <f t="shared" si="34"/>
        <v>990660.43</v>
      </c>
      <c r="K121" s="44">
        <f t="shared" si="34"/>
        <v>1343097.2990000001</v>
      </c>
      <c r="L121" s="274">
        <f t="shared" si="35"/>
        <v>35.6</v>
      </c>
      <c r="M121" s="27">
        <f>IFERROR(100/'Skjema total MA'!I121*K121,0)</f>
        <v>26.720490882821753</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t="str">
        <f>IF(kvartal=4,SUM(B123,F123),"")</f>
        <v/>
      </c>
      <c r="K123" s="325" t="str">
        <f>IF(kvartal=4,SUM(C123,G123),"")</f>
        <v/>
      </c>
      <c r="L123" s="183" t="str">
        <f>IF(kvartal=4,IF(J123=0, "    ---- ", IF(ABS(ROUND(100/J123*K123-100,1))&lt;999,ROUND(100/J123*K123-100,1),IF(ROUND(100/J123*K123-100,1)&gt;999,999,-999))),"")</f>
        <v/>
      </c>
      <c r="M123" s="23">
        <f>IFERROR(100/'Skjema total MA'!I123*K123,0)</f>
        <v>0</v>
      </c>
    </row>
    <row r="124" spans="1:14" ht="15.75" x14ac:dyDescent="0.2">
      <c r="A124" s="21" t="s">
        <v>482</v>
      </c>
      <c r="B124" s="250">
        <v>1662.866</v>
      </c>
      <c r="C124" s="250">
        <v>0</v>
      </c>
      <c r="D124" s="183">
        <f t="shared" si="33"/>
        <v>-100</v>
      </c>
      <c r="E124" s="27">
        <f>IFERROR(100/'Skjema total MA'!C124*C124,0)</f>
        <v>0</v>
      </c>
      <c r="F124" s="250"/>
      <c r="G124" s="250"/>
      <c r="H124" s="183"/>
      <c r="I124" s="27"/>
      <c r="J124" s="322">
        <f t="shared" si="34"/>
        <v>1662.866</v>
      </c>
      <c r="K124" s="44">
        <f t="shared" si="34"/>
        <v>0</v>
      </c>
      <c r="L124" s="274">
        <f t="shared" si="35"/>
        <v>-100</v>
      </c>
      <c r="M124" s="27">
        <f>IFERROR(100/'Skjema total MA'!I124*K124,0)</f>
        <v>0</v>
      </c>
    </row>
    <row r="125" spans="1:14" ht="15.75" x14ac:dyDescent="0.2">
      <c r="A125" s="21" t="s">
        <v>483</v>
      </c>
      <c r="B125" s="250"/>
      <c r="C125" s="250"/>
      <c r="D125" s="183"/>
      <c r="E125" s="27"/>
      <c r="F125" s="250">
        <v>119550</v>
      </c>
      <c r="G125" s="250">
        <v>105090.414</v>
      </c>
      <c r="H125" s="183">
        <f t="shared" si="36"/>
        <v>-12.1</v>
      </c>
      <c r="I125" s="27">
        <f>IFERROR(100/'Skjema total MA'!F125*G125,0)</f>
        <v>28.409240182718417</v>
      </c>
      <c r="J125" s="322">
        <f t="shared" si="34"/>
        <v>119550</v>
      </c>
      <c r="K125" s="44">
        <f t="shared" si="34"/>
        <v>105090.414</v>
      </c>
      <c r="L125" s="274">
        <f t="shared" si="35"/>
        <v>-12.1</v>
      </c>
      <c r="M125" s="27">
        <f>IFERROR(100/'Skjema total MA'!I125*K125,0)</f>
        <v>28.358916432130744</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37" priority="138">
      <formula>kvartal &lt; 4</formula>
    </cfRule>
  </conditionalFormatting>
  <conditionalFormatting sqref="B69">
    <cfRule type="expression" dxfId="436" priority="106">
      <formula>kvartal &lt; 4</formula>
    </cfRule>
  </conditionalFormatting>
  <conditionalFormatting sqref="C69">
    <cfRule type="expression" dxfId="435" priority="105">
      <formula>kvartal &lt; 4</formula>
    </cfRule>
  </conditionalFormatting>
  <conditionalFormatting sqref="B72">
    <cfRule type="expression" dxfId="434" priority="104">
      <formula>kvartal &lt; 4</formula>
    </cfRule>
  </conditionalFormatting>
  <conditionalFormatting sqref="C72">
    <cfRule type="expression" dxfId="433" priority="103">
      <formula>kvartal &lt; 4</formula>
    </cfRule>
  </conditionalFormatting>
  <conditionalFormatting sqref="B80">
    <cfRule type="expression" dxfId="432" priority="102">
      <formula>kvartal &lt; 4</formula>
    </cfRule>
  </conditionalFormatting>
  <conditionalFormatting sqref="C80">
    <cfRule type="expression" dxfId="431" priority="101">
      <formula>kvartal &lt; 4</formula>
    </cfRule>
  </conditionalFormatting>
  <conditionalFormatting sqref="B83">
    <cfRule type="expression" dxfId="430" priority="100">
      <formula>kvartal &lt; 4</formula>
    </cfRule>
  </conditionalFormatting>
  <conditionalFormatting sqref="C83">
    <cfRule type="expression" dxfId="429" priority="99">
      <formula>kvartal &lt; 4</formula>
    </cfRule>
  </conditionalFormatting>
  <conditionalFormatting sqref="B90">
    <cfRule type="expression" dxfId="428" priority="90">
      <formula>kvartal &lt; 4</formula>
    </cfRule>
  </conditionalFormatting>
  <conditionalFormatting sqref="C90">
    <cfRule type="expression" dxfId="427" priority="89">
      <formula>kvartal &lt; 4</formula>
    </cfRule>
  </conditionalFormatting>
  <conditionalFormatting sqref="B93">
    <cfRule type="expression" dxfId="426" priority="88">
      <formula>kvartal &lt; 4</formula>
    </cfRule>
  </conditionalFormatting>
  <conditionalFormatting sqref="C93">
    <cfRule type="expression" dxfId="425" priority="87">
      <formula>kvartal &lt; 4</formula>
    </cfRule>
  </conditionalFormatting>
  <conditionalFormatting sqref="B101">
    <cfRule type="expression" dxfId="424" priority="86">
      <formula>kvartal &lt; 4</formula>
    </cfRule>
  </conditionalFormatting>
  <conditionalFormatting sqref="C101">
    <cfRule type="expression" dxfId="423" priority="85">
      <formula>kvartal &lt; 4</formula>
    </cfRule>
  </conditionalFormatting>
  <conditionalFormatting sqref="B104">
    <cfRule type="expression" dxfId="422" priority="84">
      <formula>kvartal &lt; 4</formula>
    </cfRule>
  </conditionalFormatting>
  <conditionalFormatting sqref="C104">
    <cfRule type="expression" dxfId="421" priority="83">
      <formula>kvartal &lt; 4</formula>
    </cfRule>
  </conditionalFormatting>
  <conditionalFormatting sqref="B115">
    <cfRule type="expression" dxfId="420" priority="82">
      <formula>kvartal &lt; 4</formula>
    </cfRule>
  </conditionalFormatting>
  <conditionalFormatting sqref="C115">
    <cfRule type="expression" dxfId="419" priority="81">
      <formula>kvartal &lt; 4</formula>
    </cfRule>
  </conditionalFormatting>
  <conditionalFormatting sqref="B123">
    <cfRule type="expression" dxfId="418" priority="80">
      <formula>kvartal &lt; 4</formula>
    </cfRule>
  </conditionalFormatting>
  <conditionalFormatting sqref="C123">
    <cfRule type="expression" dxfId="417" priority="79">
      <formula>kvartal &lt; 4</formula>
    </cfRule>
  </conditionalFormatting>
  <conditionalFormatting sqref="F70">
    <cfRule type="expression" dxfId="416" priority="78">
      <formula>kvartal &lt; 4</formula>
    </cfRule>
  </conditionalFormatting>
  <conditionalFormatting sqref="G70">
    <cfRule type="expression" dxfId="415" priority="77">
      <formula>kvartal &lt; 4</formula>
    </cfRule>
  </conditionalFormatting>
  <conditionalFormatting sqref="F71:G71">
    <cfRule type="expression" dxfId="414" priority="76">
      <formula>kvartal &lt; 4</formula>
    </cfRule>
  </conditionalFormatting>
  <conditionalFormatting sqref="F73:G74">
    <cfRule type="expression" dxfId="413" priority="75">
      <formula>kvartal &lt; 4</formula>
    </cfRule>
  </conditionalFormatting>
  <conditionalFormatting sqref="F81:G82">
    <cfRule type="expression" dxfId="412" priority="74">
      <formula>kvartal &lt; 4</formula>
    </cfRule>
  </conditionalFormatting>
  <conditionalFormatting sqref="F84:G85">
    <cfRule type="expression" dxfId="411" priority="73">
      <formula>kvartal &lt; 4</formula>
    </cfRule>
  </conditionalFormatting>
  <conditionalFormatting sqref="F91:G92">
    <cfRule type="expression" dxfId="410" priority="68">
      <formula>kvartal &lt; 4</formula>
    </cfRule>
  </conditionalFormatting>
  <conditionalFormatting sqref="F94:G95">
    <cfRule type="expression" dxfId="409" priority="67">
      <formula>kvartal &lt; 4</formula>
    </cfRule>
  </conditionalFormatting>
  <conditionalFormatting sqref="F102:G103">
    <cfRule type="expression" dxfId="408" priority="66">
      <formula>kvartal &lt; 4</formula>
    </cfRule>
  </conditionalFormatting>
  <conditionalFormatting sqref="F105:G106">
    <cfRule type="expression" dxfId="407" priority="65">
      <formula>kvartal &lt; 4</formula>
    </cfRule>
  </conditionalFormatting>
  <conditionalFormatting sqref="F115">
    <cfRule type="expression" dxfId="406" priority="64">
      <formula>kvartal &lt; 4</formula>
    </cfRule>
  </conditionalFormatting>
  <conditionalFormatting sqref="G115">
    <cfRule type="expression" dxfId="405" priority="63">
      <formula>kvartal &lt; 4</formula>
    </cfRule>
  </conditionalFormatting>
  <conditionalFormatting sqref="F123:G123">
    <cfRule type="expression" dxfId="404" priority="62">
      <formula>kvartal &lt; 4</formula>
    </cfRule>
  </conditionalFormatting>
  <conditionalFormatting sqref="F69:G69">
    <cfRule type="expression" dxfId="403" priority="61">
      <formula>kvartal &lt; 4</formula>
    </cfRule>
  </conditionalFormatting>
  <conditionalFormatting sqref="F72:G72">
    <cfRule type="expression" dxfId="402" priority="60">
      <formula>kvartal &lt; 4</formula>
    </cfRule>
  </conditionalFormatting>
  <conditionalFormatting sqref="F80:G80">
    <cfRule type="expression" dxfId="401" priority="59">
      <formula>kvartal &lt; 4</formula>
    </cfRule>
  </conditionalFormatting>
  <conditionalFormatting sqref="F83:G83">
    <cfRule type="expression" dxfId="400" priority="58">
      <formula>kvartal &lt; 4</formula>
    </cfRule>
  </conditionalFormatting>
  <conditionalFormatting sqref="F90:G90">
    <cfRule type="expression" dxfId="399" priority="52">
      <formula>kvartal &lt; 4</formula>
    </cfRule>
  </conditionalFormatting>
  <conditionalFormatting sqref="F93">
    <cfRule type="expression" dxfId="398" priority="51">
      <formula>kvartal &lt; 4</formula>
    </cfRule>
  </conditionalFormatting>
  <conditionalFormatting sqref="G93">
    <cfRule type="expression" dxfId="397" priority="50">
      <formula>kvartal &lt; 4</formula>
    </cfRule>
  </conditionalFormatting>
  <conditionalFormatting sqref="F101">
    <cfRule type="expression" dxfId="396" priority="49">
      <formula>kvartal &lt; 4</formula>
    </cfRule>
  </conditionalFormatting>
  <conditionalFormatting sqref="G101">
    <cfRule type="expression" dxfId="395" priority="48">
      <formula>kvartal &lt; 4</formula>
    </cfRule>
  </conditionalFormatting>
  <conditionalFormatting sqref="G104">
    <cfRule type="expression" dxfId="394" priority="47">
      <formula>kvartal &lt; 4</formula>
    </cfRule>
  </conditionalFormatting>
  <conditionalFormatting sqref="F104">
    <cfRule type="expression" dxfId="393" priority="46">
      <formula>kvartal &lt; 4</formula>
    </cfRule>
  </conditionalFormatting>
  <conditionalFormatting sqref="J69:K73">
    <cfRule type="expression" dxfId="392" priority="45">
      <formula>kvartal &lt; 4</formula>
    </cfRule>
  </conditionalFormatting>
  <conditionalFormatting sqref="J74:K74">
    <cfRule type="expression" dxfId="391" priority="44">
      <formula>kvartal &lt; 4</formula>
    </cfRule>
  </conditionalFormatting>
  <conditionalFormatting sqref="J80:K85">
    <cfRule type="expression" dxfId="390" priority="43">
      <formula>kvartal &lt; 4</formula>
    </cfRule>
  </conditionalFormatting>
  <conditionalFormatting sqref="J90:K95">
    <cfRule type="expression" dxfId="389" priority="40">
      <formula>kvartal &lt; 4</formula>
    </cfRule>
  </conditionalFormatting>
  <conditionalFormatting sqref="J101:K106">
    <cfRule type="expression" dxfId="388" priority="39">
      <formula>kvartal &lt; 4</formula>
    </cfRule>
  </conditionalFormatting>
  <conditionalFormatting sqref="J115:K115">
    <cfRule type="expression" dxfId="387" priority="38">
      <formula>kvartal &lt; 4</formula>
    </cfRule>
  </conditionalFormatting>
  <conditionalFormatting sqref="J123:K123">
    <cfRule type="expression" dxfId="386" priority="37">
      <formula>kvartal &lt; 4</formula>
    </cfRule>
  </conditionalFormatting>
  <conditionalFormatting sqref="A50:A52">
    <cfRule type="expression" dxfId="385" priority="18">
      <formula>kvartal &lt; 4</formula>
    </cfRule>
  </conditionalFormatting>
  <conditionalFormatting sqref="A69:A74">
    <cfRule type="expression" dxfId="384" priority="6">
      <formula>kvartal &lt; 4</formula>
    </cfRule>
  </conditionalFormatting>
  <conditionalFormatting sqref="A115">
    <cfRule type="expression" dxfId="383" priority="5">
      <formula>kvartal &lt; 4</formula>
    </cfRule>
  </conditionalFormatting>
  <conditionalFormatting sqref="A123">
    <cfRule type="expression" dxfId="382" priority="4">
      <formula>kvartal &lt; 4</formula>
    </cfRule>
  </conditionalFormatting>
  <conditionalFormatting sqref="A80:A85">
    <cfRule type="expression" dxfId="381" priority="3">
      <formula>kvartal &lt; 4</formula>
    </cfRule>
  </conditionalFormatting>
  <conditionalFormatting sqref="A90:A95">
    <cfRule type="expression" dxfId="380" priority="2">
      <formula>kvartal &lt; 4</formula>
    </cfRule>
  </conditionalFormatting>
  <conditionalFormatting sqref="A101:A106">
    <cfRule type="expression" dxfId="379" priority="1">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c r="B1" s="722"/>
      <c r="C1" s="265" t="s">
        <v>103</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8209</v>
      </c>
      <c r="C47" s="347">
        <f>SUM(C48:C49)</f>
        <v>7988</v>
      </c>
      <c r="D47" s="463">
        <f t="shared" ref="D47:D48" si="0">IF(B47=0, "    ---- ", IF(ABS(ROUND(100/B47*C47-100,1))&lt;999,ROUND(100/B47*C47-100,1),IF(ROUND(100/B47*C47-100,1)&gt;999,999,-999)))</f>
        <v>-2.7</v>
      </c>
      <c r="E47" s="11">
        <f>IFERROR(100/'Skjema total MA'!C47*C47,0)</f>
        <v>0.3561399448043186</v>
      </c>
      <c r="F47" s="162"/>
      <c r="G47" s="33"/>
      <c r="H47" s="176"/>
      <c r="I47" s="176"/>
      <c r="J47" s="37"/>
      <c r="K47" s="37"/>
      <c r="L47" s="176"/>
      <c r="M47" s="176"/>
      <c r="N47" s="165"/>
      <c r="O47" s="165"/>
    </row>
    <row r="48" spans="1:15" s="3" customFormat="1" ht="15.75" x14ac:dyDescent="0.2">
      <c r="A48" s="38" t="s">
        <v>476</v>
      </c>
      <c r="B48" s="316">
        <v>8209</v>
      </c>
      <c r="C48" s="317">
        <v>7988</v>
      </c>
      <c r="D48" s="274">
        <f t="shared" si="0"/>
        <v>-2.7</v>
      </c>
      <c r="E48" s="27">
        <f>IFERROR(100/'Skjema total MA'!C48*C48,0)</f>
        <v>0.71768133103381149</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0</v>
      </c>
      <c r="C111" s="176">
        <f>SUM(C112:C114)</f>
        <v>319377</v>
      </c>
      <c r="D111" s="188" t="str">
        <f t="shared" ref="D111" si="1">IF(B111=0, "    ---- ", IF(ABS(ROUND(100/B111*C111-100,1))&lt;999,ROUND(100/B111*C111-100,1),IF(ROUND(100/B111*C111-100,1)&gt;999,999,-999)))</f>
        <v xml:space="preserve">    ---- </v>
      </c>
      <c r="E111" s="11">
        <f>IFERROR(100/'Skjema total MA'!C111*C111,0)</f>
        <v>71.954138469124743</v>
      </c>
      <c r="F111" s="344"/>
      <c r="G111" s="176"/>
      <c r="H111" s="188"/>
      <c r="I111" s="11"/>
      <c r="J111" s="345">
        <f t="shared" ref="J111:K111" si="2">SUM(B111,F111)</f>
        <v>0</v>
      </c>
      <c r="K111" s="252">
        <f t="shared" si="2"/>
        <v>319377</v>
      </c>
      <c r="L111" s="464" t="str">
        <f t="shared" ref="L111" si="3">IF(J111=0, "    ---- ", IF(ABS(ROUND(100/J111*K111-100,1))&lt;999,ROUND(100/J111*K111-100,1),IF(ROUND(100/J111*K111-100,1)&gt;999,999,-999)))</f>
        <v xml:space="preserve">    ---- </v>
      </c>
      <c r="M111" s="11">
        <f>IFERROR(100/'Skjema total MA'!I111*K111,0)</f>
        <v>6.0904352090732097</v>
      </c>
    </row>
    <row r="112" spans="1:13" x14ac:dyDescent="0.2">
      <c r="A112" s="21" t="s">
        <v>9</v>
      </c>
      <c r="B112" s="250">
        <v>0</v>
      </c>
      <c r="C112" s="162">
        <v>319377</v>
      </c>
      <c r="D112" s="183" t="str">
        <f t="shared" ref="D112" si="4">IF(B112=0, "    ---- ", IF(ABS(ROUND(100/B112*C112-100,1))&lt;999,ROUND(100/B112*C112-100,1),IF(ROUND(100/B112*C112-100,1)&gt;999,999,-999)))</f>
        <v xml:space="preserve">    ---- </v>
      </c>
      <c r="E112" s="27">
        <f>IFERROR(100/'Skjema total MA'!C112*C112,0)</f>
        <v>74.449766230842556</v>
      </c>
      <c r="F112" s="250"/>
      <c r="G112" s="162"/>
      <c r="H112" s="183"/>
      <c r="I112" s="27"/>
      <c r="J112" s="322">
        <f t="shared" ref="J112:K112" si="5">SUM(B112,F112)</f>
        <v>0</v>
      </c>
      <c r="K112" s="44">
        <f t="shared" si="5"/>
        <v>319377</v>
      </c>
      <c r="L112" s="274" t="str">
        <f t="shared" ref="L112" si="6">IF(J112=0, "    ---- ", IF(ABS(ROUND(100/J112*K112-100,1))&lt;999,ROUND(100/J112*K112-100,1),IF(ROUND(100/J112*K112-100,1)&gt;999,999,-999)))</f>
        <v xml:space="preserve">    ---- </v>
      </c>
      <c r="M112" s="27">
        <f>IFERROR(100/'Skjema total MA'!I112*K112,0)</f>
        <v>74.407319096900366</v>
      </c>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v>777088</v>
      </c>
      <c r="C134" s="345">
        <v>717328</v>
      </c>
      <c r="D134" s="384">
        <f t="shared" ref="D134:D135" si="7">IF(B134=0, "    ---- ", IF(ABS(ROUND(100/B134*C134-100,1))&lt;999,ROUND(100/B134*C134-100,1),IF(ROUND(100/B134*C134-100,1)&gt;999,999,-999)))</f>
        <v>-7.7</v>
      </c>
      <c r="E134" s="11">
        <f>IFERROR(100/'Skjema total MA'!C134*C134,0)</f>
        <v>10.109122234973345</v>
      </c>
      <c r="F134" s="352"/>
      <c r="G134" s="353"/>
      <c r="H134" s="467"/>
      <c r="I134" s="24"/>
      <c r="J134" s="354">
        <f t="shared" ref="J134:K135" si="8">SUM(B134,F134)</f>
        <v>777088</v>
      </c>
      <c r="K134" s="354">
        <f t="shared" si="8"/>
        <v>717328</v>
      </c>
      <c r="L134" s="463">
        <f t="shared" ref="L134:L135" si="9">IF(J134=0, "    ---- ", IF(ABS(ROUND(100/J134*K134-100,1))&lt;999,ROUND(100/J134*K134-100,1),IF(ROUND(100/J134*K134-100,1)&gt;999,999,-999)))</f>
        <v>-7.7</v>
      </c>
      <c r="M134" s="11">
        <f>IFERROR(100/'Skjema total MA'!I134*K134,0)</f>
        <v>10.07946873388763</v>
      </c>
      <c r="N134" s="165"/>
      <c r="O134" s="165"/>
    </row>
    <row r="135" spans="1:15" s="3" customFormat="1" ht="15.75" x14ac:dyDescent="0.2">
      <c r="A135" s="13" t="s">
        <v>486</v>
      </c>
      <c r="B135" s="252">
        <v>66115112</v>
      </c>
      <c r="C135" s="345">
        <v>71272663</v>
      </c>
      <c r="D135" s="188">
        <f t="shared" si="7"/>
        <v>7.8</v>
      </c>
      <c r="E135" s="11">
        <f>IFERROR(100/'Skjema total MA'!C135*C135,0)</f>
        <v>13.581173611763157</v>
      </c>
      <c r="F135" s="252"/>
      <c r="G135" s="345"/>
      <c r="H135" s="468"/>
      <c r="I135" s="24"/>
      <c r="J135" s="344">
        <f t="shared" si="8"/>
        <v>66115112</v>
      </c>
      <c r="K135" s="344">
        <f t="shared" si="8"/>
        <v>71272663</v>
      </c>
      <c r="L135" s="464">
        <f t="shared" si="9"/>
        <v>7.8</v>
      </c>
      <c r="M135" s="11">
        <f>IFERROR(100/'Skjema total MA'!I135*K135,0)</f>
        <v>13.520757167209926</v>
      </c>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78" priority="138">
      <formula>kvartal &lt; 4</formula>
    </cfRule>
  </conditionalFormatting>
  <conditionalFormatting sqref="B69">
    <cfRule type="expression" dxfId="377" priority="106">
      <formula>kvartal &lt; 4</formula>
    </cfRule>
  </conditionalFormatting>
  <conditionalFormatting sqref="C69">
    <cfRule type="expression" dxfId="376" priority="105">
      <formula>kvartal &lt; 4</formula>
    </cfRule>
  </conditionalFormatting>
  <conditionalFormatting sqref="B72">
    <cfRule type="expression" dxfId="375" priority="104">
      <formula>kvartal &lt; 4</formula>
    </cfRule>
  </conditionalFormatting>
  <conditionalFormatting sqref="C72">
    <cfRule type="expression" dxfId="374" priority="103">
      <formula>kvartal &lt; 4</formula>
    </cfRule>
  </conditionalFormatting>
  <conditionalFormatting sqref="B80">
    <cfRule type="expression" dxfId="373" priority="102">
      <formula>kvartal &lt; 4</formula>
    </cfRule>
  </conditionalFormatting>
  <conditionalFormatting sqref="C80">
    <cfRule type="expression" dxfId="372" priority="101">
      <formula>kvartal &lt; 4</formula>
    </cfRule>
  </conditionalFormatting>
  <conditionalFormatting sqref="B83">
    <cfRule type="expression" dxfId="371" priority="100">
      <formula>kvartal &lt; 4</formula>
    </cfRule>
  </conditionalFormatting>
  <conditionalFormatting sqref="C83">
    <cfRule type="expression" dxfId="370" priority="99">
      <formula>kvartal &lt; 4</formula>
    </cfRule>
  </conditionalFormatting>
  <conditionalFormatting sqref="B90">
    <cfRule type="expression" dxfId="369" priority="90">
      <formula>kvartal &lt; 4</formula>
    </cfRule>
  </conditionalFormatting>
  <conditionalFormatting sqref="C90">
    <cfRule type="expression" dxfId="368" priority="89">
      <formula>kvartal &lt; 4</formula>
    </cfRule>
  </conditionalFormatting>
  <conditionalFormatting sqref="B93">
    <cfRule type="expression" dxfId="367" priority="88">
      <formula>kvartal &lt; 4</formula>
    </cfRule>
  </conditionalFormatting>
  <conditionalFormatting sqref="C93">
    <cfRule type="expression" dxfId="366" priority="87">
      <formula>kvartal &lt; 4</formula>
    </cfRule>
  </conditionalFormatting>
  <conditionalFormatting sqref="B101">
    <cfRule type="expression" dxfId="365" priority="86">
      <formula>kvartal &lt; 4</formula>
    </cfRule>
  </conditionalFormatting>
  <conditionalFormatting sqref="C101">
    <cfRule type="expression" dxfId="364" priority="85">
      <formula>kvartal &lt; 4</formula>
    </cfRule>
  </conditionalFormatting>
  <conditionalFormatting sqref="B104">
    <cfRule type="expression" dxfId="363" priority="84">
      <formula>kvartal &lt; 4</formula>
    </cfRule>
  </conditionalFormatting>
  <conditionalFormatting sqref="C104">
    <cfRule type="expression" dxfId="362" priority="83">
      <formula>kvartal &lt; 4</formula>
    </cfRule>
  </conditionalFormatting>
  <conditionalFormatting sqref="B115">
    <cfRule type="expression" dxfId="361" priority="82">
      <formula>kvartal &lt; 4</formula>
    </cfRule>
  </conditionalFormatting>
  <conditionalFormatting sqref="C115">
    <cfRule type="expression" dxfId="360" priority="81">
      <formula>kvartal &lt; 4</formula>
    </cfRule>
  </conditionalFormatting>
  <conditionalFormatting sqref="B123">
    <cfRule type="expression" dxfId="359" priority="80">
      <formula>kvartal &lt; 4</formula>
    </cfRule>
  </conditionalFormatting>
  <conditionalFormatting sqref="C123">
    <cfRule type="expression" dxfId="358" priority="79">
      <formula>kvartal &lt; 4</formula>
    </cfRule>
  </conditionalFormatting>
  <conditionalFormatting sqref="F70">
    <cfRule type="expression" dxfId="357" priority="78">
      <formula>kvartal &lt; 4</formula>
    </cfRule>
  </conditionalFormatting>
  <conditionalFormatting sqref="G70">
    <cfRule type="expression" dxfId="356" priority="77">
      <formula>kvartal &lt; 4</formula>
    </cfRule>
  </conditionalFormatting>
  <conditionalFormatting sqref="F71:G71">
    <cfRule type="expression" dxfId="355" priority="76">
      <formula>kvartal &lt; 4</formula>
    </cfRule>
  </conditionalFormatting>
  <conditionalFormatting sqref="F73:G74">
    <cfRule type="expression" dxfId="354" priority="75">
      <formula>kvartal &lt; 4</formula>
    </cfRule>
  </conditionalFormatting>
  <conditionalFormatting sqref="F81:G82">
    <cfRule type="expression" dxfId="353" priority="74">
      <formula>kvartal &lt; 4</formula>
    </cfRule>
  </conditionalFormatting>
  <conditionalFormatting sqref="F84:G85">
    <cfRule type="expression" dxfId="352" priority="73">
      <formula>kvartal &lt; 4</formula>
    </cfRule>
  </conditionalFormatting>
  <conditionalFormatting sqref="F91:G92">
    <cfRule type="expression" dxfId="351" priority="68">
      <formula>kvartal &lt; 4</formula>
    </cfRule>
  </conditionalFormatting>
  <conditionalFormatting sqref="F94:G95">
    <cfRule type="expression" dxfId="350" priority="67">
      <formula>kvartal &lt; 4</formula>
    </cfRule>
  </conditionalFormatting>
  <conditionalFormatting sqref="F102:G103">
    <cfRule type="expression" dxfId="349" priority="66">
      <formula>kvartal &lt; 4</formula>
    </cfRule>
  </conditionalFormatting>
  <conditionalFormatting sqref="F105:G106">
    <cfRule type="expression" dxfId="348" priority="65">
      <formula>kvartal &lt; 4</formula>
    </cfRule>
  </conditionalFormatting>
  <conditionalFormatting sqref="F115">
    <cfRule type="expression" dxfId="347" priority="64">
      <formula>kvartal &lt; 4</formula>
    </cfRule>
  </conditionalFormatting>
  <conditionalFormatting sqref="G115">
    <cfRule type="expression" dxfId="346" priority="63">
      <formula>kvartal &lt; 4</formula>
    </cfRule>
  </conditionalFormatting>
  <conditionalFormatting sqref="F123:G123">
    <cfRule type="expression" dxfId="345" priority="62">
      <formula>kvartal &lt; 4</formula>
    </cfRule>
  </conditionalFormatting>
  <conditionalFormatting sqref="F69:G69">
    <cfRule type="expression" dxfId="344" priority="61">
      <formula>kvartal &lt; 4</formula>
    </cfRule>
  </conditionalFormatting>
  <conditionalFormatting sqref="F72:G72">
    <cfRule type="expression" dxfId="343" priority="60">
      <formula>kvartal &lt; 4</formula>
    </cfRule>
  </conditionalFormatting>
  <conditionalFormatting sqref="F80:G80">
    <cfRule type="expression" dxfId="342" priority="59">
      <formula>kvartal &lt; 4</formula>
    </cfRule>
  </conditionalFormatting>
  <conditionalFormatting sqref="F83:G83">
    <cfRule type="expression" dxfId="341" priority="58">
      <formula>kvartal &lt; 4</formula>
    </cfRule>
  </conditionalFormatting>
  <conditionalFormatting sqref="F90:G90">
    <cfRule type="expression" dxfId="340" priority="52">
      <formula>kvartal &lt; 4</formula>
    </cfRule>
  </conditionalFormatting>
  <conditionalFormatting sqref="F93">
    <cfRule type="expression" dxfId="339" priority="51">
      <formula>kvartal &lt; 4</formula>
    </cfRule>
  </conditionalFormatting>
  <conditionalFormatting sqref="G93">
    <cfRule type="expression" dxfId="338" priority="50">
      <formula>kvartal &lt; 4</formula>
    </cfRule>
  </conditionalFormatting>
  <conditionalFormatting sqref="F101">
    <cfRule type="expression" dxfId="337" priority="49">
      <formula>kvartal &lt; 4</formula>
    </cfRule>
  </conditionalFormatting>
  <conditionalFormatting sqref="G101">
    <cfRule type="expression" dxfId="336" priority="48">
      <formula>kvartal &lt; 4</formula>
    </cfRule>
  </conditionalFormatting>
  <conditionalFormatting sqref="G104">
    <cfRule type="expression" dxfId="335" priority="47">
      <formula>kvartal &lt; 4</formula>
    </cfRule>
  </conditionalFormatting>
  <conditionalFormatting sqref="F104">
    <cfRule type="expression" dxfId="334" priority="46">
      <formula>kvartal &lt; 4</formula>
    </cfRule>
  </conditionalFormatting>
  <conditionalFormatting sqref="J69:K73">
    <cfRule type="expression" dxfId="333" priority="45">
      <formula>kvartal &lt; 4</formula>
    </cfRule>
  </conditionalFormatting>
  <conditionalFormatting sqref="J74:K74">
    <cfRule type="expression" dxfId="332" priority="44">
      <formula>kvartal &lt; 4</formula>
    </cfRule>
  </conditionalFormatting>
  <conditionalFormatting sqref="J80:K85">
    <cfRule type="expression" dxfId="331" priority="43">
      <formula>kvartal &lt; 4</formula>
    </cfRule>
  </conditionalFormatting>
  <conditionalFormatting sqref="J90:K95">
    <cfRule type="expression" dxfId="330" priority="40">
      <formula>kvartal &lt; 4</formula>
    </cfRule>
  </conditionalFormatting>
  <conditionalFormatting sqref="J101:K106">
    <cfRule type="expression" dxfId="329" priority="39">
      <formula>kvartal &lt; 4</formula>
    </cfRule>
  </conditionalFormatting>
  <conditionalFormatting sqref="J115:K115">
    <cfRule type="expression" dxfId="328" priority="38">
      <formula>kvartal &lt; 4</formula>
    </cfRule>
  </conditionalFormatting>
  <conditionalFormatting sqref="J123:K123">
    <cfRule type="expression" dxfId="327" priority="37">
      <formula>kvartal &lt; 4</formula>
    </cfRule>
  </conditionalFormatting>
  <conditionalFormatting sqref="A50:A52">
    <cfRule type="expression" dxfId="326" priority="18">
      <formula>kvartal &lt; 4</formula>
    </cfRule>
  </conditionalFormatting>
  <conditionalFormatting sqref="A69:A74">
    <cfRule type="expression" dxfId="325" priority="6">
      <formula>kvartal &lt; 4</formula>
    </cfRule>
  </conditionalFormatting>
  <conditionalFormatting sqref="A115">
    <cfRule type="expression" dxfId="324" priority="5">
      <formula>kvartal &lt; 4</formula>
    </cfRule>
  </conditionalFormatting>
  <conditionalFormatting sqref="A123">
    <cfRule type="expression" dxfId="323" priority="4">
      <formula>kvartal &lt; 4</formula>
    </cfRule>
  </conditionalFormatting>
  <conditionalFormatting sqref="A80:A85">
    <cfRule type="expression" dxfId="322" priority="3">
      <formula>kvartal &lt; 4</formula>
    </cfRule>
  </conditionalFormatting>
  <conditionalFormatting sqref="A90:A95">
    <cfRule type="expression" dxfId="321" priority="2">
      <formula>kvartal &lt; 4</formula>
    </cfRule>
  </conditionalFormatting>
  <conditionalFormatting sqref="A101:A106">
    <cfRule type="expression" dxfId="320"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76</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v>33551</v>
      </c>
      <c r="G7" s="343">
        <v>30766</v>
      </c>
      <c r="H7" s="384">
        <f>IF(F7=0, "    ---- ", IF(ABS(ROUND(100/F7*G7-100,1))&lt;999,ROUND(100/F7*G7-100,1),IF(ROUND(100/F7*G7-100,1)&gt;999,999,-999)))</f>
        <v>-8.3000000000000007</v>
      </c>
      <c r="I7" s="177">
        <f>IFERROR(100/'Skjema total MA'!F7*G7,0)</f>
        <v>1.5104320661495676</v>
      </c>
      <c r="J7" s="344">
        <v>33551</v>
      </c>
      <c r="K7" s="345">
        <v>30766</v>
      </c>
      <c r="L7" s="463">
        <f>IF(J7=0, "    ---- ", IF(ABS(ROUND(100/J7*K7-100,1))&lt;999,ROUND(100/J7*K7-100,1),IF(ROUND(100/J7*K7-100,1)&gt;999,999,-999)))</f>
        <v>-8.3000000000000007</v>
      </c>
      <c r="M7" s="11">
        <f>IFERROR(100/'Skjema total MA'!I7*K7,0)</f>
        <v>0.8344830703351348</v>
      </c>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v>700612</v>
      </c>
      <c r="G10" s="347">
        <v>784764</v>
      </c>
      <c r="H10" s="188">
        <f t="shared" ref="H10:H12" si="0">IF(F10=0, "    ---- ", IF(ABS(ROUND(100/F10*G10-100,1))&lt;999,ROUND(100/F10*G10-100,1),IF(ROUND(100/F10*G10-100,1)&gt;999,999,-999)))</f>
        <v>12</v>
      </c>
      <c r="I10" s="177">
        <f>IFERROR(100/'Skjema total MA'!F10*G10,0)</f>
        <v>1.8830821640806092</v>
      </c>
      <c r="J10" s="344">
        <v>700612</v>
      </c>
      <c r="K10" s="345">
        <v>784764</v>
      </c>
      <c r="L10" s="464">
        <f t="shared" ref="L10:L12" si="1">IF(J10=0, "    ---- ", IF(ABS(ROUND(100/J10*K10-100,1))&lt;999,ROUND(100/J10*K10-100,1),IF(ROUND(100/J10*K10-100,1)&gt;999,999,-999)))</f>
        <v>12</v>
      </c>
      <c r="M10" s="11">
        <f>IFERROR(100/'Skjema total MA'!I10*K10,0)</f>
        <v>1.2337288533420234</v>
      </c>
    </row>
    <row r="11" spans="1:15" s="43" customFormat="1" ht="15.75" x14ac:dyDescent="0.2">
      <c r="A11" s="13" t="s">
        <v>467</v>
      </c>
      <c r="B11" s="346"/>
      <c r="C11" s="347"/>
      <c r="D11" s="188"/>
      <c r="E11" s="11"/>
      <c r="F11" s="346">
        <v>440</v>
      </c>
      <c r="G11" s="347">
        <v>5760</v>
      </c>
      <c r="H11" s="188">
        <f t="shared" si="0"/>
        <v>999</v>
      </c>
      <c r="I11" s="177">
        <f>IFERROR(100/'Skjema total MA'!F11*G11,0)</f>
        <v>10.978085023501722</v>
      </c>
      <c r="J11" s="344">
        <v>440</v>
      </c>
      <c r="K11" s="345">
        <v>5760</v>
      </c>
      <c r="L11" s="464">
        <f t="shared" si="1"/>
        <v>999</v>
      </c>
      <c r="M11" s="11">
        <f>IFERROR(100/'Skjema total MA'!I11*K11,0)</f>
        <v>10.390328726036392</v>
      </c>
      <c r="N11" s="160"/>
      <c r="O11" s="165"/>
    </row>
    <row r="12" spans="1:15" s="43" customFormat="1" ht="15.75" x14ac:dyDescent="0.2">
      <c r="A12" s="41" t="s">
        <v>468</v>
      </c>
      <c r="B12" s="348"/>
      <c r="C12" s="349"/>
      <c r="D12" s="186"/>
      <c r="E12" s="36"/>
      <c r="F12" s="348">
        <v>504</v>
      </c>
      <c r="G12" s="349">
        <v>200</v>
      </c>
      <c r="H12" s="186">
        <f t="shared" si="0"/>
        <v>-60.3</v>
      </c>
      <c r="I12" s="186">
        <f>IFERROR(100/'Skjema total MA'!F12*G12,0)</f>
        <v>0.32668922698509095</v>
      </c>
      <c r="J12" s="350">
        <v>504</v>
      </c>
      <c r="K12" s="351">
        <v>200</v>
      </c>
      <c r="L12" s="465">
        <f t="shared" si="1"/>
        <v>-60.3</v>
      </c>
      <c r="M12" s="36">
        <f>IFERROR(100/'Skjema total MA'!I12*K12,0)</f>
        <v>0.32680132758183056</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v>110</v>
      </c>
      <c r="G22" s="352">
        <v>12089</v>
      </c>
      <c r="H22" s="384">
        <f t="shared" ref="H22:H35" si="2">IF(F22=0, "    ---- ", IF(ABS(ROUND(100/F22*G22-100,1))&lt;999,ROUND(100/F22*G22-100,1),IF(ROUND(100/F22*G22-100,1)&gt;999,999,-999)))</f>
        <v>999</v>
      </c>
      <c r="I22" s="11">
        <f>IFERROR(100/'Skjema total MA'!F22*G22,0)</f>
        <v>4.0985572471656688</v>
      </c>
      <c r="J22" s="352">
        <f t="shared" ref="J22:K35" si="3">SUM(B22,F22)</f>
        <v>110</v>
      </c>
      <c r="K22" s="352">
        <f t="shared" si="3"/>
        <v>12089</v>
      </c>
      <c r="L22" s="463">
        <f t="shared" ref="L22:L35" si="4">IF(J22=0, "    ---- ", IF(ABS(ROUND(100/J22*K22-100,1))&lt;999,ROUND(100/J22*K22-100,1),IF(ROUND(100/J22*K22-100,1)&gt;999,999,-999)))</f>
        <v>999</v>
      </c>
      <c r="M22" s="24">
        <f>IFERROR(100/'Skjema total MA'!I22*K22,0)</f>
        <v>1.5110580544370265</v>
      </c>
    </row>
    <row r="23" spans="1:15" ht="15.75" x14ac:dyDescent="0.2">
      <c r="A23" s="49" t="s">
        <v>469</v>
      </c>
      <c r="B23" s="44"/>
      <c r="C23" s="322"/>
      <c r="D23" s="183"/>
      <c r="E23" s="27"/>
      <c r="F23" s="250"/>
      <c r="G23" s="322">
        <v>159</v>
      </c>
      <c r="H23" s="183" t="str">
        <f t="shared" ref="H23:H26" si="5">IF(F23=0, "    ---- ", IF(ABS(ROUND(100/F23*G23-100,1))&lt;999,ROUND(100/F23*G23-100,1),IF(ROUND(100/F23*G23-100,1)&gt;999,999,-999)))</f>
        <v xml:space="preserve">    ---- </v>
      </c>
      <c r="I23" s="27">
        <f>IFERROR(100/'Skjema total MA'!F23*G23,0)</f>
        <v>0.30916515437403136</v>
      </c>
      <c r="J23" s="44"/>
      <c r="K23" s="44">
        <f t="shared" ref="K23:K26" si="6">SUM(C23,G23)</f>
        <v>159</v>
      </c>
      <c r="L23" s="274" t="str">
        <f t="shared" ref="L23:L26" si="7">IF(J23=0, "    ---- ", IF(ABS(ROUND(100/J23*K23-100,1))&lt;999,ROUND(100/J23*K23-100,1),IF(ROUND(100/J23*K23-100,1)&gt;999,999,-999)))</f>
        <v xml:space="preserve">    ---- </v>
      </c>
      <c r="M23" s="23">
        <f>IFERROR(100/'Skjema total MA'!I23*K23,0)</f>
        <v>5.4922438857922237E-2</v>
      </c>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v>11930</v>
      </c>
      <c r="H26" s="183" t="str">
        <f t="shared" si="5"/>
        <v xml:space="preserve">    ---- </v>
      </c>
      <c r="I26" s="27">
        <f>IFERROR(100/'Skjema total MA'!F26*G26,0)</f>
        <v>5.7900462751107735</v>
      </c>
      <c r="J26" s="44"/>
      <c r="K26" s="44">
        <f t="shared" si="6"/>
        <v>11930</v>
      </c>
      <c r="L26" s="274" t="str">
        <f t="shared" si="7"/>
        <v xml:space="preserve">    ---- </v>
      </c>
      <c r="M26" s="23">
        <f>IFERROR(100/'Skjema total MA'!I26*K26,0)</f>
        <v>5.7900462751107735</v>
      </c>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v>860606</v>
      </c>
      <c r="G29" s="252">
        <v>868604</v>
      </c>
      <c r="H29" s="188">
        <f t="shared" si="2"/>
        <v>0.9</v>
      </c>
      <c r="I29" s="11">
        <f>IFERROR(100/'Skjema total MA'!F29*G29,0)</f>
        <v>4.3433988322733645</v>
      </c>
      <c r="J29" s="252">
        <f t="shared" si="3"/>
        <v>860606</v>
      </c>
      <c r="K29" s="252">
        <f t="shared" si="3"/>
        <v>868604</v>
      </c>
      <c r="L29" s="464">
        <f t="shared" si="4"/>
        <v>0.9</v>
      </c>
      <c r="M29" s="24">
        <f>IFERROR(100/'Skjema total MA'!I29*K29,0)</f>
        <v>1.2505090836636656</v>
      </c>
      <c r="N29" s="165"/>
      <c r="O29" s="165"/>
    </row>
    <row r="30" spans="1:15" s="3" customFormat="1" ht="15.75" x14ac:dyDescent="0.2">
      <c r="A30" s="49" t="s">
        <v>469</v>
      </c>
      <c r="B30" s="44"/>
      <c r="C30" s="322"/>
      <c r="D30" s="183"/>
      <c r="E30" s="27"/>
      <c r="F30" s="250"/>
      <c r="G30" s="322">
        <v>125349</v>
      </c>
      <c r="H30" s="183" t="str">
        <f t="shared" ref="H30" si="8">IF(F30=0, "    ---- ", IF(ABS(ROUND(100/F30*G30-100,1))&lt;999,ROUND(100/F30*G30-100,1),IF(ROUND(100/F30*G30-100,1)&gt;999,999,-999)))</f>
        <v xml:space="preserve">    ---- </v>
      </c>
      <c r="I30" s="27">
        <f>IFERROR(100/'Skjema total MA'!F30*G30,0)</f>
        <v>2.9236898679461105</v>
      </c>
      <c r="J30" s="44"/>
      <c r="K30" s="44">
        <f t="shared" ref="K30" si="9">SUM(C30,G30)</f>
        <v>125349</v>
      </c>
      <c r="L30" s="274" t="str">
        <f t="shared" ref="L30" si="10">IF(J30=0, "    ---- ", IF(ABS(ROUND(100/J30*K30-100,1))&lt;999,ROUND(100/J30*K30-100,1),IF(ROUND(100/J30*K30-100,1)&gt;999,999,-999)))</f>
        <v xml:space="preserve">    ---- </v>
      </c>
      <c r="M30" s="23">
        <f>IFERROR(100/'Skjema total MA'!I30*K30,0)</f>
        <v>0.80520708361624549</v>
      </c>
      <c r="N30" s="165"/>
      <c r="O30" s="165"/>
    </row>
    <row r="31" spans="1:15" s="3" customFormat="1" ht="15.75" x14ac:dyDescent="0.2">
      <c r="A31" s="49" t="s">
        <v>470</v>
      </c>
      <c r="B31" s="44"/>
      <c r="C31" s="322"/>
      <c r="D31" s="183"/>
      <c r="E31" s="27"/>
      <c r="F31" s="250"/>
      <c r="G31" s="322">
        <v>687588</v>
      </c>
      <c r="H31" s="183" t="str">
        <f t="shared" ref="H31:H33" si="11">IF(F31=0, "    ---- ", IF(ABS(ROUND(100/F31*G31-100,1))&lt;999,ROUND(100/F31*G31-100,1),IF(ROUND(100/F31*G31-100,1)&gt;999,999,-999)))</f>
        <v xml:space="preserve">    ---- </v>
      </c>
      <c r="I31" s="27">
        <f>IFERROR(100/'Skjema total MA'!F31*G31,0)</f>
        <v>7.3774501394190759</v>
      </c>
      <c r="J31" s="44"/>
      <c r="K31" s="44">
        <f t="shared" ref="K31:K33" si="12">SUM(C31,G31)</f>
        <v>687588</v>
      </c>
      <c r="L31" s="274" t="str">
        <f t="shared" ref="L31:L33" si="13">IF(J31=0, "    ---- ", IF(ABS(ROUND(100/J31*K31-100,1))&lt;999,ROUND(100/J31*K31-100,1),IF(ROUND(100/J31*K31-100,1)&gt;999,999,-999)))</f>
        <v xml:space="preserve">    ---- </v>
      </c>
      <c r="M31" s="23">
        <f>IFERROR(100/'Skjema total MA'!I31*K31,0)</f>
        <v>1.5553393893224556</v>
      </c>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v>55667</v>
      </c>
      <c r="H33" s="183" t="str">
        <f t="shared" si="11"/>
        <v xml:space="preserve">    ---- </v>
      </c>
      <c r="I33" s="27">
        <f>IFERROR(100/'Skjema total MA'!F33*G33,0)</f>
        <v>5.9698725558448862</v>
      </c>
      <c r="J33" s="44"/>
      <c r="K33" s="44">
        <f t="shared" si="12"/>
        <v>55667</v>
      </c>
      <c r="L33" s="274" t="str">
        <f t="shared" si="13"/>
        <v xml:space="preserve">    ---- </v>
      </c>
      <c r="M33" s="23">
        <f>IFERROR(100/'Skjema total MA'!I33*K33,0)</f>
        <v>5.9698725558448862</v>
      </c>
    </row>
    <row r="34" spans="1:15" ht="15.75" x14ac:dyDescent="0.2">
      <c r="A34" s="13" t="s">
        <v>467</v>
      </c>
      <c r="B34" s="252"/>
      <c r="C34" s="345"/>
      <c r="D34" s="188"/>
      <c r="E34" s="11"/>
      <c r="F34" s="344">
        <v>3316</v>
      </c>
      <c r="G34" s="345">
        <v>1994</v>
      </c>
      <c r="H34" s="188">
        <f t="shared" si="2"/>
        <v>-39.9</v>
      </c>
      <c r="I34" s="11">
        <f>IFERROR(100/'Skjema total MA'!F34*G34,0)</f>
        <v>35.739230585984828</v>
      </c>
      <c r="J34" s="252">
        <f t="shared" si="3"/>
        <v>3316</v>
      </c>
      <c r="K34" s="252">
        <f t="shared" si="3"/>
        <v>1994</v>
      </c>
      <c r="L34" s="464">
        <f t="shared" si="4"/>
        <v>-39.9</v>
      </c>
      <c r="M34" s="24">
        <f>IFERROR(100/'Skjema total MA'!I34*K34,0)</f>
        <v>15.126857307440124</v>
      </c>
    </row>
    <row r="35" spans="1:15" ht="15.75" x14ac:dyDescent="0.2">
      <c r="A35" s="13" t="s">
        <v>468</v>
      </c>
      <c r="B35" s="252"/>
      <c r="C35" s="345"/>
      <c r="D35" s="188"/>
      <c r="E35" s="11"/>
      <c r="F35" s="344">
        <v>11240</v>
      </c>
      <c r="G35" s="345">
        <v>1176</v>
      </c>
      <c r="H35" s="188">
        <f t="shared" si="2"/>
        <v>-89.5</v>
      </c>
      <c r="I35" s="11">
        <f>IFERROR(100/'Skjema total MA'!F35*G35,0)</f>
        <v>4.3279633497523324</v>
      </c>
      <c r="J35" s="252">
        <f t="shared" si="3"/>
        <v>11240</v>
      </c>
      <c r="K35" s="252">
        <f t="shared" si="3"/>
        <v>1176</v>
      </c>
      <c r="L35" s="464">
        <f t="shared" si="4"/>
        <v>-89.5</v>
      </c>
      <c r="M35" s="24">
        <f>IFERROR(100/'Skjema total MA'!I35*K35,0)</f>
        <v>6.8264052975083045</v>
      </c>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f>F67+F68+F75+F76</f>
        <v>3</v>
      </c>
      <c r="G66" s="386">
        <f>G67+G68+G75+G76</f>
        <v>22</v>
      </c>
      <c r="H66" s="384">
        <f t="shared" ref="H66:H111" si="14">IF(F66=0, "    ---- ", IF(ABS(ROUND(100/F66*G66-100,1))&lt;999,ROUND(100/F66*G66-100,1),IF(ROUND(100/F66*G66-100,1)&gt;999,999,-999)))</f>
        <v>633.29999999999995</v>
      </c>
      <c r="I66" s="11">
        <f>IFERROR(100/'Skjema total MA'!F66*G66,0)</f>
        <v>3.1834378589473141E-4</v>
      </c>
      <c r="J66" s="345">
        <f t="shared" ref="J66:K86" si="15">SUM(B66,F66)</f>
        <v>3</v>
      </c>
      <c r="K66" s="352">
        <f t="shared" si="15"/>
        <v>22</v>
      </c>
      <c r="L66" s="464">
        <f t="shared" ref="L66:L111" si="16">IF(J66=0, "    ---- ", IF(ABS(ROUND(100/J66*K66-100,1))&lt;999,ROUND(100/J66*K66-100,1),IF(ROUND(100/J66*K66-100,1)&gt;999,999,-999)))</f>
        <v>633.29999999999995</v>
      </c>
      <c r="M66" s="11">
        <f>IFERROR(100/'Skjema total MA'!I66*K66,0)</f>
        <v>2.0618305116220693E-4</v>
      </c>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v>3</v>
      </c>
      <c r="G68" s="328">
        <v>22</v>
      </c>
      <c r="H68" s="183">
        <f t="shared" si="14"/>
        <v>633.29999999999995</v>
      </c>
      <c r="I68" s="27">
        <f>IFERROR(100/'Skjema total MA'!F68*G68,0)</f>
        <v>3.2300949137900565E-4</v>
      </c>
      <c r="J68" s="322">
        <f t="shared" si="15"/>
        <v>3</v>
      </c>
      <c r="K68" s="44">
        <f t="shared" si="15"/>
        <v>22</v>
      </c>
      <c r="L68" s="274">
        <f t="shared" si="16"/>
        <v>633.29999999999995</v>
      </c>
      <c r="M68" s="27">
        <f>IFERROR(100/'Skjema total MA'!I68*K68,0)</f>
        <v>3.1864897832802969E-4</v>
      </c>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v>3</v>
      </c>
      <c r="G86" s="162">
        <v>22</v>
      </c>
      <c r="H86" s="183">
        <f t="shared" si="14"/>
        <v>633.29999999999995</v>
      </c>
      <c r="I86" s="27">
        <f>IFERROR(100/'Skjema total MA'!F86*G86,0)</f>
        <v>0.61152576294940963</v>
      </c>
      <c r="J86" s="322">
        <f t="shared" si="15"/>
        <v>3</v>
      </c>
      <c r="K86" s="44">
        <f t="shared" si="15"/>
        <v>22</v>
      </c>
      <c r="L86" s="274">
        <f t="shared" si="16"/>
        <v>633.29999999999995</v>
      </c>
      <c r="M86" s="27">
        <f>IFERROR(100/'Skjema total MA'!I86*K86,0)</f>
        <v>1.5881589298055568E-2</v>
      </c>
    </row>
    <row r="87" spans="1:13" ht="15.75" x14ac:dyDescent="0.2">
      <c r="A87" s="13" t="s">
        <v>466</v>
      </c>
      <c r="B87" s="387"/>
      <c r="C87" s="387"/>
      <c r="D87" s="188"/>
      <c r="E87" s="11"/>
      <c r="F87" s="386">
        <f>SUM(F88,F89,F96,F97)</f>
        <v>275659</v>
      </c>
      <c r="G87" s="386">
        <f>SUM(G88,G89,G96,G97)</f>
        <v>402077</v>
      </c>
      <c r="H87" s="188">
        <f t="shared" si="14"/>
        <v>45.9</v>
      </c>
      <c r="I87" s="11">
        <f>IFERROR(100/'Skjema total MA'!F87*G87,0)</f>
        <v>0.1714886617764414</v>
      </c>
      <c r="J87" s="345">
        <f t="shared" ref="J87:K111" si="17">SUM(B87,F87)</f>
        <v>275659</v>
      </c>
      <c r="K87" s="252">
        <f t="shared" si="17"/>
        <v>402077</v>
      </c>
      <c r="L87" s="464">
        <f t="shared" si="16"/>
        <v>45.9</v>
      </c>
      <c r="M87" s="11">
        <f>IFERROR(100/'Skjema total MA'!I87*K87,0)</f>
        <v>6.4931596772121472E-2</v>
      </c>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v>275659</v>
      </c>
      <c r="G89" s="162">
        <v>402077</v>
      </c>
      <c r="H89" s="183">
        <f t="shared" si="14"/>
        <v>45.9</v>
      </c>
      <c r="I89" s="27">
        <f>IFERROR(100/'Skjema total MA'!F89*G89,0)</f>
        <v>0.17206366410903806</v>
      </c>
      <c r="J89" s="322">
        <f t="shared" si="17"/>
        <v>275659</v>
      </c>
      <c r="K89" s="44">
        <f t="shared" si="17"/>
        <v>402077</v>
      </c>
      <c r="L89" s="274">
        <f t="shared" si="16"/>
        <v>45.9</v>
      </c>
      <c r="M89" s="27">
        <f>IFERROR(100/'Skjema total MA'!I89*K89,0)</f>
        <v>0.17011172191100449</v>
      </c>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v>275659</v>
      </c>
      <c r="G107" s="162">
        <v>402077</v>
      </c>
      <c r="H107" s="183">
        <f t="shared" si="14"/>
        <v>45.9</v>
      </c>
      <c r="I107" s="27">
        <f>IFERROR(100/'Skjema total MA'!F107*G107,0)</f>
        <v>65.669593265391867</v>
      </c>
      <c r="J107" s="322">
        <f t="shared" si="17"/>
        <v>275659</v>
      </c>
      <c r="K107" s="44">
        <f t="shared" si="17"/>
        <v>402077</v>
      </c>
      <c r="L107" s="274">
        <f t="shared" si="16"/>
        <v>45.9</v>
      </c>
      <c r="M107" s="27">
        <f>IFERROR(100/'Skjema total MA'!I107*K107,0)</f>
        <v>7.2698214559145367</v>
      </c>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v>107560</v>
      </c>
      <c r="G109" s="250">
        <v>232905</v>
      </c>
      <c r="H109" s="183">
        <f t="shared" si="14"/>
        <v>116.5</v>
      </c>
      <c r="I109" s="27">
        <f>IFERROR(100/'Skjema total MA'!F109*G109,0)</f>
        <v>0.31469982762756349</v>
      </c>
      <c r="J109" s="322">
        <f t="shared" si="17"/>
        <v>107560</v>
      </c>
      <c r="K109" s="44">
        <f t="shared" si="17"/>
        <v>232905</v>
      </c>
      <c r="L109" s="274">
        <f t="shared" si="16"/>
        <v>116.5</v>
      </c>
      <c r="M109" s="27">
        <f>IFERROR(100/'Skjema total MA'!I109*K109,0)</f>
        <v>0.31027058849808209</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f>SUM(F112:F114)</f>
        <v>21355</v>
      </c>
      <c r="G111" s="176">
        <f>SUM(G112:G114)</f>
        <v>35288</v>
      </c>
      <c r="H111" s="188">
        <f t="shared" si="14"/>
        <v>65.2</v>
      </c>
      <c r="I111" s="11">
        <f>IFERROR(100/'Skjema total MA'!F111*G111,0)</f>
        <v>0.73515915001355836</v>
      </c>
      <c r="J111" s="345">
        <f t="shared" si="17"/>
        <v>21355</v>
      </c>
      <c r="K111" s="252">
        <f t="shared" si="17"/>
        <v>35288</v>
      </c>
      <c r="L111" s="464">
        <f t="shared" si="16"/>
        <v>65.2</v>
      </c>
      <c r="M111" s="11">
        <f>IFERROR(100/'Skjema total MA'!I111*K111,0)</f>
        <v>0.67293285884010257</v>
      </c>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v>21355</v>
      </c>
      <c r="G113" s="162">
        <v>35288</v>
      </c>
      <c r="H113" s="183">
        <f t="shared" ref="H113:H121" si="18">IF(F113=0, "    ---- ", IF(ABS(ROUND(100/F113*G113-100,1))&lt;999,ROUND(100/F113*G113-100,1),IF(ROUND(100/F113*G113-100,1)&gt;999,999,-999)))</f>
        <v>65.2</v>
      </c>
      <c r="I113" s="27">
        <f>IFERROR(100/'Skjema total MA'!F113*G113,0)</f>
        <v>0.73727997253815925</v>
      </c>
      <c r="J113" s="322">
        <f t="shared" ref="J113:K121" si="19">SUM(B113,F113)</f>
        <v>21355</v>
      </c>
      <c r="K113" s="44">
        <f t="shared" si="19"/>
        <v>35288</v>
      </c>
      <c r="L113" s="274">
        <f t="shared" ref="L113:L121" si="20">IF(J113=0, "    ---- ", IF(ABS(ROUND(100/J113*K113-100,1))&lt;999,ROUND(100/J113*K113-100,1),IF(ROUND(100/J113*K113-100,1)&gt;999,999,-999)))</f>
        <v>65.2</v>
      </c>
      <c r="M113" s="27">
        <f>IFERROR(100/'Skjema total MA'!I113*K113,0)</f>
        <v>0.73727997253815925</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v>0</v>
      </c>
      <c r="G117" s="250">
        <v>35288</v>
      </c>
      <c r="H117" s="183" t="str">
        <f t="shared" si="18"/>
        <v xml:space="preserve">    ---- </v>
      </c>
      <c r="I117" s="27">
        <f>IFERROR(100/'Skjema total MA'!F117*G117,0)</f>
        <v>7.0802768190659453</v>
      </c>
      <c r="J117" s="322">
        <f t="shared" si="19"/>
        <v>0</v>
      </c>
      <c r="K117" s="44">
        <f t="shared" si="19"/>
        <v>35288</v>
      </c>
      <c r="L117" s="274" t="str">
        <f t="shared" si="20"/>
        <v xml:space="preserve">    ---- </v>
      </c>
      <c r="M117" s="27">
        <f>IFERROR(100/'Skjema total MA'!I117*K117,0)</f>
        <v>7.0802768190659453</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f>SUM(F120:F122)</f>
        <v>114</v>
      </c>
      <c r="G119" s="176">
        <f>SUM(G120:G122)</f>
        <v>0</v>
      </c>
      <c r="H119" s="188">
        <f t="shared" si="18"/>
        <v>-100</v>
      </c>
      <c r="I119" s="11">
        <f>IFERROR(100/'Skjema total MA'!F119*G119,0)</f>
        <v>0</v>
      </c>
      <c r="J119" s="345">
        <f t="shared" si="19"/>
        <v>114</v>
      </c>
      <c r="K119" s="252">
        <f t="shared" si="19"/>
        <v>0</v>
      </c>
      <c r="L119" s="464">
        <f t="shared" si="20"/>
        <v>-100</v>
      </c>
      <c r="M119" s="11">
        <f>IFERROR(100/'Skjema total MA'!I119*K119,0)</f>
        <v>0</v>
      </c>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v>114</v>
      </c>
      <c r="G121" s="162">
        <v>0</v>
      </c>
      <c r="H121" s="183">
        <f t="shared" si="18"/>
        <v>-100</v>
      </c>
      <c r="I121" s="27">
        <f>IFERROR(100/'Skjema total MA'!F121*G121,0)</f>
        <v>0</v>
      </c>
      <c r="J121" s="322">
        <f t="shared" si="19"/>
        <v>114</v>
      </c>
      <c r="K121" s="44">
        <f t="shared" si="19"/>
        <v>0</v>
      </c>
      <c r="L121" s="274">
        <f t="shared" si="20"/>
        <v>-100</v>
      </c>
      <c r="M121" s="27">
        <f>IFERROR(100/'Skjema total MA'!I121*K121,0)</f>
        <v>0</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19" priority="138">
      <formula>kvartal &lt; 4</formula>
    </cfRule>
  </conditionalFormatting>
  <conditionalFormatting sqref="B69">
    <cfRule type="expression" dxfId="318" priority="106">
      <formula>kvartal &lt; 4</formula>
    </cfRule>
  </conditionalFormatting>
  <conditionalFormatting sqref="C69">
    <cfRule type="expression" dxfId="317" priority="105">
      <formula>kvartal &lt; 4</formula>
    </cfRule>
  </conditionalFormatting>
  <conditionalFormatting sqref="B72">
    <cfRule type="expression" dxfId="316" priority="104">
      <formula>kvartal &lt; 4</formula>
    </cfRule>
  </conditionalFormatting>
  <conditionalFormatting sqref="C72">
    <cfRule type="expression" dxfId="315" priority="103">
      <formula>kvartal &lt; 4</formula>
    </cfRule>
  </conditionalFormatting>
  <conditionalFormatting sqref="B80">
    <cfRule type="expression" dxfId="314" priority="102">
      <formula>kvartal &lt; 4</formula>
    </cfRule>
  </conditionalFormatting>
  <conditionalFormatting sqref="C80">
    <cfRule type="expression" dxfId="313" priority="101">
      <formula>kvartal &lt; 4</formula>
    </cfRule>
  </conditionalFormatting>
  <conditionalFormatting sqref="B83">
    <cfRule type="expression" dxfId="312" priority="100">
      <formula>kvartal &lt; 4</formula>
    </cfRule>
  </conditionalFormatting>
  <conditionalFormatting sqref="C83">
    <cfRule type="expression" dxfId="311" priority="99">
      <formula>kvartal &lt; 4</formula>
    </cfRule>
  </conditionalFormatting>
  <conditionalFormatting sqref="B90">
    <cfRule type="expression" dxfId="310" priority="90">
      <formula>kvartal &lt; 4</formula>
    </cfRule>
  </conditionalFormatting>
  <conditionalFormatting sqref="C90">
    <cfRule type="expression" dxfId="309" priority="89">
      <formula>kvartal &lt; 4</formula>
    </cfRule>
  </conditionalFormatting>
  <conditionalFormatting sqref="B93">
    <cfRule type="expression" dxfId="308" priority="88">
      <formula>kvartal &lt; 4</formula>
    </cfRule>
  </conditionalFormatting>
  <conditionalFormatting sqref="C93">
    <cfRule type="expression" dxfId="307" priority="87">
      <formula>kvartal &lt; 4</formula>
    </cfRule>
  </conditionalFormatting>
  <conditionalFormatting sqref="B101">
    <cfRule type="expression" dxfId="306" priority="86">
      <formula>kvartal &lt; 4</formula>
    </cfRule>
  </conditionalFormatting>
  <conditionalFormatting sqref="C101">
    <cfRule type="expression" dxfId="305" priority="85">
      <formula>kvartal &lt; 4</formula>
    </cfRule>
  </conditionalFormatting>
  <conditionalFormatting sqref="B104">
    <cfRule type="expression" dxfId="304" priority="84">
      <formula>kvartal &lt; 4</formula>
    </cfRule>
  </conditionalFormatting>
  <conditionalFormatting sqref="C104">
    <cfRule type="expression" dxfId="303" priority="83">
      <formula>kvartal &lt; 4</formula>
    </cfRule>
  </conditionalFormatting>
  <conditionalFormatting sqref="B115">
    <cfRule type="expression" dxfId="302" priority="82">
      <formula>kvartal &lt; 4</formula>
    </cfRule>
  </conditionalFormatting>
  <conditionalFormatting sqref="C115">
    <cfRule type="expression" dxfId="301" priority="81">
      <formula>kvartal &lt; 4</formula>
    </cfRule>
  </conditionalFormatting>
  <conditionalFormatting sqref="B123">
    <cfRule type="expression" dxfId="300" priority="80">
      <formula>kvartal &lt; 4</formula>
    </cfRule>
  </conditionalFormatting>
  <conditionalFormatting sqref="C123">
    <cfRule type="expression" dxfId="299" priority="79">
      <formula>kvartal &lt; 4</formula>
    </cfRule>
  </conditionalFormatting>
  <conditionalFormatting sqref="F70">
    <cfRule type="expression" dxfId="298" priority="78">
      <formula>kvartal &lt; 4</formula>
    </cfRule>
  </conditionalFormatting>
  <conditionalFormatting sqref="G70">
    <cfRule type="expression" dxfId="297" priority="77">
      <formula>kvartal &lt; 4</formula>
    </cfRule>
  </conditionalFormatting>
  <conditionalFormatting sqref="F71:G71">
    <cfRule type="expression" dxfId="296" priority="76">
      <formula>kvartal &lt; 4</formula>
    </cfRule>
  </conditionalFormatting>
  <conditionalFormatting sqref="F73:G74">
    <cfRule type="expression" dxfId="295" priority="75">
      <formula>kvartal &lt; 4</formula>
    </cfRule>
  </conditionalFormatting>
  <conditionalFormatting sqref="F81:G82">
    <cfRule type="expression" dxfId="294" priority="74">
      <formula>kvartal &lt; 4</formula>
    </cfRule>
  </conditionalFormatting>
  <conditionalFormatting sqref="F84:G85">
    <cfRule type="expression" dxfId="293" priority="73">
      <formula>kvartal &lt; 4</formula>
    </cfRule>
  </conditionalFormatting>
  <conditionalFormatting sqref="F91:G92">
    <cfRule type="expression" dxfId="292" priority="68">
      <formula>kvartal &lt; 4</formula>
    </cfRule>
  </conditionalFormatting>
  <conditionalFormatting sqref="F94:G95">
    <cfRule type="expression" dxfId="291" priority="67">
      <formula>kvartal &lt; 4</formula>
    </cfRule>
  </conditionalFormatting>
  <conditionalFormatting sqref="F102:G103">
    <cfRule type="expression" dxfId="290" priority="66">
      <formula>kvartal &lt; 4</formula>
    </cfRule>
  </conditionalFormatting>
  <conditionalFormatting sqref="F105:G106">
    <cfRule type="expression" dxfId="289" priority="65">
      <formula>kvartal &lt; 4</formula>
    </cfRule>
  </conditionalFormatting>
  <conditionalFormatting sqref="F115">
    <cfRule type="expression" dxfId="288" priority="64">
      <formula>kvartal &lt; 4</formula>
    </cfRule>
  </conditionalFormatting>
  <conditionalFormatting sqref="G115">
    <cfRule type="expression" dxfId="287" priority="63">
      <formula>kvartal &lt; 4</formula>
    </cfRule>
  </conditionalFormatting>
  <conditionalFormatting sqref="F123:G123">
    <cfRule type="expression" dxfId="286" priority="62">
      <formula>kvartal &lt; 4</formula>
    </cfRule>
  </conditionalFormatting>
  <conditionalFormatting sqref="F69:G69">
    <cfRule type="expression" dxfId="285" priority="61">
      <formula>kvartal &lt; 4</formula>
    </cfRule>
  </conditionalFormatting>
  <conditionalFormatting sqref="F72:G72">
    <cfRule type="expression" dxfId="284" priority="60">
      <formula>kvartal &lt; 4</formula>
    </cfRule>
  </conditionalFormatting>
  <conditionalFormatting sqref="F80:G80">
    <cfRule type="expression" dxfId="283" priority="59">
      <formula>kvartal &lt; 4</formula>
    </cfRule>
  </conditionalFormatting>
  <conditionalFormatting sqref="F83:G83">
    <cfRule type="expression" dxfId="282" priority="58">
      <formula>kvartal &lt; 4</formula>
    </cfRule>
  </conditionalFormatting>
  <conditionalFormatting sqref="F90:G90">
    <cfRule type="expression" dxfId="281" priority="52">
      <formula>kvartal &lt; 4</formula>
    </cfRule>
  </conditionalFormatting>
  <conditionalFormatting sqref="F93">
    <cfRule type="expression" dxfId="280" priority="51">
      <formula>kvartal &lt; 4</formula>
    </cfRule>
  </conditionalFormatting>
  <conditionalFormatting sqref="G93">
    <cfRule type="expression" dxfId="279" priority="50">
      <formula>kvartal &lt; 4</formula>
    </cfRule>
  </conditionalFormatting>
  <conditionalFormatting sqref="F101">
    <cfRule type="expression" dxfId="278" priority="49">
      <formula>kvartal &lt; 4</formula>
    </cfRule>
  </conditionalFormatting>
  <conditionalFormatting sqref="G101">
    <cfRule type="expression" dxfId="277" priority="48">
      <formula>kvartal &lt; 4</formula>
    </cfRule>
  </conditionalFormatting>
  <conditionalFormatting sqref="G104">
    <cfRule type="expression" dxfId="276" priority="47">
      <formula>kvartal &lt; 4</formula>
    </cfRule>
  </conditionalFormatting>
  <conditionalFormatting sqref="F104">
    <cfRule type="expression" dxfId="275" priority="46">
      <formula>kvartal &lt; 4</formula>
    </cfRule>
  </conditionalFormatting>
  <conditionalFormatting sqref="J69:K73">
    <cfRule type="expression" dxfId="274" priority="45">
      <formula>kvartal &lt; 4</formula>
    </cfRule>
  </conditionalFormatting>
  <conditionalFormatting sqref="J74:K74">
    <cfRule type="expression" dxfId="273" priority="44">
      <formula>kvartal &lt; 4</formula>
    </cfRule>
  </conditionalFormatting>
  <conditionalFormatting sqref="J80:K85">
    <cfRule type="expression" dxfId="272" priority="43">
      <formula>kvartal &lt; 4</formula>
    </cfRule>
  </conditionalFormatting>
  <conditionalFormatting sqref="J90:K95">
    <cfRule type="expression" dxfId="271" priority="40">
      <formula>kvartal &lt; 4</formula>
    </cfRule>
  </conditionalFormatting>
  <conditionalFormatting sqref="J101:K106">
    <cfRule type="expression" dxfId="270" priority="39">
      <formula>kvartal &lt; 4</formula>
    </cfRule>
  </conditionalFormatting>
  <conditionalFormatting sqref="J115:K115">
    <cfRule type="expression" dxfId="269" priority="38">
      <formula>kvartal &lt; 4</formula>
    </cfRule>
  </conditionalFormatting>
  <conditionalFormatting sqref="J123:K123">
    <cfRule type="expression" dxfId="268" priority="37">
      <formula>kvartal &lt; 4</formula>
    </cfRule>
  </conditionalFormatting>
  <conditionalFormatting sqref="A50:A52">
    <cfRule type="expression" dxfId="267" priority="18">
      <formula>kvartal &lt; 4</formula>
    </cfRule>
  </conditionalFormatting>
  <conditionalFormatting sqref="A69:A74">
    <cfRule type="expression" dxfId="266" priority="6">
      <formula>kvartal &lt; 4</formula>
    </cfRule>
  </conditionalFormatting>
  <conditionalFormatting sqref="A115">
    <cfRule type="expression" dxfId="265" priority="5">
      <formula>kvartal &lt; 4</formula>
    </cfRule>
  </conditionalFormatting>
  <conditionalFormatting sqref="A123">
    <cfRule type="expression" dxfId="264" priority="4">
      <formula>kvartal &lt; 4</formula>
    </cfRule>
  </conditionalFormatting>
  <conditionalFormatting sqref="A80:A85">
    <cfRule type="expression" dxfId="263" priority="3">
      <formula>kvartal &lt; 4</formula>
    </cfRule>
  </conditionalFormatting>
  <conditionalFormatting sqref="A90:A95">
    <cfRule type="expression" dxfId="262" priority="2">
      <formula>kvartal &lt; 4</formula>
    </cfRule>
  </conditionalFormatting>
  <conditionalFormatting sqref="A101:A106">
    <cfRule type="expression" dxfId="261" priority="1">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189</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194147.79297000001</v>
      </c>
      <c r="C7" s="343">
        <v>210256.47693999999</v>
      </c>
      <c r="D7" s="384">
        <f>IF(B7=0, "    ---- ", IF(ABS(ROUND(100/B7*C7-100,1))&lt;999,ROUND(100/B7*C7-100,1),IF(ROUND(100/B7*C7-100,1)&gt;999,999,-999)))</f>
        <v>8.3000000000000007</v>
      </c>
      <c r="E7" s="11">
        <f>IFERROR(100/'Skjema total MA'!C7*C7,0)</f>
        <v>12.743336391804164</v>
      </c>
      <c r="F7" s="342">
        <v>57668.293769999997</v>
      </c>
      <c r="G7" s="343">
        <v>97638.664099999995</v>
      </c>
      <c r="H7" s="384">
        <f>IF(F7=0, "    ---- ", IF(ABS(ROUND(100/F7*G7-100,1))&lt;999,ROUND(100/F7*G7-100,1),IF(ROUND(100/F7*G7-100,1)&gt;999,999,-999)))</f>
        <v>69.3</v>
      </c>
      <c r="I7" s="177">
        <f>IFERROR(100/'Skjema total MA'!F7*G7,0)</f>
        <v>4.7934918141014951</v>
      </c>
      <c r="J7" s="344">
        <v>251816.08674</v>
      </c>
      <c r="K7" s="345">
        <v>307895.14104000002</v>
      </c>
      <c r="L7" s="463">
        <f>IF(J7=0, "    ---- ", IF(ABS(ROUND(100/J7*K7-100,1))&lt;999,ROUND(100/J7*K7-100,1),IF(ROUND(100/J7*K7-100,1)&gt;999,999,-999)))</f>
        <v>22.3</v>
      </c>
      <c r="M7" s="11">
        <f>IFERROR(100/'Skjema total MA'!I7*K7,0)</f>
        <v>8.3512085625797496</v>
      </c>
    </row>
    <row r="8" spans="1:15" ht="15.75" x14ac:dyDescent="0.2">
      <c r="A8" s="21" t="s">
        <v>26</v>
      </c>
      <c r="B8" s="316">
        <v>171244</v>
      </c>
      <c r="C8" s="317">
        <v>187079.644905347</v>
      </c>
      <c r="D8" s="183">
        <f t="shared" ref="D8:D10" si="0">IF(B8=0, "    ---- ", IF(ABS(ROUND(100/B8*C8-100,1))&lt;999,ROUND(100/B8*C8-100,1),IF(ROUND(100/B8*C8-100,1)&gt;999,999,-999)))</f>
        <v>9.1999999999999993</v>
      </c>
      <c r="E8" s="27">
        <f>IFERROR(100/'Skjema total MA'!C8*C8,0)</f>
        <v>18.281364946366072</v>
      </c>
      <c r="F8" s="320"/>
      <c r="G8" s="321"/>
      <c r="H8" s="183"/>
      <c r="I8" s="193"/>
      <c r="J8" s="250">
        <v>171244</v>
      </c>
      <c r="K8" s="322">
        <v>187079.644905347</v>
      </c>
      <c r="L8" s="183">
        <f t="shared" ref="L8:L9" si="1">IF(J8=0, "    ---- ", IF(ABS(ROUND(100/J8*K8-100,1))&lt;999,ROUND(100/J8*K8-100,1),IF(ROUND(100/J8*K8-100,1)&gt;999,999,-999)))</f>
        <v>9.1999999999999993</v>
      </c>
      <c r="M8" s="27">
        <f>IFERROR(100/'Skjema total MA'!I8*K8,0)</f>
        <v>18.281364946366072</v>
      </c>
    </row>
    <row r="9" spans="1:15" ht="15.75" x14ac:dyDescent="0.2">
      <c r="A9" s="21" t="s">
        <v>25</v>
      </c>
      <c r="B9" s="316">
        <v>22175</v>
      </c>
      <c r="C9" s="317">
        <v>22718.566974351899</v>
      </c>
      <c r="D9" s="183">
        <f t="shared" si="0"/>
        <v>2.5</v>
      </c>
      <c r="E9" s="27">
        <f>IFERROR(100/'Skjema total MA'!C9*C9,0)</f>
        <v>4.3809111870028472</v>
      </c>
      <c r="F9" s="320"/>
      <c r="G9" s="321"/>
      <c r="H9" s="183"/>
      <c r="I9" s="193"/>
      <c r="J9" s="250">
        <v>22175</v>
      </c>
      <c r="K9" s="322">
        <v>22718.566974351899</v>
      </c>
      <c r="L9" s="183">
        <f t="shared" si="1"/>
        <v>2.5</v>
      </c>
      <c r="M9" s="27">
        <f>IFERROR(100/'Skjema total MA'!I9*K9,0)</f>
        <v>4.3809111870028472</v>
      </c>
    </row>
    <row r="10" spans="1:15" ht="15.75" x14ac:dyDescent="0.2">
      <c r="A10" s="13" t="s">
        <v>466</v>
      </c>
      <c r="B10" s="346">
        <v>945451.23621</v>
      </c>
      <c r="C10" s="347">
        <v>893720.80053000001</v>
      </c>
      <c r="D10" s="188">
        <f t="shared" si="0"/>
        <v>-5.5</v>
      </c>
      <c r="E10" s="11">
        <f>IFERROR(100/'Skjema total MA'!C10*C10,0)</f>
        <v>4.0744662636042008</v>
      </c>
      <c r="F10" s="346">
        <v>1877241.4046199999</v>
      </c>
      <c r="G10" s="347">
        <v>2152220.2123799999</v>
      </c>
      <c r="H10" s="188">
        <f t="shared" ref="H10:H12" si="2">IF(F10=0, "    ---- ", IF(ABS(ROUND(100/F10*G10-100,1))&lt;999,ROUND(100/F10*G10-100,1),IF(ROUND(100/F10*G10-100,1)&gt;999,999,-999)))</f>
        <v>14.6</v>
      </c>
      <c r="I10" s="177">
        <f>IFERROR(100/'Skjema total MA'!F10*G10,0)</f>
        <v>5.1643646944897563</v>
      </c>
      <c r="J10" s="344">
        <v>2822692.6408299999</v>
      </c>
      <c r="K10" s="345">
        <v>3045941.01291</v>
      </c>
      <c r="L10" s="464">
        <f t="shared" ref="L10:L12" si="3">IF(J10=0, "    ---- ", IF(ABS(ROUND(100/J10*K10-100,1))&lt;999,ROUND(100/J10*K10-100,1),IF(ROUND(100/J10*K10-100,1)&gt;999,999,-999)))</f>
        <v>7.9</v>
      </c>
      <c r="M10" s="11">
        <f>IFERROR(100/'Skjema total MA'!I10*K10,0)</f>
        <v>4.788529179734156</v>
      </c>
    </row>
    <row r="11" spans="1:15" s="43" customFormat="1" ht="15.75" x14ac:dyDescent="0.2">
      <c r="A11" s="13" t="s">
        <v>467</v>
      </c>
      <c r="B11" s="346"/>
      <c r="C11" s="347"/>
      <c r="D11" s="188"/>
      <c r="E11" s="11"/>
      <c r="F11" s="346">
        <v>5432.10149</v>
      </c>
      <c r="G11" s="347">
        <v>9323.3037100000001</v>
      </c>
      <c r="H11" s="188">
        <f t="shared" si="2"/>
        <v>71.599999999999994</v>
      </c>
      <c r="I11" s="177">
        <f>IFERROR(100/'Skjema total MA'!F11*G11,0)</f>
        <v>17.769448060470317</v>
      </c>
      <c r="J11" s="344">
        <v>5432.10149</v>
      </c>
      <c r="K11" s="345">
        <v>9323.3037100000001</v>
      </c>
      <c r="L11" s="464">
        <f t="shared" si="3"/>
        <v>71.599999999999994</v>
      </c>
      <c r="M11" s="11">
        <f>IFERROR(100/'Skjema total MA'!I11*K11,0)</f>
        <v>16.818088604092825</v>
      </c>
      <c r="N11" s="160"/>
      <c r="O11" s="165"/>
    </row>
    <row r="12" spans="1:15" s="43" customFormat="1" ht="15.75" x14ac:dyDescent="0.2">
      <c r="A12" s="41" t="s">
        <v>468</v>
      </c>
      <c r="B12" s="348"/>
      <c r="C12" s="349"/>
      <c r="D12" s="186"/>
      <c r="E12" s="36"/>
      <c r="F12" s="348">
        <v>1361.50954</v>
      </c>
      <c r="G12" s="349">
        <v>338.26423</v>
      </c>
      <c r="H12" s="186">
        <f t="shared" si="2"/>
        <v>-75.2</v>
      </c>
      <c r="I12" s="186">
        <f>IFERROR(100/'Skjema total MA'!F12*G12,0)</f>
        <v>0.552536399077035</v>
      </c>
      <c r="J12" s="350">
        <v>1361.50954</v>
      </c>
      <c r="K12" s="351">
        <v>338.26423</v>
      </c>
      <c r="L12" s="465">
        <f t="shared" si="3"/>
        <v>-75.2</v>
      </c>
      <c r="M12" s="36">
        <f>IFERROR(100/'Skjema total MA'!I12*K12,0)</f>
        <v>0.55272599718722837</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121857.22261</v>
      </c>
      <c r="C22" s="352">
        <v>133195.98506000001</v>
      </c>
      <c r="D22" s="384">
        <f t="shared" ref="D22:D35" si="4">IF(B22=0, "    ---- ", IF(ABS(ROUND(100/B22*C22-100,1))&lt;999,ROUND(100/B22*C22-100,1),IF(ROUND(100/B22*C22-100,1)&gt;999,999,-999)))</f>
        <v>9.3000000000000007</v>
      </c>
      <c r="E22" s="11">
        <f>IFERROR(100/'Skjema total MA'!C22*C22,0)</f>
        <v>26.371369821910708</v>
      </c>
      <c r="F22" s="352">
        <v>4593.2517399999997</v>
      </c>
      <c r="G22" s="352">
        <v>36231.541239999999</v>
      </c>
      <c r="H22" s="384">
        <f t="shared" ref="H22:H35" si="5">IF(F22=0, "    ---- ", IF(ABS(ROUND(100/F22*G22-100,1))&lt;999,ROUND(100/F22*G22-100,1),IF(ROUND(100/F22*G22-100,1)&gt;999,999,-999)))</f>
        <v>688.8</v>
      </c>
      <c r="I22" s="11">
        <f>IFERROR(100/'Skjema total MA'!F22*G22,0)</f>
        <v>12.283650088939019</v>
      </c>
      <c r="J22" s="352">
        <f t="shared" ref="J22:K35" si="6">SUM(B22,F22)</f>
        <v>126450.47435</v>
      </c>
      <c r="K22" s="352">
        <f t="shared" si="6"/>
        <v>169427.5263</v>
      </c>
      <c r="L22" s="463">
        <f t="shared" ref="L22:L35" si="7">IF(J22=0, "    ---- ", IF(ABS(ROUND(100/J22*K22-100,1))&lt;999,ROUND(100/J22*K22-100,1),IF(ROUND(100/J22*K22-100,1)&gt;999,999,-999)))</f>
        <v>34</v>
      </c>
      <c r="M22" s="24">
        <f>IFERROR(100/'Skjema total MA'!I22*K22,0)</f>
        <v>21.17750254437556</v>
      </c>
    </row>
    <row r="23" spans="1:15" ht="15.75" x14ac:dyDescent="0.2">
      <c r="A23" s="49" t="s">
        <v>469</v>
      </c>
      <c r="B23" s="44"/>
      <c r="C23" s="322"/>
      <c r="D23" s="183"/>
      <c r="E23" s="27"/>
      <c r="F23" s="250"/>
      <c r="G23" s="322">
        <v>2357.3162200000002</v>
      </c>
      <c r="H23" s="183" t="str">
        <f t="shared" ref="H23:H26" si="8">IF(F23=0, "    ---- ", IF(ABS(ROUND(100/F23*G23-100,1))&lt;999,ROUND(100/F23*G23-100,1),IF(ROUND(100/F23*G23-100,1)&gt;999,999,-999)))</f>
        <v xml:space="preserve">    ---- </v>
      </c>
      <c r="I23" s="27">
        <f>IFERROR(100/'Skjema total MA'!F23*G23,0)</f>
        <v>4.5836480066962775</v>
      </c>
      <c r="J23" s="44"/>
      <c r="K23" s="44">
        <f t="shared" ref="K23:K26" si="9">SUM(C23,G23)</f>
        <v>2357.3162200000002</v>
      </c>
      <c r="L23" s="274" t="str">
        <f t="shared" ref="L23:L26" si="10">IF(J23=0, "    ---- ", IF(ABS(ROUND(100/J23*K23-100,1))&lt;999,ROUND(100/J23*K23-100,1),IF(ROUND(100/J23*K23-100,1)&gt;999,999,-999)))</f>
        <v xml:space="preserve">    ---- </v>
      </c>
      <c r="M23" s="23">
        <f>IFERROR(100/'Skjema total MA'!I23*K23,0)</f>
        <v>0.81427393686627902</v>
      </c>
    </row>
    <row r="24" spans="1:15" ht="15.75" x14ac:dyDescent="0.2">
      <c r="A24" s="49" t="s">
        <v>470</v>
      </c>
      <c r="B24" s="44"/>
      <c r="C24" s="322"/>
      <c r="D24" s="183"/>
      <c r="E24" s="27"/>
      <c r="F24" s="250"/>
      <c r="G24" s="322">
        <v>-49.148180000000004</v>
      </c>
      <c r="H24" s="183" t="str">
        <f t="shared" si="8"/>
        <v xml:space="preserve">    ---- </v>
      </c>
      <c r="I24" s="27">
        <f>IFERROR(100/'Skjema total MA'!F24*G24,0)</f>
        <v>-0.48167779593131954</v>
      </c>
      <c r="J24" s="44"/>
      <c r="K24" s="44">
        <f t="shared" si="9"/>
        <v>-49.148180000000004</v>
      </c>
      <c r="L24" s="274" t="str">
        <f t="shared" si="10"/>
        <v xml:space="preserve">    ---- </v>
      </c>
      <c r="M24" s="23">
        <f>IFERROR(100/'Skjema total MA'!I24*K24,0)</f>
        <v>-0.37858838528771488</v>
      </c>
    </row>
    <row r="25" spans="1:15" ht="15.75" x14ac:dyDescent="0.2">
      <c r="A25" s="49" t="s">
        <v>471</v>
      </c>
      <c r="B25" s="44"/>
      <c r="C25" s="322"/>
      <c r="D25" s="183"/>
      <c r="E25" s="27"/>
      <c r="F25" s="250"/>
      <c r="G25" s="322">
        <v>2879.42409</v>
      </c>
      <c r="H25" s="183" t="str">
        <f t="shared" si="8"/>
        <v xml:space="preserve">    ---- </v>
      </c>
      <c r="I25" s="27">
        <f>IFERROR(100/'Skjema total MA'!F25*G25,0)</f>
        <v>10.55436505328462</v>
      </c>
      <c r="J25" s="44"/>
      <c r="K25" s="44">
        <f t="shared" si="9"/>
        <v>2879.42409</v>
      </c>
      <c r="L25" s="274" t="str">
        <f t="shared" si="10"/>
        <v xml:space="preserve">    ---- </v>
      </c>
      <c r="M25" s="23">
        <f>IFERROR(100/'Skjema total MA'!I25*K25,0)</f>
        <v>8.8802370158252533</v>
      </c>
    </row>
    <row r="26" spans="1:15" ht="15.75" x14ac:dyDescent="0.2">
      <c r="A26" s="49" t="s">
        <v>472</v>
      </c>
      <c r="B26" s="44"/>
      <c r="C26" s="322"/>
      <c r="D26" s="183"/>
      <c r="E26" s="27"/>
      <c r="F26" s="250"/>
      <c r="G26" s="322">
        <v>31043.949110000001</v>
      </c>
      <c r="H26" s="183" t="str">
        <f t="shared" si="8"/>
        <v xml:space="preserve">    ---- </v>
      </c>
      <c r="I26" s="27">
        <f>IFERROR(100/'Skjema total MA'!F26*G26,0)</f>
        <v>15.066714325991947</v>
      </c>
      <c r="J26" s="44"/>
      <c r="K26" s="44">
        <f t="shared" si="9"/>
        <v>31043.949110000001</v>
      </c>
      <c r="L26" s="274" t="str">
        <f t="shared" si="10"/>
        <v xml:space="preserve">    ---- </v>
      </c>
      <c r="M26" s="23">
        <f>IFERROR(100/'Skjema total MA'!I26*K26,0)</f>
        <v>15.066714325991947</v>
      </c>
    </row>
    <row r="27" spans="1:15" x14ac:dyDescent="0.2">
      <c r="A27" s="49" t="s">
        <v>11</v>
      </c>
      <c r="B27" s="44"/>
      <c r="C27" s="322"/>
      <c r="D27" s="183"/>
      <c r="E27" s="27"/>
      <c r="F27" s="250"/>
      <c r="G27" s="322"/>
      <c r="H27" s="183"/>
      <c r="I27" s="27"/>
      <c r="J27" s="44"/>
      <c r="K27" s="44"/>
      <c r="L27" s="274"/>
      <c r="M27" s="23"/>
    </row>
    <row r="28" spans="1:15" ht="15.75" x14ac:dyDescent="0.2">
      <c r="A28" s="49" t="s">
        <v>366</v>
      </c>
      <c r="B28" s="44">
        <v>120474</v>
      </c>
      <c r="C28" s="322">
        <v>131978.693323844</v>
      </c>
      <c r="D28" s="183">
        <f t="shared" si="4"/>
        <v>9.5</v>
      </c>
      <c r="E28" s="27">
        <f>IFERROR(100/'Skjema total MA'!C28*C28,0)</f>
        <v>18.647560902697119</v>
      </c>
      <c r="F28" s="250"/>
      <c r="G28" s="322"/>
      <c r="H28" s="183"/>
      <c r="I28" s="27"/>
      <c r="J28" s="44">
        <f t="shared" si="6"/>
        <v>120474</v>
      </c>
      <c r="K28" s="44">
        <f t="shared" si="6"/>
        <v>131978.693323844</v>
      </c>
      <c r="L28" s="274">
        <f t="shared" si="7"/>
        <v>9.5</v>
      </c>
      <c r="M28" s="23">
        <f>IFERROR(100/'Skjema total MA'!I28*K28,0)</f>
        <v>18.647560902697119</v>
      </c>
    </row>
    <row r="29" spans="1:15" s="3" customFormat="1" ht="15.75" x14ac:dyDescent="0.2">
      <c r="A29" s="13" t="s">
        <v>23</v>
      </c>
      <c r="B29" s="252">
        <v>4972354.6455499995</v>
      </c>
      <c r="C29" s="252">
        <v>5158588.5549900001</v>
      </c>
      <c r="D29" s="188">
        <f t="shared" si="4"/>
        <v>3.7</v>
      </c>
      <c r="E29" s="11">
        <f>IFERROR(100/'Skjema total MA'!C29*C29,0)</f>
        <v>10.429444736225593</v>
      </c>
      <c r="F29" s="252">
        <v>1959278.48792</v>
      </c>
      <c r="G29" s="252">
        <v>2132507.53327</v>
      </c>
      <c r="H29" s="188">
        <f t="shared" si="5"/>
        <v>8.8000000000000007</v>
      </c>
      <c r="I29" s="11">
        <f>IFERROR(100/'Skjema total MA'!F29*G29,0)</f>
        <v>10.66346773652789</v>
      </c>
      <c r="J29" s="252">
        <f t="shared" si="6"/>
        <v>6931633.1334699998</v>
      </c>
      <c r="K29" s="252">
        <f t="shared" si="6"/>
        <v>7291096.0882600006</v>
      </c>
      <c r="L29" s="464">
        <f t="shared" si="7"/>
        <v>5.2</v>
      </c>
      <c r="M29" s="24">
        <f>IFERROR(100/'Skjema total MA'!I29*K29,0)</f>
        <v>10.496822358904344</v>
      </c>
      <c r="N29" s="165"/>
      <c r="O29" s="165"/>
    </row>
    <row r="30" spans="1:15" s="3" customFormat="1" ht="15.75" x14ac:dyDescent="0.2">
      <c r="A30" s="49" t="s">
        <v>469</v>
      </c>
      <c r="B30" s="44"/>
      <c r="C30" s="322">
        <v>2959441.1315524401</v>
      </c>
      <c r="D30" s="183" t="str">
        <f t="shared" ref="D30" si="11">IF(B30=0, "    ---- ", IF(ABS(ROUND(100/B30*C30-100,1))&lt;999,ROUND(100/B30*C30-100,1),IF(ROUND(100/B30*C30-100,1)&gt;999,999,-999)))</f>
        <v xml:space="preserve">    ---- </v>
      </c>
      <c r="E30" s="27">
        <f>IFERROR(100/'Skjema total MA'!C30*C30,0)</f>
        <v>26.23631172674094</v>
      </c>
      <c r="F30" s="250"/>
      <c r="G30" s="322">
        <v>627349.11636999995</v>
      </c>
      <c r="H30" s="183" t="str">
        <f t="shared" ref="H30" si="12">IF(F30=0, "    ---- ", IF(ABS(ROUND(100/F30*G30-100,1))&lt;999,ROUND(100/F30*G30-100,1),IF(ROUND(100/F30*G30-100,1)&gt;999,999,-999)))</f>
        <v xml:space="preserve">    ---- </v>
      </c>
      <c r="I30" s="27">
        <f>IFERROR(100/'Skjema total MA'!F30*G30,0)</f>
        <v>14.63253998991547</v>
      </c>
      <c r="J30" s="44"/>
      <c r="K30" s="44">
        <f t="shared" ref="K30" si="13">SUM(C30,G30)</f>
        <v>3586790.2479224401</v>
      </c>
      <c r="L30" s="274" t="str">
        <f t="shared" ref="L30" si="14">IF(J30=0, "    ---- ", IF(ABS(ROUND(100/J30*K30-100,1))&lt;999,ROUND(100/J30*K30-100,1),IF(ROUND(100/J30*K30-100,1)&gt;999,999,-999)))</f>
        <v xml:space="preserve">    ---- </v>
      </c>
      <c r="M30" s="23">
        <f>IFERROR(100/'Skjema total MA'!I30*K30,0)</f>
        <v>23.040542126964063</v>
      </c>
      <c r="N30" s="165"/>
      <c r="O30" s="165"/>
    </row>
    <row r="31" spans="1:15" s="3" customFormat="1" ht="15.75" x14ac:dyDescent="0.2">
      <c r="A31" s="49" t="s">
        <v>470</v>
      </c>
      <c r="B31" s="44"/>
      <c r="C31" s="322">
        <v>2199147.42343756</v>
      </c>
      <c r="D31" s="183" t="str">
        <f t="shared" ref="D31" si="15">IF(B31=0, "    ---- ", IF(ABS(ROUND(100/B31*C31-100,1))&lt;999,ROUND(100/B31*C31-100,1),IF(ROUND(100/B31*C31-100,1)&gt;999,999,-999)))</f>
        <v xml:space="preserve">    ---- </v>
      </c>
      <c r="E31" s="27">
        <f>IFERROR(100/'Skjema total MA'!C31*C31,0)</f>
        <v>6.3034316296218833</v>
      </c>
      <c r="F31" s="250"/>
      <c r="G31" s="322">
        <v>968671.20525999996</v>
      </c>
      <c r="H31" s="183" t="str">
        <f t="shared" ref="H31:H33" si="16">IF(F31=0, "    ---- ", IF(ABS(ROUND(100/F31*G31-100,1))&lt;999,ROUND(100/F31*G31-100,1),IF(ROUND(100/F31*G31-100,1)&gt;999,999,-999)))</f>
        <v xml:space="preserve">    ---- </v>
      </c>
      <c r="I31" s="27">
        <f>IFERROR(100/'Skjema total MA'!F31*G31,0)</f>
        <v>10.393322045027881</v>
      </c>
      <c r="J31" s="44"/>
      <c r="K31" s="44">
        <f t="shared" ref="K31:K33" si="17">SUM(C31,G31)</f>
        <v>3167818.6286975602</v>
      </c>
      <c r="L31" s="274" t="str">
        <f t="shared" ref="L31:L33" si="18">IF(J31=0, "    ---- ", IF(ABS(ROUND(100/J31*K31-100,1))&lt;999,ROUND(100/J31*K31-100,1),IF(ROUND(100/J31*K31-100,1)&gt;999,999,-999)))</f>
        <v xml:space="preserve">    ---- </v>
      </c>
      <c r="M31" s="23">
        <f>IFERROR(100/'Skjema total MA'!I31*K31,0)</f>
        <v>7.1656763809763442</v>
      </c>
      <c r="N31" s="165"/>
      <c r="O31" s="165"/>
    </row>
    <row r="32" spans="1:15" ht="15.75" x14ac:dyDescent="0.2">
      <c r="A32" s="49" t="s">
        <v>471</v>
      </c>
      <c r="B32" s="44"/>
      <c r="C32" s="322"/>
      <c r="D32" s="183"/>
      <c r="E32" s="27"/>
      <c r="F32" s="250"/>
      <c r="G32" s="322">
        <v>347766.56375999999</v>
      </c>
      <c r="H32" s="183" t="str">
        <f t="shared" si="16"/>
        <v xml:space="preserve">    ---- </v>
      </c>
      <c r="I32" s="27">
        <f>IFERROR(100/'Skjema total MA'!F32*G32,0)</f>
        <v>8.9535895966777588</v>
      </c>
      <c r="J32" s="44"/>
      <c r="K32" s="44">
        <f t="shared" si="17"/>
        <v>347766.56375999999</v>
      </c>
      <c r="L32" s="274" t="str">
        <f t="shared" si="18"/>
        <v xml:space="preserve">    ---- </v>
      </c>
      <c r="M32" s="23">
        <f>IFERROR(100/'Skjema total MA'!I32*K32,0)</f>
        <v>6.6903751326423757</v>
      </c>
    </row>
    <row r="33" spans="1:15" ht="15.75" x14ac:dyDescent="0.2">
      <c r="A33" s="49" t="s">
        <v>472</v>
      </c>
      <c r="B33" s="44"/>
      <c r="C33" s="322"/>
      <c r="D33" s="183"/>
      <c r="E33" s="27"/>
      <c r="F33" s="250"/>
      <c r="G33" s="322">
        <v>188720.64788</v>
      </c>
      <c r="H33" s="183" t="str">
        <f t="shared" si="16"/>
        <v xml:space="preserve">    ---- </v>
      </c>
      <c r="I33" s="27">
        <f>IFERROR(100/'Skjema total MA'!F33*G33,0)</f>
        <v>20.238888686296701</v>
      </c>
      <c r="J33" s="44"/>
      <c r="K33" s="44">
        <f t="shared" si="17"/>
        <v>188720.64788</v>
      </c>
      <c r="L33" s="274" t="str">
        <f t="shared" si="18"/>
        <v xml:space="preserve">    ---- </v>
      </c>
      <c r="M33" s="23">
        <f>IFERROR(100/'Skjema total MA'!I33*K33,0)</f>
        <v>20.238888686296701</v>
      </c>
    </row>
    <row r="34" spans="1:15" ht="15.75" x14ac:dyDescent="0.2">
      <c r="A34" s="13" t="s">
        <v>467</v>
      </c>
      <c r="B34" s="252"/>
      <c r="C34" s="345"/>
      <c r="D34" s="188"/>
      <c r="E34" s="11"/>
      <c r="F34" s="344">
        <v>3117.241</v>
      </c>
      <c r="G34" s="345">
        <v>7994.7291100000002</v>
      </c>
      <c r="H34" s="188">
        <f t="shared" si="5"/>
        <v>156.5</v>
      </c>
      <c r="I34" s="11">
        <f>IFERROR(100/'Skjema total MA'!F34*G34,0)</f>
        <v>143.29261140159241</v>
      </c>
      <c r="J34" s="252">
        <f t="shared" si="6"/>
        <v>3117.241</v>
      </c>
      <c r="K34" s="252">
        <f t="shared" si="6"/>
        <v>7994.7291100000002</v>
      </c>
      <c r="L34" s="464">
        <f t="shared" si="7"/>
        <v>156.5</v>
      </c>
      <c r="M34" s="24">
        <f>IFERROR(100/'Skjema total MA'!I34*K34,0)</f>
        <v>60.64951176459769</v>
      </c>
    </row>
    <row r="35" spans="1:15" ht="15.75" x14ac:dyDescent="0.2">
      <c r="A35" s="13" t="s">
        <v>468</v>
      </c>
      <c r="B35" s="252">
        <v>0</v>
      </c>
      <c r="C35" s="345">
        <v>170.93908999999999</v>
      </c>
      <c r="D35" s="188" t="str">
        <f t="shared" si="4"/>
        <v xml:space="preserve">    ---- </v>
      </c>
      <c r="E35" s="11">
        <f>IFERROR(100/'Skjema total MA'!C35*C35,0)</f>
        <v>-1.7188597701716595</v>
      </c>
      <c r="F35" s="344">
        <v>444.80579</v>
      </c>
      <c r="G35" s="345">
        <v>379.36718000000002</v>
      </c>
      <c r="H35" s="188">
        <f t="shared" si="5"/>
        <v>-14.7</v>
      </c>
      <c r="I35" s="11">
        <f>IFERROR(100/'Skjema total MA'!F35*G35,0)</f>
        <v>1.3961626285194697</v>
      </c>
      <c r="J35" s="252">
        <f t="shared" si="6"/>
        <v>444.80579</v>
      </c>
      <c r="K35" s="252">
        <f t="shared" si="6"/>
        <v>550.30627000000004</v>
      </c>
      <c r="L35" s="464">
        <f t="shared" si="7"/>
        <v>23.7</v>
      </c>
      <c r="M35" s="24">
        <f>IFERROR(100/'Skjema total MA'!I35*K35,0)</f>
        <v>3.1943993510034314</v>
      </c>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230494.04885999998</v>
      </c>
      <c r="C47" s="347">
        <f>SUM(C48:C49)</f>
        <v>238941.7916</v>
      </c>
      <c r="D47" s="463">
        <f t="shared" ref="D47:D57" si="19">IF(B47=0, "    ---- ", IF(ABS(ROUND(100/B47*C47-100,1))&lt;999,ROUND(100/B47*C47-100,1),IF(ROUND(100/B47*C47-100,1)&gt;999,999,-999)))</f>
        <v>3.7</v>
      </c>
      <c r="E47" s="11">
        <f>IFERROR(100/'Skjema total MA'!C47*C47,0)</f>
        <v>10.653069162727716</v>
      </c>
      <c r="F47" s="162"/>
      <c r="G47" s="33"/>
      <c r="H47" s="176"/>
      <c r="I47" s="176"/>
      <c r="J47" s="37"/>
      <c r="K47" s="37"/>
      <c r="L47" s="176"/>
      <c r="M47" s="176"/>
      <c r="N47" s="165"/>
      <c r="O47" s="165"/>
    </row>
    <row r="48" spans="1:15" s="3" customFormat="1" ht="15.75" x14ac:dyDescent="0.2">
      <c r="A48" s="38" t="s">
        <v>476</v>
      </c>
      <c r="B48" s="316">
        <v>64887.520210000002</v>
      </c>
      <c r="C48" s="317">
        <v>70408.57458</v>
      </c>
      <c r="D48" s="274">
        <f t="shared" si="19"/>
        <v>8.5</v>
      </c>
      <c r="E48" s="27">
        <f>IFERROR(100/'Skjema total MA'!C48*C48,0)</f>
        <v>6.3258537206769887</v>
      </c>
      <c r="F48" s="162"/>
      <c r="G48" s="33"/>
      <c r="H48" s="162"/>
      <c r="I48" s="162"/>
      <c r="J48" s="33"/>
      <c r="K48" s="33"/>
      <c r="L48" s="176"/>
      <c r="M48" s="176"/>
      <c r="N48" s="165"/>
      <c r="O48" s="165"/>
    </row>
    <row r="49" spans="1:15" s="3" customFormat="1" ht="15.75" x14ac:dyDescent="0.2">
      <c r="A49" s="38" t="s">
        <v>477</v>
      </c>
      <c r="B49" s="44">
        <v>165606.52864999999</v>
      </c>
      <c r="C49" s="322">
        <v>168533.21702000001</v>
      </c>
      <c r="D49" s="274">
        <f>IF(B49=0, "    ---- ", IF(ABS(ROUND(100/B49*C49-100,1))&lt;999,ROUND(100/B49*C49-100,1),IF(ROUND(100/B49*C49-100,1)&gt;999,999,-999)))</f>
        <v>1.8</v>
      </c>
      <c r="E49" s="27">
        <f>IFERROR(100/'Skjema total MA'!C49*C49,0)</f>
        <v>14.915635849104559</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0</v>
      </c>
      <c r="C53" s="347">
        <f>SUM(C54:C55)</f>
        <v>17.823</v>
      </c>
      <c r="D53" s="464" t="str">
        <f t="shared" si="19"/>
        <v xml:space="preserve">    ---- </v>
      </c>
      <c r="E53" s="11">
        <f>IFERROR(100/'Skjema total MA'!C53*C53,0)</f>
        <v>3.9146448835264122E-2</v>
      </c>
      <c r="F53" s="162"/>
      <c r="G53" s="33"/>
      <c r="H53" s="162"/>
      <c r="I53" s="162"/>
      <c r="J53" s="33"/>
      <c r="K53" s="33"/>
      <c r="L53" s="176"/>
      <c r="M53" s="176"/>
      <c r="N53" s="165"/>
      <c r="O53" s="165"/>
    </row>
    <row r="54" spans="1:15" s="3" customFormat="1" ht="15.75" x14ac:dyDescent="0.2">
      <c r="A54" s="38" t="s">
        <v>476</v>
      </c>
      <c r="B54" s="316">
        <v>0</v>
      </c>
      <c r="C54" s="317">
        <v>17.823</v>
      </c>
      <c r="D54" s="274" t="str">
        <f t="shared" si="19"/>
        <v xml:space="preserve">    ---- </v>
      </c>
      <c r="E54" s="27">
        <f>IFERROR(100/'Skjema total MA'!C54*C54,0)</f>
        <v>3.9146448835264122E-2</v>
      </c>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0</v>
      </c>
      <c r="C56" s="347">
        <f>SUM(C57:C58)</f>
        <v>796.47500000000002</v>
      </c>
      <c r="D56" s="464" t="str">
        <f t="shared" si="19"/>
        <v xml:space="preserve">    ---- </v>
      </c>
      <c r="E56" s="11">
        <f>IFERROR(100/'Skjema total MA'!C56*C56,0)</f>
        <v>1.895371540653938</v>
      </c>
      <c r="F56" s="162"/>
      <c r="G56" s="33"/>
      <c r="H56" s="162"/>
      <c r="I56" s="162"/>
      <c r="J56" s="33"/>
      <c r="K56" s="33"/>
      <c r="L56" s="176"/>
      <c r="M56" s="176"/>
      <c r="N56" s="165"/>
      <c r="O56" s="165"/>
    </row>
    <row r="57" spans="1:15" s="3" customFormat="1" ht="15.75" x14ac:dyDescent="0.2">
      <c r="A57" s="38" t="s">
        <v>476</v>
      </c>
      <c r="B57" s="316">
        <v>0</v>
      </c>
      <c r="C57" s="317">
        <v>796.47500000000002</v>
      </c>
      <c r="D57" s="274" t="str">
        <f t="shared" si="19"/>
        <v xml:space="preserve">    ---- </v>
      </c>
      <c r="E57" s="27">
        <f>IFERROR(100/'Skjema total MA'!C57*C57,0)</f>
        <v>1.895371540653938</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236474.15793000002</v>
      </c>
      <c r="C66" s="387">
        <f>C67+C68+C75+C76</f>
        <v>234127.94401000001</v>
      </c>
      <c r="D66" s="384">
        <f t="shared" ref="D66:D111" si="20">IF(B66=0, "    ---- ", IF(ABS(ROUND(100/B66*C66-100,1))&lt;999,ROUND(100/B66*C66-100,1),IF(ROUND(100/B66*C66-100,1)&gt;999,999,-999)))</f>
        <v>-1</v>
      </c>
      <c r="E66" s="11">
        <f>IFERROR(100/'Skjema total MA'!C66*C66,0)</f>
        <v>6.2278631942444838</v>
      </c>
      <c r="F66" s="386">
        <f>F67+F68+F75+F76</f>
        <v>635202.89859999996</v>
      </c>
      <c r="G66" s="386">
        <f>G67+G68+G75+G76</f>
        <v>778572.88846000005</v>
      </c>
      <c r="H66" s="384">
        <f t="shared" ref="H66:H111" si="21">IF(F66=0, "    ---- ", IF(ABS(ROUND(100/F66*G66-100,1))&lt;999,ROUND(100/F66*G66-100,1),IF(ROUND(100/F66*G66-100,1)&gt;999,999,-999)))</f>
        <v>22.6</v>
      </c>
      <c r="I66" s="11">
        <f>IFERROR(100/'Skjema total MA'!F66*G66,0)</f>
        <v>11.266083677606947</v>
      </c>
      <c r="J66" s="345">
        <f t="shared" ref="J66:K86" si="22">SUM(B66,F66)</f>
        <v>871677.05652999994</v>
      </c>
      <c r="K66" s="352">
        <f t="shared" si="22"/>
        <v>1012700.83247</v>
      </c>
      <c r="L66" s="464">
        <f t="shared" ref="L66:L111" si="23">IF(J66=0, "    ---- ", IF(ABS(ROUND(100/J66*K66-100,1))&lt;999,ROUND(100/J66*K66-100,1),IF(ROUND(100/J66*K66-100,1)&gt;999,999,-999)))</f>
        <v>16.2</v>
      </c>
      <c r="M66" s="11">
        <f>IFERROR(100/'Skjema total MA'!I66*K66,0)</f>
        <v>9.4909885251441626</v>
      </c>
    </row>
    <row r="67" spans="1:15" x14ac:dyDescent="0.2">
      <c r="A67" s="21" t="s">
        <v>9</v>
      </c>
      <c r="B67" s="44">
        <v>172157.86420000001</v>
      </c>
      <c r="C67" s="162">
        <v>112425.53146</v>
      </c>
      <c r="D67" s="183">
        <f t="shared" si="20"/>
        <v>-34.700000000000003</v>
      </c>
      <c r="E67" s="27">
        <f>IFERROR(100/'Skjema total MA'!C67*C67,0)</f>
        <v>3.5536243916526717</v>
      </c>
      <c r="F67" s="250"/>
      <c r="G67" s="162"/>
      <c r="H67" s="183"/>
      <c r="I67" s="27"/>
      <c r="J67" s="322">
        <f t="shared" si="22"/>
        <v>172157.86420000001</v>
      </c>
      <c r="K67" s="44">
        <f t="shared" si="22"/>
        <v>112425.53146</v>
      </c>
      <c r="L67" s="274">
        <f t="shared" si="23"/>
        <v>-34.700000000000003</v>
      </c>
      <c r="M67" s="27">
        <f>IFERROR(100/'Skjema total MA'!I67*K67,0)</f>
        <v>3.5536243916526717</v>
      </c>
    </row>
    <row r="68" spans="1:15" x14ac:dyDescent="0.2">
      <c r="A68" s="21" t="s">
        <v>10</v>
      </c>
      <c r="B68" s="327">
        <v>14648.90256</v>
      </c>
      <c r="C68" s="328">
        <v>13227.55061</v>
      </c>
      <c r="D68" s="183">
        <f t="shared" si="20"/>
        <v>-9.6999999999999993</v>
      </c>
      <c r="E68" s="27">
        <f>IFERROR(100/'Skjema total MA'!C68*C68,0)</f>
        <v>14.192110196905727</v>
      </c>
      <c r="F68" s="327">
        <v>598124.75020000001</v>
      </c>
      <c r="G68" s="328">
        <v>722635.46270000003</v>
      </c>
      <c r="H68" s="183">
        <f t="shared" si="21"/>
        <v>20.8</v>
      </c>
      <c r="I68" s="27">
        <f>IFERROR(100/'Skjema total MA'!F68*G68,0)</f>
        <v>10.609914239052701</v>
      </c>
      <c r="J68" s="322">
        <f t="shared" si="22"/>
        <v>612773.65275999997</v>
      </c>
      <c r="K68" s="44">
        <f t="shared" si="22"/>
        <v>735863.01331000007</v>
      </c>
      <c r="L68" s="274">
        <f t="shared" si="23"/>
        <v>20.100000000000001</v>
      </c>
      <c r="M68" s="27">
        <f>IFERROR(100/'Skjema total MA'!I68*K68,0)</f>
        <v>10.658272608209856</v>
      </c>
    </row>
    <row r="69" spans="1:15" ht="15.75" x14ac:dyDescent="0.2">
      <c r="A69" s="729" t="s">
        <v>478</v>
      </c>
      <c r="B69" s="316" t="s">
        <v>458</v>
      </c>
      <c r="C69" s="316" t="s">
        <v>458</v>
      </c>
      <c r="D69" s="183" t="str">
        <f>IF(kvartal=4,IF(B69=0, "    ---- ", IF(ABS(ROUND(100/B69*C69-100,1))&lt;999,ROUND(100/B69*C69-100,1),IF(ROUND(100/B69*C69-100,1)&gt;999,999,-999))),"")</f>
        <v/>
      </c>
      <c r="E69" s="453" t="str">
        <f>IF(kvartal=4,IFERROR(100/'Skjema total MA'!B69*C69,0),"")</f>
        <v/>
      </c>
      <c r="F69" s="316" t="s">
        <v>458</v>
      </c>
      <c r="G69" s="316" t="s">
        <v>458</v>
      </c>
      <c r="H69" s="183" t="str">
        <f t="shared" ref="H69:H74" si="24">IF(kvartal=4,IF(F69=0, "    ---- ", IF(ABS(ROUND(100/F69*G69-100,1))&lt;999,ROUND(100/F69*G69-100,1),IF(ROUND(100/F69*G69-100,1)&gt;999,999,-999))),"")</f>
        <v/>
      </c>
      <c r="I69" s="453"/>
      <c r="J69" s="325"/>
      <c r="K69" s="325"/>
      <c r="L69" s="183"/>
      <c r="M69" s="23"/>
    </row>
    <row r="70" spans="1:15" x14ac:dyDescent="0.2">
      <c r="A70" s="729" t="s">
        <v>12</v>
      </c>
      <c r="B70" s="329"/>
      <c r="C70" s="330"/>
      <c r="D70" s="183"/>
      <c r="E70" s="453" t="str">
        <f>IF(kvartal=4,IFERROR(100/'Skjema total MA'!B70*C70,0),"")</f>
        <v/>
      </c>
      <c r="F70" s="316" t="s">
        <v>458</v>
      </c>
      <c r="G70" s="316" t="s">
        <v>458</v>
      </c>
      <c r="H70" s="183" t="str">
        <f t="shared" si="24"/>
        <v/>
      </c>
      <c r="I70" s="453"/>
      <c r="J70" s="325"/>
      <c r="K70" s="325"/>
      <c r="L70" s="183"/>
      <c r="M70" s="23"/>
    </row>
    <row r="71" spans="1:15" x14ac:dyDescent="0.2">
      <c r="A71" s="729" t="s">
        <v>13</v>
      </c>
      <c r="B71" s="251"/>
      <c r="C71" s="324"/>
      <c r="D71" s="183"/>
      <c r="E71" s="453" t="str">
        <f>IF(kvartal=4,IFERROR(100/'Skjema total MA'!B71*C71,0),"")</f>
        <v/>
      </c>
      <c r="F71" s="316" t="s">
        <v>458</v>
      </c>
      <c r="G71" s="316" t="s">
        <v>458</v>
      </c>
      <c r="H71" s="183" t="str">
        <f t="shared" si="24"/>
        <v/>
      </c>
      <c r="I71" s="453"/>
      <c r="J71" s="325"/>
      <c r="K71" s="325"/>
      <c r="L71" s="183"/>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t="s">
        <v>458</v>
      </c>
      <c r="G72" s="316" t="s">
        <v>458</v>
      </c>
      <c r="H72" s="183" t="str">
        <f t="shared" si="24"/>
        <v/>
      </c>
      <c r="I72" s="453"/>
      <c r="J72" s="325"/>
      <c r="K72" s="325"/>
      <c r="L72" s="183"/>
      <c r="M72" s="23"/>
    </row>
    <row r="73" spans="1:15" x14ac:dyDescent="0.2">
      <c r="A73" s="729" t="s">
        <v>12</v>
      </c>
      <c r="B73" s="251"/>
      <c r="C73" s="324"/>
      <c r="D73" s="183"/>
      <c r="E73" s="453" t="str">
        <f>IF(kvartal=4,IFERROR(100/'Skjema total MA'!B73*C73,0),"")</f>
        <v/>
      </c>
      <c r="F73" s="316" t="s">
        <v>458</v>
      </c>
      <c r="G73" s="316" t="s">
        <v>458</v>
      </c>
      <c r="H73" s="183" t="str">
        <f t="shared" si="24"/>
        <v/>
      </c>
      <c r="I73" s="453"/>
      <c r="J73" s="325"/>
      <c r="K73" s="325"/>
      <c r="L73" s="183"/>
      <c r="M73" s="23"/>
    </row>
    <row r="74" spans="1:15" s="3" customFormat="1" x14ac:dyDescent="0.2">
      <c r="A74" s="729" t="s">
        <v>13</v>
      </c>
      <c r="B74" s="251"/>
      <c r="C74" s="324"/>
      <c r="D74" s="183"/>
      <c r="E74" s="453" t="str">
        <f>IF(kvartal=4,IFERROR(100/'Skjema total MA'!B74*C74,0),"")</f>
        <v/>
      </c>
      <c r="F74" s="316" t="s">
        <v>458</v>
      </c>
      <c r="G74" s="316" t="s">
        <v>458</v>
      </c>
      <c r="H74" s="183" t="str">
        <f t="shared" si="24"/>
        <v/>
      </c>
      <c r="I74" s="453"/>
      <c r="J74" s="325"/>
      <c r="K74" s="325"/>
      <c r="L74" s="183"/>
      <c r="M74" s="23"/>
      <c r="N74" s="165"/>
      <c r="O74" s="165"/>
    </row>
    <row r="75" spans="1:15" s="3" customFormat="1" x14ac:dyDescent="0.2">
      <c r="A75" s="21" t="s">
        <v>443</v>
      </c>
      <c r="B75" s="250">
        <v>9210.8428299999996</v>
      </c>
      <c r="C75" s="162">
        <v>67116.774940000003</v>
      </c>
      <c r="D75" s="183">
        <f t="shared" si="20"/>
        <v>628.70000000000005</v>
      </c>
      <c r="E75" s="27">
        <f>IFERROR(100/'Skjema total MA'!C75*C75,0)</f>
        <v>70.638613519652239</v>
      </c>
      <c r="F75" s="250">
        <v>37078.148399999998</v>
      </c>
      <c r="G75" s="162">
        <v>55937.425759999998</v>
      </c>
      <c r="H75" s="183">
        <f t="shared" si="21"/>
        <v>50.9</v>
      </c>
      <c r="I75" s="27">
        <f>IFERROR(100/'Skjema total MA'!F75*G75,0)</f>
        <v>56.036904288087918</v>
      </c>
      <c r="J75" s="322">
        <f t="shared" si="22"/>
        <v>46288.99123</v>
      </c>
      <c r="K75" s="44">
        <f t="shared" si="22"/>
        <v>123054.2007</v>
      </c>
      <c r="L75" s="274">
        <f t="shared" si="23"/>
        <v>165.8</v>
      </c>
      <c r="M75" s="27">
        <f>IFERROR(100/'Skjema total MA'!I75*K75,0)</f>
        <v>63.157588107690373</v>
      </c>
      <c r="N75" s="165"/>
      <c r="O75" s="165"/>
    </row>
    <row r="76" spans="1:15" s="3" customFormat="1" x14ac:dyDescent="0.2">
      <c r="A76" s="21" t="s">
        <v>442</v>
      </c>
      <c r="B76" s="250">
        <v>40456.548340000001</v>
      </c>
      <c r="C76" s="162">
        <v>41358.087</v>
      </c>
      <c r="D76" s="183">
        <f t="shared" ref="D76" si="25">IF(B76=0, "    ---- ", IF(ABS(ROUND(100/B76*C76-100,1))&lt;999,ROUND(100/B76*C76-100,1),IF(ROUND(100/B76*C76-100,1)&gt;999,999,-999)))</f>
        <v>2.2000000000000002</v>
      </c>
      <c r="E76" s="27">
        <f>IFERROR(100/'Skjema total MA'!C77*C76,0)</f>
        <v>1.3247465109169037</v>
      </c>
      <c r="F76" s="250"/>
      <c r="G76" s="162"/>
      <c r="H76" s="183"/>
      <c r="I76" s="27"/>
      <c r="J76" s="322">
        <f t="shared" ref="J76" si="26">SUM(B76,F76)</f>
        <v>40456.548340000001</v>
      </c>
      <c r="K76" s="44">
        <f t="shared" ref="K76" si="27">SUM(C76,G76)</f>
        <v>41358.087</v>
      </c>
      <c r="L76" s="274">
        <f t="shared" ref="L76" si="28">IF(J76=0, "    ---- ", IF(ABS(ROUND(100/J76*K76-100,1))&lt;999,ROUND(100/J76*K76-100,1),IF(ROUND(100/J76*K76-100,1)&gt;999,999,-999)))</f>
        <v>2.2000000000000002</v>
      </c>
      <c r="M76" s="27">
        <f>IFERROR(100/'Skjema total MA'!I77*K76,0)</f>
        <v>0.41652528143349898</v>
      </c>
      <c r="N76" s="165"/>
      <c r="O76" s="165"/>
    </row>
    <row r="77" spans="1:15" ht="15.75" x14ac:dyDescent="0.2">
      <c r="A77" s="21" t="s">
        <v>480</v>
      </c>
      <c r="B77" s="250">
        <v>186806.76676</v>
      </c>
      <c r="C77" s="250">
        <v>125653.08207</v>
      </c>
      <c r="D77" s="183">
        <f t="shared" si="20"/>
        <v>-32.700000000000003</v>
      </c>
      <c r="E77" s="27">
        <f>IFERROR(100/'Skjema total MA'!C77*C77,0)</f>
        <v>4.0248109652215742</v>
      </c>
      <c r="F77" s="250">
        <v>596056.68411000003</v>
      </c>
      <c r="G77" s="162">
        <v>720466.53671999997</v>
      </c>
      <c r="H77" s="183">
        <f t="shared" si="21"/>
        <v>20.9</v>
      </c>
      <c r="I77" s="27">
        <f>IFERROR(100/'Skjema total MA'!F77*G77,0)</f>
        <v>10.583659842965494</v>
      </c>
      <c r="J77" s="322">
        <f t="shared" si="22"/>
        <v>782863.45087000006</v>
      </c>
      <c r="K77" s="44">
        <f t="shared" si="22"/>
        <v>846119.61878999998</v>
      </c>
      <c r="L77" s="274">
        <f t="shared" si="23"/>
        <v>8.1</v>
      </c>
      <c r="M77" s="27">
        <f>IFERROR(100/'Skjema total MA'!I77*K77,0)</f>
        <v>8.521434087193386</v>
      </c>
    </row>
    <row r="78" spans="1:15" x14ac:dyDescent="0.2">
      <c r="A78" s="21" t="s">
        <v>9</v>
      </c>
      <c r="B78" s="250">
        <v>172157.86420000001</v>
      </c>
      <c r="C78" s="162">
        <v>112425.53146</v>
      </c>
      <c r="D78" s="183">
        <f t="shared" si="20"/>
        <v>-34.700000000000003</v>
      </c>
      <c r="E78" s="27">
        <f>IFERROR(100/'Skjema total MA'!C78*C78,0)</f>
        <v>3.7102105753540782</v>
      </c>
      <c r="F78" s="250"/>
      <c r="G78" s="162"/>
      <c r="H78" s="183"/>
      <c r="I78" s="27"/>
      <c r="J78" s="322">
        <f t="shared" si="22"/>
        <v>172157.86420000001</v>
      </c>
      <c r="K78" s="44">
        <f t="shared" si="22"/>
        <v>112425.53146</v>
      </c>
      <c r="L78" s="274">
        <f t="shared" si="23"/>
        <v>-34.700000000000003</v>
      </c>
      <c r="M78" s="27">
        <f>IFERROR(100/'Skjema total MA'!I78*K78,0)</f>
        <v>3.7102105753540782</v>
      </c>
    </row>
    <row r="79" spans="1:15" x14ac:dyDescent="0.2">
      <c r="A79" s="21" t="s">
        <v>10</v>
      </c>
      <c r="B79" s="327">
        <v>14648.90256</v>
      </c>
      <c r="C79" s="328">
        <v>13227.55061</v>
      </c>
      <c r="D79" s="183">
        <f t="shared" si="20"/>
        <v>-9.6999999999999993</v>
      </c>
      <c r="E79" s="27">
        <f>IFERROR(100/'Skjema total MA'!C79*C79,0)</f>
        <v>14.409639537722441</v>
      </c>
      <c r="F79" s="327">
        <v>596056.68411000003</v>
      </c>
      <c r="G79" s="328">
        <v>720466.53671999997</v>
      </c>
      <c r="H79" s="183">
        <f t="shared" si="21"/>
        <v>20.9</v>
      </c>
      <c r="I79" s="27">
        <f>IFERROR(100/'Skjema total MA'!F79*G79,0)</f>
        <v>10.583659842965494</v>
      </c>
      <c r="J79" s="322">
        <f t="shared" si="22"/>
        <v>610705.58666999999</v>
      </c>
      <c r="K79" s="44">
        <f t="shared" si="22"/>
        <v>733694.08733000001</v>
      </c>
      <c r="L79" s="274">
        <f t="shared" si="23"/>
        <v>20.100000000000001</v>
      </c>
      <c r="M79" s="27">
        <f>IFERROR(100/'Skjema total MA'!I79*K79,0)</f>
        <v>10.63456640216862</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t="s">
        <v>458</v>
      </c>
      <c r="G80" s="316" t="s">
        <v>458</v>
      </c>
      <c r="H80" s="183" t="str">
        <f t="shared" ref="H80:H85" si="29">IF(kvartal=4,IF(F80=0, "    ---- ", IF(ABS(ROUND(100/F80*G80-100,1))&lt;999,ROUND(100/F80*G80-100,1),IF(ROUND(100/F80*G80-100,1)&gt;999,999,-999))),"")</f>
        <v/>
      </c>
      <c r="I80" s="453"/>
      <c r="J80" s="325"/>
      <c r="K80" s="325"/>
      <c r="L80" s="183"/>
      <c r="M80" s="23"/>
    </row>
    <row r="81" spans="1:13" x14ac:dyDescent="0.2">
      <c r="A81" s="729" t="s">
        <v>12</v>
      </c>
      <c r="B81" s="251"/>
      <c r="C81" s="324"/>
      <c r="D81" s="183"/>
      <c r="E81" s="453" t="str">
        <f>IF(kvartal=4,IFERROR(100/'Skjema total MA'!B81*C81,0),"")</f>
        <v/>
      </c>
      <c r="F81" s="316" t="s">
        <v>458</v>
      </c>
      <c r="G81" s="316" t="s">
        <v>458</v>
      </c>
      <c r="H81" s="183" t="str">
        <f t="shared" si="29"/>
        <v/>
      </c>
      <c r="I81" s="453"/>
      <c r="J81" s="325"/>
      <c r="K81" s="325"/>
      <c r="L81" s="183"/>
      <c r="M81" s="23"/>
    </row>
    <row r="82" spans="1:13" x14ac:dyDescent="0.2">
      <c r="A82" s="729" t="s">
        <v>13</v>
      </c>
      <c r="B82" s="251"/>
      <c r="C82" s="324"/>
      <c r="D82" s="183"/>
      <c r="E82" s="453" t="str">
        <f>IF(kvartal=4,IFERROR(100/'Skjema total MA'!B82*C82,0),"")</f>
        <v/>
      </c>
      <c r="F82" s="316" t="s">
        <v>458</v>
      </c>
      <c r="G82" s="316" t="s">
        <v>458</v>
      </c>
      <c r="H82" s="183" t="str">
        <f t="shared" si="29"/>
        <v/>
      </c>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t="s">
        <v>458</v>
      </c>
      <c r="G83" s="316" t="s">
        <v>458</v>
      </c>
      <c r="H83" s="183" t="str">
        <f t="shared" si="29"/>
        <v/>
      </c>
      <c r="I83" s="453"/>
      <c r="J83" s="325"/>
      <c r="K83" s="325"/>
      <c r="L83" s="183"/>
      <c r="M83" s="23"/>
    </row>
    <row r="84" spans="1:13" x14ac:dyDescent="0.2">
      <c r="A84" s="729" t="s">
        <v>12</v>
      </c>
      <c r="B84" s="251"/>
      <c r="C84" s="324"/>
      <c r="D84" s="183"/>
      <c r="E84" s="453" t="str">
        <f>IF(kvartal=4,IFERROR(100/'Skjema total MA'!B84*C84,0),"")</f>
        <v/>
      </c>
      <c r="F84" s="316" t="s">
        <v>458</v>
      </c>
      <c r="G84" s="316" t="s">
        <v>458</v>
      </c>
      <c r="H84" s="183" t="str">
        <f t="shared" si="29"/>
        <v/>
      </c>
      <c r="I84" s="453"/>
      <c r="J84" s="325"/>
      <c r="K84" s="325"/>
      <c r="L84" s="183"/>
      <c r="M84" s="23"/>
    </row>
    <row r="85" spans="1:13" x14ac:dyDescent="0.2">
      <c r="A85" s="729" t="s">
        <v>13</v>
      </c>
      <c r="B85" s="251"/>
      <c r="C85" s="324"/>
      <c r="D85" s="183"/>
      <c r="E85" s="453" t="str">
        <f>IF(kvartal=4,IFERROR(100/'Skjema total MA'!B85*C85,0),"")</f>
        <v/>
      </c>
      <c r="F85" s="316" t="s">
        <v>458</v>
      </c>
      <c r="G85" s="316" t="s">
        <v>458</v>
      </c>
      <c r="H85" s="183" t="str">
        <f t="shared" si="29"/>
        <v/>
      </c>
      <c r="I85" s="453"/>
      <c r="J85" s="325"/>
      <c r="K85" s="325"/>
      <c r="L85" s="183"/>
      <c r="M85" s="23"/>
    </row>
    <row r="86" spans="1:13" ht="15.75" x14ac:dyDescent="0.2">
      <c r="A86" s="21" t="s">
        <v>481</v>
      </c>
      <c r="B86" s="250"/>
      <c r="C86" s="162"/>
      <c r="D86" s="183"/>
      <c r="E86" s="27"/>
      <c r="F86" s="250">
        <v>2068.0660899999998</v>
      </c>
      <c r="G86" s="162">
        <v>2168.92598</v>
      </c>
      <c r="H86" s="183">
        <f t="shared" si="21"/>
        <v>4.9000000000000004</v>
      </c>
      <c r="I86" s="27">
        <f>IFERROR(100/'Skjema total MA'!F86*G86,0)</f>
        <v>60.288823395468</v>
      </c>
      <c r="J86" s="322">
        <f t="shared" si="22"/>
        <v>2068.0660899999998</v>
      </c>
      <c r="K86" s="44">
        <f t="shared" si="22"/>
        <v>2168.92598</v>
      </c>
      <c r="L86" s="274">
        <f t="shared" si="23"/>
        <v>4.9000000000000004</v>
      </c>
      <c r="M86" s="27">
        <f>IFERROR(100/'Skjema total MA'!I86*K86,0)</f>
        <v>1.5657268923746674</v>
      </c>
    </row>
    <row r="87" spans="1:13" ht="15.75" x14ac:dyDescent="0.2">
      <c r="A87" s="13" t="s">
        <v>466</v>
      </c>
      <c r="B87" s="387">
        <f>B88+B89+B96+B97</f>
        <v>11637868.138279973</v>
      </c>
      <c r="C87" s="387">
        <f>C88+C89+C96+C97</f>
        <v>12946629.83</v>
      </c>
      <c r="D87" s="188">
        <f t="shared" si="20"/>
        <v>11.2</v>
      </c>
      <c r="E87" s="11">
        <f>IFERROR(100/'Skjema total MA'!C87*C87,0)</f>
        <v>3.3647805462223439</v>
      </c>
      <c r="F87" s="386">
        <f>SUM(F88,F89,F96,F97)</f>
        <v>17043792.100609999</v>
      </c>
      <c r="G87" s="386">
        <f>SUM(G88,G89,G96,G97)</f>
        <v>21936513.691150002</v>
      </c>
      <c r="H87" s="188">
        <f t="shared" si="21"/>
        <v>28.7</v>
      </c>
      <c r="I87" s="11">
        <f>IFERROR(100/'Skjema total MA'!F87*G87,0)</f>
        <v>9.3560770124525874</v>
      </c>
      <c r="J87" s="345">
        <f t="shared" ref="J87:K111" si="30">SUM(B87,F87)</f>
        <v>28681660.23888997</v>
      </c>
      <c r="K87" s="252">
        <f t="shared" si="30"/>
        <v>34883143.52115</v>
      </c>
      <c r="L87" s="464">
        <f t="shared" si="23"/>
        <v>21.6</v>
      </c>
      <c r="M87" s="11">
        <f>IFERROR(100/'Skjema total MA'!I87*K87,0)</f>
        <v>5.6332946407264117</v>
      </c>
    </row>
    <row r="88" spans="1:13" x14ac:dyDescent="0.2">
      <c r="A88" s="21" t="s">
        <v>9</v>
      </c>
      <c r="B88" s="250">
        <v>10681467.624661099</v>
      </c>
      <c r="C88" s="162">
        <v>10997153.014559999</v>
      </c>
      <c r="D88" s="183">
        <f t="shared" si="20"/>
        <v>3</v>
      </c>
      <c r="E88" s="27">
        <f>IFERROR(100/'Skjema total MA'!C88*C88,0)</f>
        <v>2.917772948065871</v>
      </c>
      <c r="F88" s="250"/>
      <c r="G88" s="162"/>
      <c r="H88" s="183"/>
      <c r="I88" s="27"/>
      <c r="J88" s="322">
        <f t="shared" si="30"/>
        <v>10681467.624661099</v>
      </c>
      <c r="K88" s="44">
        <f t="shared" si="30"/>
        <v>10997153.014559999</v>
      </c>
      <c r="L88" s="274">
        <f t="shared" si="23"/>
        <v>3</v>
      </c>
      <c r="M88" s="27">
        <f>IFERROR(100/'Skjema total MA'!I88*K88,0)</f>
        <v>2.917772948065871</v>
      </c>
    </row>
    <row r="89" spans="1:13" x14ac:dyDescent="0.2">
      <c r="A89" s="21" t="s">
        <v>10</v>
      </c>
      <c r="B89" s="250">
        <v>815017.05125000002</v>
      </c>
      <c r="C89" s="162">
        <v>1202988.22413</v>
      </c>
      <c r="D89" s="183">
        <f t="shared" si="20"/>
        <v>47.6</v>
      </c>
      <c r="E89" s="27">
        <f>IFERROR(100/'Skjema total MA'!C89*C89,0)</f>
        <v>44.865095849352649</v>
      </c>
      <c r="F89" s="250">
        <v>16876109.421879999</v>
      </c>
      <c r="G89" s="162">
        <v>21433782.274640001</v>
      </c>
      <c r="H89" s="183">
        <f t="shared" si="21"/>
        <v>27</v>
      </c>
      <c r="I89" s="27">
        <f>IFERROR(100/'Skjema total MA'!F89*G89,0)</f>
        <v>9.1723105621309138</v>
      </c>
      <c r="J89" s="322">
        <f t="shared" si="30"/>
        <v>17691126.473129999</v>
      </c>
      <c r="K89" s="44">
        <f t="shared" si="30"/>
        <v>22636770.498770002</v>
      </c>
      <c r="L89" s="274">
        <f t="shared" si="23"/>
        <v>28</v>
      </c>
      <c r="M89" s="27">
        <f>IFERROR(100/'Skjema total MA'!I89*K89,0)</f>
        <v>9.577220303698029</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t="s">
        <v>458</v>
      </c>
      <c r="G90" s="316" t="s">
        <v>458</v>
      </c>
      <c r="H90" s="183" t="str">
        <f t="shared" ref="H90:H95" si="31">IF(kvartal=4,IF(F90=0, "    ---- ", IF(ABS(ROUND(100/F90*G90-100,1))&lt;999,ROUND(100/F90*G90-100,1),IF(ROUND(100/F90*G90-100,1)&gt;999,999,-999))),"")</f>
        <v/>
      </c>
      <c r="I90" s="453"/>
      <c r="J90" s="325"/>
      <c r="K90" s="325"/>
      <c r="L90" s="183"/>
      <c r="M90" s="23"/>
    </row>
    <row r="91" spans="1:13" x14ac:dyDescent="0.2">
      <c r="A91" s="729" t="s">
        <v>12</v>
      </c>
      <c r="B91" s="251"/>
      <c r="C91" s="324"/>
      <c r="D91" s="183"/>
      <c r="E91" s="453" t="str">
        <f>IF(kvartal=4,IFERROR(100/'Skjema total MA'!B91*C91,0),"")</f>
        <v/>
      </c>
      <c r="F91" s="316" t="s">
        <v>458</v>
      </c>
      <c r="G91" s="316" t="s">
        <v>458</v>
      </c>
      <c r="H91" s="183" t="str">
        <f t="shared" si="31"/>
        <v/>
      </c>
      <c r="I91" s="453"/>
      <c r="J91" s="325"/>
      <c r="K91" s="325"/>
      <c r="L91" s="183"/>
      <c r="M91" s="23"/>
    </row>
    <row r="92" spans="1:13" x14ac:dyDescent="0.2">
      <c r="A92" s="729" t="s">
        <v>13</v>
      </c>
      <c r="B92" s="251"/>
      <c r="C92" s="324"/>
      <c r="D92" s="183"/>
      <c r="E92" s="453" t="str">
        <f>IF(kvartal=4,IFERROR(100/'Skjema total MA'!B92*C92,0),"")</f>
        <v/>
      </c>
      <c r="F92" s="316" t="s">
        <v>458</v>
      </c>
      <c r="G92" s="316" t="s">
        <v>458</v>
      </c>
      <c r="H92" s="183" t="str">
        <f t="shared" si="31"/>
        <v/>
      </c>
      <c r="I92" s="453"/>
      <c r="J92" s="325"/>
      <c r="K92" s="325"/>
      <c r="L92" s="183"/>
      <c r="M92" s="23"/>
    </row>
    <row r="93" spans="1:13" ht="15.75" x14ac:dyDescent="0.2">
      <c r="A93" s="729" t="s">
        <v>479</v>
      </c>
      <c r="B93" s="316" t="s">
        <v>458</v>
      </c>
      <c r="C93" s="316" t="s">
        <v>458</v>
      </c>
      <c r="D93" s="183" t="str">
        <f>IF(kvartal=4,IF(B93=0, "    ---- ", IF(ABS(ROUND(100/B93*C93-100,1))&lt;999,ROUND(100/B93*C93-100,1),IF(ROUND(100/B93*C93-100,1)&gt;999,999,-999))),"")</f>
        <v/>
      </c>
      <c r="E93" s="453" t="str">
        <f>IF(kvartal=4,IFERROR(100/'Skjema total MA'!B93*C93,0),"")</f>
        <v/>
      </c>
      <c r="F93" s="316" t="s">
        <v>458</v>
      </c>
      <c r="G93" s="316" t="s">
        <v>458</v>
      </c>
      <c r="H93" s="183" t="str">
        <f t="shared" si="31"/>
        <v/>
      </c>
      <c r="I93" s="453"/>
      <c r="J93" s="325"/>
      <c r="K93" s="325"/>
      <c r="L93" s="183"/>
      <c r="M93" s="23"/>
    </row>
    <row r="94" spans="1:13" x14ac:dyDescent="0.2">
      <c r="A94" s="729" t="s">
        <v>12</v>
      </c>
      <c r="B94" s="251"/>
      <c r="C94" s="324"/>
      <c r="D94" s="183"/>
      <c r="E94" s="453" t="str">
        <f>IF(kvartal=4,IFERROR(100/'Skjema total MA'!B94*C94,0),"")</f>
        <v/>
      </c>
      <c r="F94" s="316" t="s">
        <v>458</v>
      </c>
      <c r="G94" s="316" t="s">
        <v>458</v>
      </c>
      <c r="H94" s="183" t="str">
        <f t="shared" si="31"/>
        <v/>
      </c>
      <c r="I94" s="453"/>
      <c r="J94" s="325"/>
      <c r="K94" s="325"/>
      <c r="L94" s="183"/>
      <c r="M94" s="23"/>
    </row>
    <row r="95" spans="1:13" x14ac:dyDescent="0.2">
      <c r="A95" s="729" t="s">
        <v>13</v>
      </c>
      <c r="B95" s="251"/>
      <c r="C95" s="324"/>
      <c r="D95" s="183"/>
      <c r="E95" s="453" t="str">
        <f>IF(kvartal=4,IFERROR(100/'Skjema total MA'!B95*C95,0),"")</f>
        <v/>
      </c>
      <c r="F95" s="316" t="s">
        <v>458</v>
      </c>
      <c r="G95" s="316" t="s">
        <v>458</v>
      </c>
      <c r="H95" s="183" t="str">
        <f t="shared" si="31"/>
        <v/>
      </c>
      <c r="I95" s="453"/>
      <c r="J95" s="325"/>
      <c r="K95" s="325"/>
      <c r="L95" s="183"/>
      <c r="M95" s="23"/>
    </row>
    <row r="96" spans="1:13" x14ac:dyDescent="0.2">
      <c r="A96" s="21" t="s">
        <v>443</v>
      </c>
      <c r="B96" s="250">
        <v>87599.805559999993</v>
      </c>
      <c r="C96" s="162">
        <v>450720.22503999999</v>
      </c>
      <c r="D96" s="183">
        <f t="shared" si="20"/>
        <v>414.5</v>
      </c>
      <c r="E96" s="27">
        <f>IFERROR(100/'Skjema total MA'!C96*C96,0)</f>
        <v>78.606075868278225</v>
      </c>
      <c r="F96" s="250">
        <v>167682.67873000001</v>
      </c>
      <c r="G96" s="162">
        <v>502731.41651000001</v>
      </c>
      <c r="H96" s="183">
        <f t="shared" si="21"/>
        <v>199.8</v>
      </c>
      <c r="I96" s="27">
        <f>IFERROR(100/'Skjema total MA'!F96*G96,0)</f>
        <v>64.16257232309988</v>
      </c>
      <c r="J96" s="322">
        <f t="shared" si="30"/>
        <v>255282.48428999999</v>
      </c>
      <c r="K96" s="44">
        <f t="shared" si="30"/>
        <v>953451.64155000006</v>
      </c>
      <c r="L96" s="274">
        <f t="shared" si="23"/>
        <v>273.5</v>
      </c>
      <c r="M96" s="27">
        <f>IFERROR(100/'Skjema total MA'!I96*K96,0)</f>
        <v>70.265942139263174</v>
      </c>
    </row>
    <row r="97" spans="1:13" x14ac:dyDescent="0.2">
      <c r="A97" s="21" t="s">
        <v>442</v>
      </c>
      <c r="B97" s="250">
        <v>53783.656808874497</v>
      </c>
      <c r="C97" s="162">
        <v>295768.36627</v>
      </c>
      <c r="D97" s="183">
        <f t="shared" ref="D97" si="32">IF(B97=0, "    ---- ", IF(ABS(ROUND(100/B97*C97-100,1))&lt;999,ROUND(100/B97*C97-100,1),IF(ROUND(100/B97*C97-100,1)&gt;999,999,-999)))</f>
        <v>449.9</v>
      </c>
      <c r="E97" s="27">
        <f>IFERROR(100/'Skjema total MA'!C98*C97,0)</f>
        <v>7.8942056829868851E-2</v>
      </c>
      <c r="F97" s="250"/>
      <c r="G97" s="162"/>
      <c r="H97" s="183"/>
      <c r="I97" s="27"/>
      <c r="J97" s="322">
        <f t="shared" ref="J97" si="33">SUM(B97,F97)</f>
        <v>53783.656808874497</v>
      </c>
      <c r="K97" s="44">
        <f t="shared" ref="K97" si="34">SUM(C97,G97)</f>
        <v>295768.36627</v>
      </c>
      <c r="L97" s="274">
        <f t="shared" ref="L97" si="35">IF(J97=0, "    ---- ", IF(ABS(ROUND(100/J97*K97-100,1))&lt;999,ROUND(100/J97*K97-100,1),IF(ROUND(100/J97*K97-100,1)&gt;999,999,-999)))</f>
        <v>449.9</v>
      </c>
      <c r="M97" s="27">
        <f>IFERROR(100/'Skjema total MA'!I98*K97,0)</f>
        <v>4.8667559495022494E-2</v>
      </c>
    </row>
    <row r="98" spans="1:13" ht="15.75" x14ac:dyDescent="0.2">
      <c r="A98" s="21" t="s">
        <v>480</v>
      </c>
      <c r="B98" s="250">
        <v>11496484.675911099</v>
      </c>
      <c r="C98" s="250">
        <v>12200141.23869</v>
      </c>
      <c r="D98" s="183">
        <f t="shared" si="20"/>
        <v>6.1</v>
      </c>
      <c r="E98" s="27">
        <f>IFERROR(100/'Skjema total MA'!C98*C98,0)</f>
        <v>3.2562787398226938</v>
      </c>
      <c r="F98" s="327">
        <v>16824800.784120001</v>
      </c>
      <c r="G98" s="327">
        <v>21375277.226100001</v>
      </c>
      <c r="H98" s="183">
        <f t="shared" si="21"/>
        <v>27</v>
      </c>
      <c r="I98" s="27">
        <f>IFERROR(100/'Skjema total MA'!F98*G98,0)</f>
        <v>9.1713042014904005</v>
      </c>
      <c r="J98" s="322">
        <f t="shared" si="30"/>
        <v>28321285.4600311</v>
      </c>
      <c r="K98" s="44">
        <f t="shared" si="30"/>
        <v>33575418.464790002</v>
      </c>
      <c r="L98" s="274">
        <f t="shared" si="23"/>
        <v>18.600000000000001</v>
      </c>
      <c r="M98" s="27">
        <f>IFERROR(100/'Skjema total MA'!I98*K98,0)</f>
        <v>5.5247073793340462</v>
      </c>
    </row>
    <row r="99" spans="1:13" x14ac:dyDescent="0.2">
      <c r="A99" s="21" t="s">
        <v>9</v>
      </c>
      <c r="B99" s="327">
        <v>10681467.624661099</v>
      </c>
      <c r="C99" s="328">
        <v>10997153.014559999</v>
      </c>
      <c r="D99" s="183">
        <f t="shared" si="20"/>
        <v>3</v>
      </c>
      <c r="E99" s="27">
        <f>IFERROR(100/'Skjema total MA'!C99*C99,0)</f>
        <v>2.9563527314719238</v>
      </c>
      <c r="F99" s="250"/>
      <c r="G99" s="162"/>
      <c r="H99" s="183"/>
      <c r="I99" s="27"/>
      <c r="J99" s="322">
        <f t="shared" si="30"/>
        <v>10681467.624661099</v>
      </c>
      <c r="K99" s="44">
        <f t="shared" si="30"/>
        <v>10997153.014559999</v>
      </c>
      <c r="L99" s="274">
        <f t="shared" si="23"/>
        <v>3</v>
      </c>
      <c r="M99" s="27">
        <f>IFERROR(100/'Skjema total MA'!I99*K99,0)</f>
        <v>2.9563527314719238</v>
      </c>
    </row>
    <row r="100" spans="1:13" x14ac:dyDescent="0.2">
      <c r="A100" s="21" t="s">
        <v>10</v>
      </c>
      <c r="B100" s="327">
        <v>815017.05125000002</v>
      </c>
      <c r="C100" s="328">
        <v>1202988.22413</v>
      </c>
      <c r="D100" s="183">
        <f t="shared" si="20"/>
        <v>47.6</v>
      </c>
      <c r="E100" s="27">
        <f>IFERROR(100/'Skjema total MA'!C100*C100,0)</f>
        <v>44.865095849352649</v>
      </c>
      <c r="F100" s="250">
        <v>16824800.784120001</v>
      </c>
      <c r="G100" s="250">
        <v>21375277.226100001</v>
      </c>
      <c r="H100" s="183">
        <f t="shared" si="21"/>
        <v>27</v>
      </c>
      <c r="I100" s="27">
        <f>IFERROR(100/'Skjema total MA'!F100*G100,0)</f>
        <v>9.1713042014904005</v>
      </c>
      <c r="J100" s="322">
        <f t="shared" si="30"/>
        <v>17639817.83537</v>
      </c>
      <c r="K100" s="44">
        <f t="shared" si="30"/>
        <v>22578265.450230002</v>
      </c>
      <c r="L100" s="274">
        <f t="shared" si="23"/>
        <v>28</v>
      </c>
      <c r="M100" s="27">
        <f>IFERROR(100/'Skjema total MA'!I100*K100,0)</f>
        <v>9.5772769989160942</v>
      </c>
    </row>
    <row r="101" spans="1:13" ht="15.75" x14ac:dyDescent="0.2">
      <c r="A101" s="729" t="s">
        <v>478</v>
      </c>
      <c r="B101" s="316" t="s">
        <v>458</v>
      </c>
      <c r="C101" s="316" t="s">
        <v>458</v>
      </c>
      <c r="D101" s="183" t="str">
        <f>IF(kvartal=4,IF(B101=0, "    ---- ", IF(ABS(ROUND(100/B101*C101-100,1))&lt;999,ROUND(100/B101*C101-100,1),IF(ROUND(100/B101*C101-100,1)&gt;999,999,-999))),"")</f>
        <v/>
      </c>
      <c r="E101" s="453" t="str">
        <f>IF(kvartal=4,IFERROR(100/'Skjema total MA'!B101*C101,0),"")</f>
        <v/>
      </c>
      <c r="F101" s="316" t="s">
        <v>458</v>
      </c>
      <c r="G101" s="316" t="s">
        <v>458</v>
      </c>
      <c r="H101" s="183" t="str">
        <f t="shared" ref="H101:H106" si="36">IF(kvartal=4,IF(F101=0, "    ---- ", IF(ABS(ROUND(100/F101*G101-100,1))&lt;999,ROUND(100/F101*G101-100,1),IF(ROUND(100/F101*G101-100,1)&gt;999,999,-999))),"")</f>
        <v/>
      </c>
      <c r="I101" s="453"/>
      <c r="J101" s="325"/>
      <c r="K101" s="325"/>
      <c r="L101" s="183"/>
      <c r="M101" s="23"/>
    </row>
    <row r="102" spans="1:13" x14ac:dyDescent="0.2">
      <c r="A102" s="729" t="s">
        <v>12</v>
      </c>
      <c r="B102" s="251"/>
      <c r="C102" s="324"/>
      <c r="D102" s="183"/>
      <c r="E102" s="453" t="str">
        <f>IF(kvartal=4,IFERROR(100/'Skjema total MA'!B102*C102,0),"")</f>
        <v/>
      </c>
      <c r="F102" s="316" t="s">
        <v>458</v>
      </c>
      <c r="G102" s="316" t="s">
        <v>458</v>
      </c>
      <c r="H102" s="183" t="str">
        <f t="shared" si="36"/>
        <v/>
      </c>
      <c r="I102" s="453"/>
      <c r="J102" s="325"/>
      <c r="K102" s="325"/>
      <c r="L102" s="183"/>
      <c r="M102" s="23"/>
    </row>
    <row r="103" spans="1:13" x14ac:dyDescent="0.2">
      <c r="A103" s="729" t="s">
        <v>13</v>
      </c>
      <c r="B103" s="251"/>
      <c r="C103" s="324"/>
      <c r="D103" s="183"/>
      <c r="E103" s="453" t="str">
        <f>IF(kvartal=4,IFERROR(100/'Skjema total MA'!B103*C103,0),"")</f>
        <v/>
      </c>
      <c r="F103" s="316" t="s">
        <v>458</v>
      </c>
      <c r="G103" s="316" t="s">
        <v>458</v>
      </c>
      <c r="H103" s="183" t="str">
        <f t="shared" si="36"/>
        <v/>
      </c>
      <c r="I103" s="453"/>
      <c r="J103" s="325"/>
      <c r="K103" s="325"/>
      <c r="L103" s="183"/>
      <c r="M103" s="23"/>
    </row>
    <row r="104" spans="1:13" ht="15.75" x14ac:dyDescent="0.2">
      <c r="A104" s="729" t="s">
        <v>479</v>
      </c>
      <c r="B104" s="316" t="s">
        <v>458</v>
      </c>
      <c r="C104" s="316" t="s">
        <v>458</v>
      </c>
      <c r="D104" s="183" t="str">
        <f>IF(kvartal=4,IF(B104=0, "    ---- ", IF(ABS(ROUND(100/B104*C104-100,1))&lt;999,ROUND(100/B104*C104-100,1),IF(ROUND(100/B104*C104-100,1)&gt;999,999,-999))),"")</f>
        <v/>
      </c>
      <c r="E104" s="453" t="str">
        <f>IF(kvartal=4,IFERROR(100/'Skjema total MA'!B104*C104,0),"")</f>
        <v/>
      </c>
      <c r="F104" s="316" t="s">
        <v>458</v>
      </c>
      <c r="G104" s="316" t="s">
        <v>458</v>
      </c>
      <c r="H104" s="183" t="str">
        <f t="shared" si="36"/>
        <v/>
      </c>
      <c r="I104" s="453"/>
      <c r="J104" s="325"/>
      <c r="K104" s="325"/>
      <c r="L104" s="183"/>
      <c r="M104" s="23"/>
    </row>
    <row r="105" spans="1:13" x14ac:dyDescent="0.2">
      <c r="A105" s="729" t="s">
        <v>12</v>
      </c>
      <c r="B105" s="251"/>
      <c r="C105" s="324"/>
      <c r="D105" s="183"/>
      <c r="E105" s="453" t="str">
        <f>IF(kvartal=4,IFERROR(100/'Skjema total MA'!B105*C105,0),"")</f>
        <v/>
      </c>
      <c r="F105" s="316" t="s">
        <v>458</v>
      </c>
      <c r="G105" s="316" t="s">
        <v>458</v>
      </c>
      <c r="H105" s="183" t="str">
        <f t="shared" si="36"/>
        <v/>
      </c>
      <c r="I105" s="453"/>
      <c r="J105" s="325"/>
      <c r="K105" s="325"/>
      <c r="L105" s="183"/>
      <c r="M105" s="23"/>
    </row>
    <row r="106" spans="1:13" x14ac:dyDescent="0.2">
      <c r="A106" s="729" t="s">
        <v>13</v>
      </c>
      <c r="B106" s="251"/>
      <c r="C106" s="324"/>
      <c r="D106" s="183"/>
      <c r="E106" s="453" t="str">
        <f>IF(kvartal=4,IFERROR(100/'Skjema total MA'!B106*C106,0),"")</f>
        <v/>
      </c>
      <c r="F106" s="316" t="s">
        <v>458</v>
      </c>
      <c r="G106" s="316" t="s">
        <v>458</v>
      </c>
      <c r="H106" s="183" t="str">
        <f t="shared" si="36"/>
        <v/>
      </c>
      <c r="I106" s="453"/>
      <c r="J106" s="325"/>
      <c r="K106" s="325"/>
      <c r="L106" s="183"/>
      <c r="M106" s="23"/>
    </row>
    <row r="107" spans="1:13" ht="15.75" x14ac:dyDescent="0.2">
      <c r="A107" s="21" t="s">
        <v>481</v>
      </c>
      <c r="B107" s="250"/>
      <c r="C107" s="162"/>
      <c r="D107" s="183"/>
      <c r="E107" s="27"/>
      <c r="F107" s="250">
        <v>51308.637759999903</v>
      </c>
      <c r="G107" s="162">
        <v>58505.048540000003</v>
      </c>
      <c r="H107" s="183">
        <f t="shared" si="21"/>
        <v>14</v>
      </c>
      <c r="I107" s="27">
        <f>IFERROR(100/'Skjema total MA'!F107*G107,0)</f>
        <v>9.5553904888710601</v>
      </c>
      <c r="J107" s="322">
        <f t="shared" si="30"/>
        <v>51308.637759999903</v>
      </c>
      <c r="K107" s="44">
        <f t="shared" si="30"/>
        <v>58505.048540000003</v>
      </c>
      <c r="L107" s="274">
        <f t="shared" si="23"/>
        <v>14</v>
      </c>
      <c r="M107" s="27">
        <f>IFERROR(100/'Skjema total MA'!I107*K107,0)</f>
        <v>1.057810462064265</v>
      </c>
    </row>
    <row r="108" spans="1:13" ht="15.75" x14ac:dyDescent="0.2">
      <c r="A108" s="21" t="s">
        <v>482</v>
      </c>
      <c r="B108" s="250">
        <v>6633083.2906600004</v>
      </c>
      <c r="C108" s="250">
        <v>7812933.2744500004</v>
      </c>
      <c r="D108" s="183">
        <f t="shared" si="20"/>
        <v>17.8</v>
      </c>
      <c r="E108" s="27">
        <f>IFERROR(100/'Skjema total MA'!C108*C108,0)</f>
        <v>2.542808565461899</v>
      </c>
      <c r="F108" s="250"/>
      <c r="G108" s="250"/>
      <c r="H108" s="183"/>
      <c r="I108" s="27"/>
      <c r="J108" s="322">
        <f t="shared" si="30"/>
        <v>6633083.2906600004</v>
      </c>
      <c r="K108" s="44">
        <f t="shared" si="30"/>
        <v>7812933.2744500004</v>
      </c>
      <c r="L108" s="274">
        <f t="shared" si="23"/>
        <v>17.8</v>
      </c>
      <c r="M108" s="27">
        <f>IFERROR(100/'Skjema total MA'!I108*K108,0)</f>
        <v>2.4212105390559664</v>
      </c>
    </row>
    <row r="109" spans="1:13" ht="15.75" x14ac:dyDescent="0.2">
      <c r="A109" s="21" t="s">
        <v>483</v>
      </c>
      <c r="B109" s="250">
        <v>279670.14739</v>
      </c>
      <c r="C109" s="250">
        <v>303389.18544999999</v>
      </c>
      <c r="D109" s="183">
        <f t="shared" si="20"/>
        <v>8.5</v>
      </c>
      <c r="E109" s="27">
        <f>IFERROR(100/'Skjema total MA'!C109*C109,0)</f>
        <v>28.716352144315461</v>
      </c>
      <c r="F109" s="250">
        <v>5241540.9058999997</v>
      </c>
      <c r="G109" s="250">
        <v>6653774.4511900004</v>
      </c>
      <c r="H109" s="183">
        <f t="shared" si="21"/>
        <v>26.9</v>
      </c>
      <c r="I109" s="27">
        <f>IFERROR(100/'Skjema total MA'!F109*G109,0)</f>
        <v>8.9905398031909094</v>
      </c>
      <c r="J109" s="322">
        <f t="shared" si="30"/>
        <v>5521211.0532899993</v>
      </c>
      <c r="K109" s="44">
        <f t="shared" si="30"/>
        <v>6957163.6366400002</v>
      </c>
      <c r="L109" s="274">
        <f t="shared" si="23"/>
        <v>26</v>
      </c>
      <c r="M109" s="27">
        <f>IFERROR(100/'Skjema total MA'!I109*K109,0)</f>
        <v>9.2681705236802561</v>
      </c>
    </row>
    <row r="110" spans="1:13" ht="15.75" x14ac:dyDescent="0.2">
      <c r="A110" s="21" t="s">
        <v>484</v>
      </c>
      <c r="B110" s="250">
        <v>2964.2962699999998</v>
      </c>
      <c r="C110" s="250">
        <v>39492.558929999999</v>
      </c>
      <c r="D110" s="183">
        <f t="shared" si="20"/>
        <v>999</v>
      </c>
      <c r="E110" s="27">
        <f>IFERROR(100/'Skjema total MA'!C110*C110,0)</f>
        <v>72.044879136686859</v>
      </c>
      <c r="F110" s="250"/>
      <c r="G110" s="250"/>
      <c r="H110" s="183"/>
      <c r="I110" s="27"/>
      <c r="J110" s="322">
        <f t="shared" si="30"/>
        <v>2964.2962699999998</v>
      </c>
      <c r="K110" s="44">
        <f t="shared" si="30"/>
        <v>39492.558929999999</v>
      </c>
      <c r="L110" s="274">
        <f t="shared" si="23"/>
        <v>999</v>
      </c>
      <c r="M110" s="27">
        <f>IFERROR(100/'Skjema total MA'!I110*K110,0)</f>
        <v>72.044879136686859</v>
      </c>
    </row>
    <row r="111" spans="1:13" ht="15.75" x14ac:dyDescent="0.2">
      <c r="A111" s="13" t="s">
        <v>467</v>
      </c>
      <c r="B111" s="344">
        <f>SUM(B112:B114)</f>
        <v>24261.731049999999</v>
      </c>
      <c r="C111" s="176">
        <f>SUM(C112:C114)</f>
        <v>22724.633470000001</v>
      </c>
      <c r="D111" s="188">
        <f t="shared" si="20"/>
        <v>-6.3</v>
      </c>
      <c r="E111" s="11">
        <f>IFERROR(100/'Skjema total MA'!C111*C111,0)</f>
        <v>5.1197532175469327</v>
      </c>
      <c r="F111" s="344">
        <f>SUM(F112:F114)</f>
        <v>549427.42304000002</v>
      </c>
      <c r="G111" s="176">
        <f>SUM(G112:G114)</f>
        <v>1093736.06672</v>
      </c>
      <c r="H111" s="188">
        <f t="shared" si="21"/>
        <v>99.1</v>
      </c>
      <c r="I111" s="11">
        <f>IFERROR(100/'Skjema total MA'!F111*G111,0)</f>
        <v>22.785935081303776</v>
      </c>
      <c r="J111" s="345">
        <f t="shared" si="30"/>
        <v>573689.15408999997</v>
      </c>
      <c r="K111" s="252">
        <f t="shared" si="30"/>
        <v>1116460.70019</v>
      </c>
      <c r="L111" s="464">
        <f t="shared" si="23"/>
        <v>94.6</v>
      </c>
      <c r="M111" s="11">
        <f>IFERROR(100/'Skjema total MA'!I111*K111,0)</f>
        <v>21.290611277530019</v>
      </c>
    </row>
    <row r="112" spans="1:13" x14ac:dyDescent="0.2">
      <c r="A112" s="21" t="s">
        <v>9</v>
      </c>
      <c r="B112" s="250">
        <v>24176.429049999999</v>
      </c>
      <c r="C112" s="162">
        <v>20609.69601</v>
      </c>
      <c r="D112" s="183">
        <f t="shared" ref="D112:D125" si="37">IF(B112=0, "    ---- ", IF(ABS(ROUND(100/B112*C112-100,1))&lt;999,ROUND(100/B112*C112-100,1),IF(ROUND(100/B112*C112-100,1)&gt;999,999,-999)))</f>
        <v>-14.8</v>
      </c>
      <c r="E112" s="27">
        <f>IFERROR(100/'Skjema total MA'!C112*C112,0)</f>
        <v>4.8043129280857055</v>
      </c>
      <c r="F112" s="250"/>
      <c r="G112" s="162"/>
      <c r="H112" s="183"/>
      <c r="I112" s="27"/>
      <c r="J112" s="322">
        <f t="shared" ref="J112:K125" si="38">SUM(B112,F112)</f>
        <v>24176.429049999999</v>
      </c>
      <c r="K112" s="44">
        <f t="shared" si="38"/>
        <v>20609.69601</v>
      </c>
      <c r="L112" s="274">
        <f t="shared" ref="L112:L125" si="39">IF(J112=0, "    ---- ", IF(ABS(ROUND(100/J112*K112-100,1))&lt;999,ROUND(100/J112*K112-100,1),IF(ROUND(100/J112*K112-100,1)&gt;999,999,-999)))</f>
        <v>-14.8</v>
      </c>
      <c r="M112" s="27">
        <f>IFERROR(100/'Skjema total MA'!I112*K112,0)</f>
        <v>4.8015737748998335</v>
      </c>
    </row>
    <row r="113" spans="1:14" x14ac:dyDescent="0.2">
      <c r="A113" s="21" t="s">
        <v>10</v>
      </c>
      <c r="B113" s="250">
        <v>85.302000000000007</v>
      </c>
      <c r="C113" s="162">
        <v>0</v>
      </c>
      <c r="D113" s="183">
        <f t="shared" si="37"/>
        <v>-100</v>
      </c>
      <c r="E113" s="27">
        <f>IFERROR(100/'Skjema total MA'!C113*C113,0)</f>
        <v>0</v>
      </c>
      <c r="F113" s="250">
        <v>549427.42304000002</v>
      </c>
      <c r="G113" s="162">
        <v>1093736.06672</v>
      </c>
      <c r="H113" s="183">
        <f t="shared" ref="H113:H125" si="40">IF(F113=0, "    ---- ", IF(ABS(ROUND(100/F113*G113-100,1))&lt;999,ROUND(100/F113*G113-100,1),IF(ROUND(100/F113*G113-100,1)&gt;999,999,-999)))</f>
        <v>99.1</v>
      </c>
      <c r="I113" s="27">
        <f>IFERROR(100/'Skjema total MA'!F113*G113,0)</f>
        <v>22.85166904430163</v>
      </c>
      <c r="J113" s="322">
        <f t="shared" si="38"/>
        <v>549512.72504000005</v>
      </c>
      <c r="K113" s="44">
        <f t="shared" si="38"/>
        <v>1093736.06672</v>
      </c>
      <c r="L113" s="274">
        <f t="shared" si="39"/>
        <v>99</v>
      </c>
      <c r="M113" s="27">
        <f>IFERROR(100/'Skjema total MA'!I113*K113,0)</f>
        <v>22.85166904430163</v>
      </c>
    </row>
    <row r="114" spans="1:14" x14ac:dyDescent="0.2">
      <c r="A114" s="21" t="s">
        <v>27</v>
      </c>
      <c r="B114" s="250">
        <v>0</v>
      </c>
      <c r="C114" s="162">
        <v>2114.9374600000001</v>
      </c>
      <c r="D114" s="183" t="str">
        <f t="shared" si="37"/>
        <v xml:space="preserve">    ---- </v>
      </c>
      <c r="E114" s="27">
        <f>IFERROR(100/'Skjema total MA'!C114*C114,0)</f>
        <v>14.214552776520772</v>
      </c>
      <c r="F114" s="250"/>
      <c r="G114" s="162"/>
      <c r="H114" s="183"/>
      <c r="I114" s="27"/>
      <c r="J114" s="322">
        <f t="shared" si="38"/>
        <v>0</v>
      </c>
      <c r="K114" s="44">
        <f t="shared" si="38"/>
        <v>2114.9374600000001</v>
      </c>
      <c r="L114" s="274" t="str">
        <f t="shared" si="39"/>
        <v xml:space="preserve">    ---- </v>
      </c>
      <c r="M114" s="27">
        <f>IFERROR(100/'Skjema total MA'!I114*K114,0)</f>
        <v>7.4360874889277175</v>
      </c>
    </row>
    <row r="115" spans="1:14" x14ac:dyDescent="0.2">
      <c r="A115" s="729" t="s">
        <v>15</v>
      </c>
      <c r="B115" s="316" t="s">
        <v>458</v>
      </c>
      <c r="C115" s="316" t="s">
        <v>458</v>
      </c>
      <c r="D115" s="183" t="str">
        <f>IF(kvartal=4,IF(B115=0, "    ---- ", IF(ABS(ROUND(100/B115*C115-100,1))&lt;999,ROUND(100/B115*C115-100,1),IF(ROUND(100/B115*C115-100,1)&gt;999,999,-999))),"")</f>
        <v/>
      </c>
      <c r="E115" s="453" t="str">
        <f>IF(kvartal=4,IFERROR(100/'Skjema total MA'!B115*C115,0),"")</f>
        <v/>
      </c>
      <c r="F115" s="316"/>
      <c r="G115" s="316"/>
      <c r="H115" s="183"/>
      <c r="I115" s="453"/>
      <c r="J115" s="325" t="str">
        <f>IF(kvartal=4,SUM(B115,F115),"")</f>
        <v/>
      </c>
      <c r="K115" s="325" t="str">
        <f>IF(kvartal=4,SUM(C115,G115),"")</f>
        <v/>
      </c>
      <c r="L115" s="183" t="str">
        <f>IF(kvartal=4,IF(J115=0, "    ---- ", IF(ABS(ROUND(100/J115*K115-100,1))&lt;999,ROUND(100/J115*K115-100,1),IF(ROUND(100/J115*K115-100,1)&gt;999,999,-999))),"")</f>
        <v/>
      </c>
      <c r="M115" s="23">
        <f>IFERROR(100/'Skjema total MA'!I115*K115,0)</f>
        <v>0</v>
      </c>
    </row>
    <row r="116" spans="1:14" ht="15.75" x14ac:dyDescent="0.2">
      <c r="A116" s="21" t="s">
        <v>482</v>
      </c>
      <c r="B116" s="250">
        <v>11038.75044</v>
      </c>
      <c r="C116" s="250">
        <v>20516.336810000001</v>
      </c>
      <c r="D116" s="183">
        <f t="shared" si="37"/>
        <v>85.9</v>
      </c>
      <c r="E116" s="27">
        <f>IFERROR(100/'Skjema total MA'!C116*C116,0)</f>
        <v>44.273518353980272</v>
      </c>
      <c r="F116" s="250"/>
      <c r="G116" s="250"/>
      <c r="H116" s="183"/>
      <c r="I116" s="27"/>
      <c r="J116" s="322">
        <f t="shared" si="38"/>
        <v>11038.75044</v>
      </c>
      <c r="K116" s="44">
        <f t="shared" si="38"/>
        <v>20516.336810000001</v>
      </c>
      <c r="L116" s="274">
        <f t="shared" si="39"/>
        <v>85.9</v>
      </c>
      <c r="M116" s="27">
        <f>IFERROR(100/'Skjema total MA'!I116*K116,0)</f>
        <v>43.753698814028986</v>
      </c>
    </row>
    <row r="117" spans="1:14" ht="15.75" x14ac:dyDescent="0.2">
      <c r="A117" s="21" t="s">
        <v>483</v>
      </c>
      <c r="B117" s="250"/>
      <c r="C117" s="250"/>
      <c r="D117" s="183"/>
      <c r="E117" s="27"/>
      <c r="F117" s="250">
        <v>43008.212979999997</v>
      </c>
      <c r="G117" s="250">
        <v>99624.841339999999</v>
      </c>
      <c r="H117" s="183">
        <f t="shared" si="40"/>
        <v>131.6</v>
      </c>
      <c r="I117" s="27">
        <f>IFERROR(100/'Skjema total MA'!F117*G117,0)</f>
        <v>19.988989309190792</v>
      </c>
      <c r="J117" s="322">
        <f t="shared" si="38"/>
        <v>43008.212979999997</v>
      </c>
      <c r="K117" s="44">
        <f t="shared" si="38"/>
        <v>99624.841339999999</v>
      </c>
      <c r="L117" s="274">
        <f t="shared" si="39"/>
        <v>131.6</v>
      </c>
      <c r="M117" s="27">
        <f>IFERROR(100/'Skjema total MA'!I117*K117,0)</f>
        <v>19.988989309190792</v>
      </c>
    </row>
    <row r="118" spans="1:14" ht="15.75" x14ac:dyDescent="0.2">
      <c r="A118" s="21" t="s">
        <v>484</v>
      </c>
      <c r="B118" s="250">
        <v>0</v>
      </c>
      <c r="C118" s="250">
        <v>2448.72622</v>
      </c>
      <c r="D118" s="183" t="str">
        <f t="shared" si="37"/>
        <v xml:space="preserve">    ---- </v>
      </c>
      <c r="E118" s="27">
        <f>IFERROR(100/'Skjema total MA'!C118*C118,0)</f>
        <v>100</v>
      </c>
      <c r="F118" s="250"/>
      <c r="G118" s="250"/>
      <c r="H118" s="183"/>
      <c r="I118" s="27"/>
      <c r="J118" s="322">
        <f t="shared" si="38"/>
        <v>0</v>
      </c>
      <c r="K118" s="44">
        <f t="shared" si="38"/>
        <v>2448.72622</v>
      </c>
      <c r="L118" s="274" t="str">
        <f t="shared" si="39"/>
        <v xml:space="preserve">    ---- </v>
      </c>
      <c r="M118" s="27">
        <f>IFERROR(100/'Skjema total MA'!I118*K118,0)</f>
        <v>100</v>
      </c>
    </row>
    <row r="119" spans="1:14" ht="15.75" x14ac:dyDescent="0.2">
      <c r="A119" s="13" t="s">
        <v>468</v>
      </c>
      <c r="B119" s="344">
        <f>SUM(B120:B122)</f>
        <v>16044.83124</v>
      </c>
      <c r="C119" s="176">
        <f>SUM(C120:C122)</f>
        <v>8258.3418399999991</v>
      </c>
      <c r="D119" s="188">
        <f t="shared" si="37"/>
        <v>-48.5</v>
      </c>
      <c r="E119" s="11">
        <f>IFERROR(100/'Skjema total MA'!C119*C119,0)</f>
        <v>4.8528176396172062</v>
      </c>
      <c r="F119" s="344">
        <f>SUM(F120:F122)</f>
        <v>247467.20488</v>
      </c>
      <c r="G119" s="176">
        <f>SUM(G120:G122)</f>
        <v>132980.50317000001</v>
      </c>
      <c r="H119" s="188">
        <f t="shared" si="40"/>
        <v>-46.3</v>
      </c>
      <c r="I119" s="11">
        <f>IFERROR(100/'Skjema total MA'!F119*G119,0)</f>
        <v>2.649583597556135</v>
      </c>
      <c r="J119" s="345">
        <f t="shared" si="38"/>
        <v>263512.03612</v>
      </c>
      <c r="K119" s="252">
        <f t="shared" si="38"/>
        <v>141238.84501000002</v>
      </c>
      <c r="L119" s="464">
        <f t="shared" si="39"/>
        <v>-46.4</v>
      </c>
      <c r="M119" s="11">
        <f>IFERROR(100/'Skjema total MA'!I119*K119,0)</f>
        <v>2.7218385673048724</v>
      </c>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v>16044.83124</v>
      </c>
      <c r="C121" s="162">
        <v>6011.1224899999997</v>
      </c>
      <c r="D121" s="183">
        <f t="shared" si="37"/>
        <v>-62.5</v>
      </c>
      <c r="E121" s="27">
        <f>IFERROR(100/'Skjema total MA'!C121*C121,0)</f>
        <v>81.226549934732333</v>
      </c>
      <c r="F121" s="250">
        <v>247467.20488</v>
      </c>
      <c r="G121" s="162">
        <v>132980.50317000001</v>
      </c>
      <c r="H121" s="183">
        <f t="shared" si="40"/>
        <v>-46.3</v>
      </c>
      <c r="I121" s="27">
        <f>IFERROR(100/'Skjema total MA'!F121*G121,0)</f>
        <v>2.6495053986968062</v>
      </c>
      <c r="J121" s="322">
        <f t="shared" si="38"/>
        <v>263512.03612</v>
      </c>
      <c r="K121" s="44">
        <f t="shared" si="38"/>
        <v>138991.62566000002</v>
      </c>
      <c r="L121" s="274">
        <f t="shared" si="39"/>
        <v>-47.3</v>
      </c>
      <c r="M121" s="27">
        <f>IFERROR(100/'Skjema total MA'!I121*K121,0)</f>
        <v>2.7651939059082302</v>
      </c>
    </row>
    <row r="122" spans="1:14" x14ac:dyDescent="0.2">
      <c r="A122" s="21" t="s">
        <v>27</v>
      </c>
      <c r="B122" s="250">
        <v>0</v>
      </c>
      <c r="C122" s="162">
        <v>2247.2193499999998</v>
      </c>
      <c r="D122" s="183" t="str">
        <f t="shared" si="37"/>
        <v xml:space="preserve">    ---- </v>
      </c>
      <c r="E122" s="27">
        <f>IFERROR(100/'Skjema total MA'!C122*C122,0)</f>
        <v>4.7480438434337273</v>
      </c>
      <c r="F122" s="250"/>
      <c r="G122" s="162"/>
      <c r="H122" s="183"/>
      <c r="I122" s="27"/>
      <c r="J122" s="322">
        <f t="shared" si="38"/>
        <v>0</v>
      </c>
      <c r="K122" s="44">
        <f t="shared" si="38"/>
        <v>2247.2193499999998</v>
      </c>
      <c r="L122" s="274" t="str">
        <f t="shared" si="39"/>
        <v xml:space="preserve">    ---- </v>
      </c>
      <c r="M122" s="27">
        <f>IFERROR(100/'Skjema total MA'!I122*K122,0)</f>
        <v>4.7629508798415712</v>
      </c>
    </row>
    <row r="123" spans="1:14" x14ac:dyDescent="0.2">
      <c r="A123" s="729" t="s">
        <v>14</v>
      </c>
      <c r="B123" s="316" t="s">
        <v>458</v>
      </c>
      <c r="C123" s="316" t="s">
        <v>458</v>
      </c>
      <c r="D123" s="183" t="str">
        <f>IF(kvartal=4,IF(B123=0, "    ---- ", IF(ABS(ROUND(100/B123*C123-100,1))&lt;999,ROUND(100/B123*C123-100,1),IF(ROUND(100/B123*C123-100,1)&gt;999,999,-999))),"")</f>
        <v/>
      </c>
      <c r="E123" s="453" t="str">
        <f>IF(kvartal=4,IFERROR(100/'Skjema total MA'!B123*C123,0),"")</f>
        <v/>
      </c>
      <c r="F123" s="316"/>
      <c r="G123" s="316"/>
      <c r="H123" s="183"/>
      <c r="I123" s="453"/>
      <c r="J123" s="325" t="str">
        <f>IF(kvartal=4,SUM(B123,F123),"")</f>
        <v/>
      </c>
      <c r="K123" s="325" t="str">
        <f>IF(kvartal=4,SUM(C123,G123),"")</f>
        <v/>
      </c>
      <c r="L123" s="183" t="str">
        <f>IF(kvartal=4,IF(J123=0, "    ---- ", IF(ABS(ROUND(100/J123*K123-100,1))&lt;999,ROUND(100/J123*K123-100,1),IF(ROUND(100/J123*K123-100,1)&gt;999,999,-999))),"")</f>
        <v/>
      </c>
      <c r="M123" s="23">
        <f>IFERROR(100/'Skjema total MA'!I123*K123,0)</f>
        <v>0</v>
      </c>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v>320.58665000000002</v>
      </c>
      <c r="C125" s="250">
        <v>654.13762999999994</v>
      </c>
      <c r="D125" s="183">
        <f t="shared" si="37"/>
        <v>104</v>
      </c>
      <c r="E125" s="27">
        <f>IFERROR(100/'Skjema total MA'!C125*C125,0)</f>
        <v>99.651142045925155</v>
      </c>
      <c r="F125" s="250">
        <v>31749.303039999999</v>
      </c>
      <c r="G125" s="250">
        <v>48993.201580000001</v>
      </c>
      <c r="H125" s="183">
        <f t="shared" si="40"/>
        <v>54.3</v>
      </c>
      <c r="I125" s="27">
        <f>IFERROR(100/'Skjema total MA'!F125*G125,0)</f>
        <v>13.244401444707977</v>
      </c>
      <c r="J125" s="322">
        <f t="shared" si="38"/>
        <v>32069.88969</v>
      </c>
      <c r="K125" s="44">
        <f t="shared" si="38"/>
        <v>49647.339209999998</v>
      </c>
      <c r="L125" s="274">
        <f t="shared" si="39"/>
        <v>54.8</v>
      </c>
      <c r="M125" s="27">
        <f>IFERROR(100/'Skjema total MA'!I125*K125,0)</f>
        <v>13.397461196927418</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60" priority="138">
      <formula>kvartal &lt; 4</formula>
    </cfRule>
  </conditionalFormatting>
  <conditionalFormatting sqref="B69">
    <cfRule type="expression" dxfId="259" priority="106">
      <formula>kvartal &lt; 4</formula>
    </cfRule>
  </conditionalFormatting>
  <conditionalFormatting sqref="C69">
    <cfRule type="expression" dxfId="258" priority="105">
      <formula>kvartal &lt; 4</formula>
    </cfRule>
  </conditionalFormatting>
  <conditionalFormatting sqref="B72">
    <cfRule type="expression" dxfId="257" priority="104">
      <formula>kvartal &lt; 4</formula>
    </cfRule>
  </conditionalFormatting>
  <conditionalFormatting sqref="C72">
    <cfRule type="expression" dxfId="256" priority="103">
      <formula>kvartal &lt; 4</formula>
    </cfRule>
  </conditionalFormatting>
  <conditionalFormatting sqref="B80">
    <cfRule type="expression" dxfId="255" priority="102">
      <formula>kvartal &lt; 4</formula>
    </cfRule>
  </conditionalFormatting>
  <conditionalFormatting sqref="C80">
    <cfRule type="expression" dxfId="254" priority="101">
      <formula>kvartal &lt; 4</formula>
    </cfRule>
  </conditionalFormatting>
  <conditionalFormatting sqref="B83">
    <cfRule type="expression" dxfId="253" priority="100">
      <formula>kvartal &lt; 4</formula>
    </cfRule>
  </conditionalFormatting>
  <conditionalFormatting sqref="C83">
    <cfRule type="expression" dxfId="252" priority="99">
      <formula>kvartal &lt; 4</formula>
    </cfRule>
  </conditionalFormatting>
  <conditionalFormatting sqref="B90">
    <cfRule type="expression" dxfId="251" priority="90">
      <formula>kvartal &lt; 4</formula>
    </cfRule>
  </conditionalFormatting>
  <conditionalFormatting sqref="C90">
    <cfRule type="expression" dxfId="250" priority="89">
      <formula>kvartal &lt; 4</formula>
    </cfRule>
  </conditionalFormatting>
  <conditionalFormatting sqref="B93">
    <cfRule type="expression" dxfId="249" priority="88">
      <formula>kvartal &lt; 4</formula>
    </cfRule>
  </conditionalFormatting>
  <conditionalFormatting sqref="C93">
    <cfRule type="expression" dxfId="248" priority="87">
      <formula>kvartal &lt; 4</formula>
    </cfRule>
  </conditionalFormatting>
  <conditionalFormatting sqref="B101">
    <cfRule type="expression" dxfId="247" priority="86">
      <formula>kvartal &lt; 4</formula>
    </cfRule>
  </conditionalFormatting>
  <conditionalFormatting sqref="C101">
    <cfRule type="expression" dxfId="246" priority="85">
      <formula>kvartal &lt; 4</formula>
    </cfRule>
  </conditionalFormatting>
  <conditionalFormatting sqref="B104">
    <cfRule type="expression" dxfId="245" priority="84">
      <formula>kvartal &lt; 4</formula>
    </cfRule>
  </conditionalFormatting>
  <conditionalFormatting sqref="C104">
    <cfRule type="expression" dxfId="244" priority="83">
      <formula>kvartal &lt; 4</formula>
    </cfRule>
  </conditionalFormatting>
  <conditionalFormatting sqref="B115">
    <cfRule type="expression" dxfId="243" priority="82">
      <formula>kvartal &lt; 4</formula>
    </cfRule>
  </conditionalFormatting>
  <conditionalFormatting sqref="C115">
    <cfRule type="expression" dxfId="242" priority="81">
      <formula>kvartal &lt; 4</formula>
    </cfRule>
  </conditionalFormatting>
  <conditionalFormatting sqref="B123">
    <cfRule type="expression" dxfId="241" priority="80">
      <formula>kvartal &lt; 4</formula>
    </cfRule>
  </conditionalFormatting>
  <conditionalFormatting sqref="C123">
    <cfRule type="expression" dxfId="240" priority="79">
      <formula>kvartal &lt; 4</formula>
    </cfRule>
  </conditionalFormatting>
  <conditionalFormatting sqref="F70">
    <cfRule type="expression" dxfId="239" priority="78">
      <formula>kvartal &lt; 4</formula>
    </cfRule>
  </conditionalFormatting>
  <conditionalFormatting sqref="G70">
    <cfRule type="expression" dxfId="238" priority="77">
      <formula>kvartal &lt; 4</formula>
    </cfRule>
  </conditionalFormatting>
  <conditionalFormatting sqref="F71:G71">
    <cfRule type="expression" dxfId="237" priority="76">
      <formula>kvartal &lt; 4</formula>
    </cfRule>
  </conditionalFormatting>
  <conditionalFormatting sqref="F73:G74">
    <cfRule type="expression" dxfId="236" priority="75">
      <formula>kvartal &lt; 4</formula>
    </cfRule>
  </conditionalFormatting>
  <conditionalFormatting sqref="F81:G82">
    <cfRule type="expression" dxfId="235" priority="74">
      <formula>kvartal &lt; 4</formula>
    </cfRule>
  </conditionalFormatting>
  <conditionalFormatting sqref="F84:G85">
    <cfRule type="expression" dxfId="234" priority="73">
      <formula>kvartal &lt; 4</formula>
    </cfRule>
  </conditionalFormatting>
  <conditionalFormatting sqref="F91:G92">
    <cfRule type="expression" dxfId="233" priority="68">
      <formula>kvartal &lt; 4</formula>
    </cfRule>
  </conditionalFormatting>
  <conditionalFormatting sqref="F94:G95">
    <cfRule type="expression" dxfId="232" priority="67">
      <formula>kvartal &lt; 4</formula>
    </cfRule>
  </conditionalFormatting>
  <conditionalFormatting sqref="F102:G103">
    <cfRule type="expression" dxfId="231" priority="66">
      <formula>kvartal &lt; 4</formula>
    </cfRule>
  </conditionalFormatting>
  <conditionalFormatting sqref="F105:G106">
    <cfRule type="expression" dxfId="230" priority="65">
      <formula>kvartal &lt; 4</formula>
    </cfRule>
  </conditionalFormatting>
  <conditionalFormatting sqref="F115">
    <cfRule type="expression" dxfId="229" priority="64">
      <formula>kvartal &lt; 4</formula>
    </cfRule>
  </conditionalFormatting>
  <conditionalFormatting sqref="G115">
    <cfRule type="expression" dxfId="228" priority="63">
      <formula>kvartal &lt; 4</formula>
    </cfRule>
  </conditionalFormatting>
  <conditionalFormatting sqref="F123:G123">
    <cfRule type="expression" dxfId="227" priority="62">
      <formula>kvartal &lt; 4</formula>
    </cfRule>
  </conditionalFormatting>
  <conditionalFormatting sqref="F69:G69">
    <cfRule type="expression" dxfId="226" priority="61">
      <formula>kvartal &lt; 4</formula>
    </cfRule>
  </conditionalFormatting>
  <conditionalFormatting sqref="F72:G72">
    <cfRule type="expression" dxfId="225" priority="60">
      <formula>kvartal &lt; 4</formula>
    </cfRule>
  </conditionalFormatting>
  <conditionalFormatting sqref="F80:G80">
    <cfRule type="expression" dxfId="224" priority="59">
      <formula>kvartal &lt; 4</formula>
    </cfRule>
  </conditionalFormatting>
  <conditionalFormatting sqref="F83:G83">
    <cfRule type="expression" dxfId="223" priority="58">
      <formula>kvartal &lt; 4</formula>
    </cfRule>
  </conditionalFormatting>
  <conditionalFormatting sqref="F90:G90">
    <cfRule type="expression" dxfId="222" priority="52">
      <formula>kvartal &lt; 4</formula>
    </cfRule>
  </conditionalFormatting>
  <conditionalFormatting sqref="F93">
    <cfRule type="expression" dxfId="221" priority="51">
      <formula>kvartal &lt; 4</formula>
    </cfRule>
  </conditionalFormatting>
  <conditionalFormatting sqref="G93">
    <cfRule type="expression" dxfId="220" priority="50">
      <formula>kvartal &lt; 4</formula>
    </cfRule>
  </conditionalFormatting>
  <conditionalFormatting sqref="F101">
    <cfRule type="expression" dxfId="219" priority="49">
      <formula>kvartal &lt; 4</formula>
    </cfRule>
  </conditionalFormatting>
  <conditionalFormatting sqref="G101">
    <cfRule type="expression" dxfId="218" priority="48">
      <formula>kvartal &lt; 4</formula>
    </cfRule>
  </conditionalFormatting>
  <conditionalFormatting sqref="G104">
    <cfRule type="expression" dxfId="217" priority="47">
      <formula>kvartal &lt; 4</formula>
    </cfRule>
  </conditionalFormatting>
  <conditionalFormatting sqref="F104">
    <cfRule type="expression" dxfId="216" priority="46">
      <formula>kvartal &lt; 4</formula>
    </cfRule>
  </conditionalFormatting>
  <conditionalFormatting sqref="J69:K73">
    <cfRule type="expression" dxfId="215" priority="45">
      <formula>kvartal &lt; 4</formula>
    </cfRule>
  </conditionalFormatting>
  <conditionalFormatting sqref="J74:K74">
    <cfRule type="expression" dxfId="214" priority="44">
      <formula>kvartal &lt; 4</formula>
    </cfRule>
  </conditionalFormatting>
  <conditionalFormatting sqref="J80:K85">
    <cfRule type="expression" dxfId="213" priority="43">
      <formula>kvartal &lt; 4</formula>
    </cfRule>
  </conditionalFormatting>
  <conditionalFormatting sqref="J90:K95">
    <cfRule type="expression" dxfId="212" priority="40">
      <formula>kvartal &lt; 4</formula>
    </cfRule>
  </conditionalFormatting>
  <conditionalFormatting sqref="J101:K106">
    <cfRule type="expression" dxfId="211" priority="39">
      <formula>kvartal &lt; 4</formula>
    </cfRule>
  </conditionalFormatting>
  <conditionalFormatting sqref="J115:K115">
    <cfRule type="expression" dxfId="210" priority="38">
      <formula>kvartal &lt; 4</formula>
    </cfRule>
  </conditionalFormatting>
  <conditionalFormatting sqref="J123:K123">
    <cfRule type="expression" dxfId="209" priority="37">
      <formula>kvartal &lt; 4</formula>
    </cfRule>
  </conditionalFormatting>
  <conditionalFormatting sqref="A50:A52">
    <cfRule type="expression" dxfId="208" priority="18">
      <formula>kvartal &lt; 4</formula>
    </cfRule>
  </conditionalFormatting>
  <conditionalFormatting sqref="A69:A74">
    <cfRule type="expression" dxfId="207" priority="6">
      <formula>kvartal &lt; 4</formula>
    </cfRule>
  </conditionalFormatting>
  <conditionalFormatting sqref="A115">
    <cfRule type="expression" dxfId="206" priority="5">
      <formula>kvartal &lt; 4</formula>
    </cfRule>
  </conditionalFormatting>
  <conditionalFormatting sqref="A123">
    <cfRule type="expression" dxfId="205" priority="4">
      <formula>kvartal &lt; 4</formula>
    </cfRule>
  </conditionalFormatting>
  <conditionalFormatting sqref="A80:A85">
    <cfRule type="expression" dxfId="204" priority="3">
      <formula>kvartal &lt; 4</formula>
    </cfRule>
  </conditionalFormatting>
  <conditionalFormatting sqref="A90:A95">
    <cfRule type="expression" dxfId="203" priority="2">
      <formula>kvartal &lt; 4</formula>
    </cfRule>
  </conditionalFormatting>
  <conditionalFormatting sqref="A101:A106">
    <cfRule type="expression" dxfId="202" priority="1">
      <formula>kvartal &lt; 4</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191</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172509.92800000001</v>
      </c>
      <c r="C7" s="343">
        <v>170644.22700000001</v>
      </c>
      <c r="D7" s="384">
        <f>IF(B7=0, "    ---- ", IF(ABS(ROUND(100/B7*C7-100,1))&lt;999,ROUND(100/B7*C7-100,1),IF(ROUND(100/B7*C7-100,1)&gt;999,999,-999)))</f>
        <v>-1.1000000000000001</v>
      </c>
      <c r="E7" s="11">
        <f>IFERROR(100/'Skjema total MA'!C7*C7,0)</f>
        <v>10.342496077307244</v>
      </c>
      <c r="F7" s="342">
        <v>436243.10399999999</v>
      </c>
      <c r="G7" s="343">
        <v>335751.11499999999</v>
      </c>
      <c r="H7" s="384">
        <f>IF(F7=0, "    ---- ", IF(ABS(ROUND(100/F7*G7-100,1))&lt;999,ROUND(100/F7*G7-100,1),IF(ROUND(100/F7*G7-100,1)&gt;999,999,-999)))</f>
        <v>-23</v>
      </c>
      <c r="I7" s="177">
        <f>IFERROR(100/'Skjema total MA'!F7*G7,0)</f>
        <v>16.48343139639443</v>
      </c>
      <c r="J7" s="344">
        <v>608753.03200000001</v>
      </c>
      <c r="K7" s="345">
        <v>506395.342</v>
      </c>
      <c r="L7" s="463">
        <f>IF(J7=0, "    ---- ", IF(ABS(ROUND(100/J7*K7-100,1))&lt;999,ROUND(100/J7*K7-100,1),IF(ROUND(100/J7*K7-100,1)&gt;999,999,-999)))</f>
        <v>-16.8</v>
      </c>
      <c r="M7" s="11">
        <f>IFERROR(100/'Skjema total MA'!I7*K7,0)</f>
        <v>13.735238243371601</v>
      </c>
    </row>
    <row r="8" spans="1:15" ht="15.75" x14ac:dyDescent="0.2">
      <c r="A8" s="21" t="s">
        <v>26</v>
      </c>
      <c r="B8" s="316">
        <v>65197.425999999999</v>
      </c>
      <c r="C8" s="317">
        <v>64020</v>
      </c>
      <c r="D8" s="183">
        <f t="shared" ref="D8:D10" si="0">IF(B8=0, "    ---- ", IF(ABS(ROUND(100/B8*C8-100,1))&lt;999,ROUND(100/B8*C8-100,1),IF(ROUND(100/B8*C8-100,1)&gt;999,999,-999)))</f>
        <v>-1.8</v>
      </c>
      <c r="E8" s="27">
        <f>IFERROR(100/'Skjema total MA'!C8*C8,0)</f>
        <v>6.2560145677981511</v>
      </c>
      <c r="F8" s="320"/>
      <c r="G8" s="321"/>
      <c r="H8" s="183"/>
      <c r="I8" s="193"/>
      <c r="J8" s="250">
        <v>65197.425999999999</v>
      </c>
      <c r="K8" s="322">
        <v>64020</v>
      </c>
      <c r="L8" s="183">
        <f t="shared" ref="L8:L9" si="1">IF(J8=0, "    ---- ", IF(ABS(ROUND(100/J8*K8-100,1))&lt;999,ROUND(100/J8*K8-100,1),IF(ROUND(100/J8*K8-100,1)&gt;999,999,-999)))</f>
        <v>-1.8</v>
      </c>
      <c r="M8" s="27">
        <f>IFERROR(100/'Skjema total MA'!I8*K8,0)</f>
        <v>6.2560145677981511</v>
      </c>
    </row>
    <row r="9" spans="1:15" ht="15.75" x14ac:dyDescent="0.2">
      <c r="A9" s="21" t="s">
        <v>25</v>
      </c>
      <c r="B9" s="316">
        <v>19972.755000000001</v>
      </c>
      <c r="C9" s="317">
        <v>19978</v>
      </c>
      <c r="D9" s="183">
        <f t="shared" si="0"/>
        <v>0</v>
      </c>
      <c r="E9" s="27">
        <f>IFERROR(100/'Skjema total MA'!C9*C9,0)</f>
        <v>3.8524368105061626</v>
      </c>
      <c r="F9" s="320"/>
      <c r="G9" s="321"/>
      <c r="H9" s="183"/>
      <c r="I9" s="193"/>
      <c r="J9" s="250">
        <v>19972.755000000001</v>
      </c>
      <c r="K9" s="322">
        <v>19978</v>
      </c>
      <c r="L9" s="183">
        <f t="shared" si="1"/>
        <v>0</v>
      </c>
      <c r="M9" s="27">
        <f>IFERROR(100/'Skjema total MA'!I9*K9,0)</f>
        <v>3.8524368105061626</v>
      </c>
    </row>
    <row r="10" spans="1:15" ht="15.75" x14ac:dyDescent="0.2">
      <c r="A10" s="13" t="s">
        <v>466</v>
      </c>
      <c r="B10" s="346">
        <v>4095665.679</v>
      </c>
      <c r="C10" s="347">
        <v>4046696.2349999999</v>
      </c>
      <c r="D10" s="188">
        <f t="shared" si="0"/>
        <v>-1.2</v>
      </c>
      <c r="E10" s="11">
        <f>IFERROR(100/'Skjema total MA'!C10*C10,0)</f>
        <v>18.448857046612034</v>
      </c>
      <c r="F10" s="346">
        <v>5438552.5789999999</v>
      </c>
      <c r="G10" s="347">
        <v>6456317.8370000003</v>
      </c>
      <c r="H10" s="188">
        <f t="shared" ref="H10:H12" si="2">IF(F10=0, "    ---- ", IF(ABS(ROUND(100/F10*G10-100,1))&lt;999,ROUND(100/F10*G10-100,1),IF(ROUND(100/F10*G10-100,1)&gt;999,999,-999)))</f>
        <v>18.7</v>
      </c>
      <c r="I10" s="177">
        <f>IFERROR(100/'Skjema total MA'!F10*G10,0)</f>
        <v>15.492271516647296</v>
      </c>
      <c r="J10" s="344">
        <v>9534218.2579999994</v>
      </c>
      <c r="K10" s="345">
        <v>10503014.072000001</v>
      </c>
      <c r="L10" s="464">
        <f t="shared" ref="L10:L12" si="3">IF(J10=0, "    ---- ", IF(ABS(ROUND(100/J10*K10-100,1))&lt;999,ROUND(100/J10*K10-100,1),IF(ROUND(100/J10*K10-100,1)&gt;999,999,-999)))</f>
        <v>10.199999999999999</v>
      </c>
      <c r="M10" s="11">
        <f>IFERROR(100/'Skjema total MA'!I10*K10,0)</f>
        <v>16.511806744044957</v>
      </c>
    </row>
    <row r="11" spans="1:15" s="43" customFormat="1" ht="15.75" x14ac:dyDescent="0.2">
      <c r="A11" s="13" t="s">
        <v>467</v>
      </c>
      <c r="B11" s="346"/>
      <c r="C11" s="347"/>
      <c r="D11" s="188"/>
      <c r="E11" s="11"/>
      <c r="F11" s="346">
        <v>1288.894</v>
      </c>
      <c r="G11" s="347">
        <v>997.21600000000001</v>
      </c>
      <c r="H11" s="188">
        <f t="shared" si="2"/>
        <v>-22.6</v>
      </c>
      <c r="I11" s="177">
        <f>IFERROR(100/'Skjema total MA'!F11*G11,0)</f>
        <v>1.9006114643743564</v>
      </c>
      <c r="J11" s="344">
        <v>1288.894</v>
      </c>
      <c r="K11" s="345">
        <v>997.21600000000001</v>
      </c>
      <c r="L11" s="464">
        <f t="shared" si="3"/>
        <v>-22.6</v>
      </c>
      <c r="M11" s="11">
        <f>IFERROR(100/'Skjema total MA'!I11*K11,0)</f>
        <v>1.7988545227192894</v>
      </c>
      <c r="N11" s="160"/>
      <c r="O11" s="165"/>
    </row>
    <row r="12" spans="1:15" s="43" customFormat="1" ht="15.75" x14ac:dyDescent="0.2">
      <c r="A12" s="41" t="s">
        <v>468</v>
      </c>
      <c r="B12" s="348"/>
      <c r="C12" s="349"/>
      <c r="D12" s="186"/>
      <c r="E12" s="36"/>
      <c r="F12" s="348">
        <v>17961.841</v>
      </c>
      <c r="G12" s="349">
        <v>6579.9740000000002</v>
      </c>
      <c r="H12" s="186">
        <f t="shared" si="2"/>
        <v>-63.4</v>
      </c>
      <c r="I12" s="186">
        <f>IFERROR(100/'Skjema total MA'!F12*G12,0)</f>
        <v>10.748033098209984</v>
      </c>
      <c r="J12" s="350">
        <v>17961.841</v>
      </c>
      <c r="K12" s="351">
        <v>6579.9740000000002</v>
      </c>
      <c r="L12" s="465">
        <f t="shared" si="3"/>
        <v>-63.4</v>
      </c>
      <c r="M12" s="36">
        <f>IFERROR(100/'Skjema total MA'!I12*K12,0)</f>
        <v>10.75172119326964</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v>2895.6959999999999</v>
      </c>
      <c r="C22" s="352">
        <v>2576.1190000000001</v>
      </c>
      <c r="D22" s="384">
        <f t="shared" ref="D22:D37" si="4">IF(B22=0, "    ---- ", IF(ABS(ROUND(100/B22*C22-100,1))&lt;999,ROUND(100/B22*C22-100,1),IF(ROUND(100/B22*C22-100,1)&gt;999,999,-999)))</f>
        <v>-11</v>
      </c>
      <c r="E22" s="11">
        <f>IFERROR(100/'Skjema total MA'!C22*C22,0)</f>
        <v>0.51004380367507451</v>
      </c>
      <c r="F22" s="352">
        <v>3190.835</v>
      </c>
      <c r="G22" s="352">
        <v>107812.95600000001</v>
      </c>
      <c r="H22" s="384">
        <f t="shared" ref="H22:H35" si="5">IF(F22=0, "    ---- ", IF(ABS(ROUND(100/F22*G22-100,1))&lt;999,ROUND(100/F22*G22-100,1),IF(ROUND(100/F22*G22-100,1)&gt;999,999,-999)))</f>
        <v>999</v>
      </c>
      <c r="I22" s="11">
        <f>IFERROR(100/'Skjema total MA'!F22*G22,0)</f>
        <v>36.552036740189713</v>
      </c>
      <c r="J22" s="352">
        <f t="shared" ref="J22:K35" si="6">SUM(B22,F22)</f>
        <v>6086.5309999999999</v>
      </c>
      <c r="K22" s="352">
        <f t="shared" si="6"/>
        <v>110389.07500000001</v>
      </c>
      <c r="L22" s="463">
        <f t="shared" ref="L22:L37" si="7">IF(J22=0, "    ---- ", IF(ABS(ROUND(100/J22*K22-100,1))&lt;999,ROUND(100/J22*K22-100,1),IF(ROUND(100/J22*K22-100,1)&gt;999,999,-999)))</f>
        <v>999</v>
      </c>
      <c r="M22" s="24">
        <f>IFERROR(100/'Skjema total MA'!I22*K22,0)</f>
        <v>13.798023070609895</v>
      </c>
    </row>
    <row r="23" spans="1:15" ht="15.75" x14ac:dyDescent="0.2">
      <c r="A23" s="49" t="s">
        <v>469</v>
      </c>
      <c r="B23" s="44"/>
      <c r="C23" s="322">
        <v>337.553</v>
      </c>
      <c r="D23" s="183" t="str">
        <f t="shared" ref="D23:D24" si="8">IF(B23=0, "    ---- ", IF(ABS(ROUND(100/B23*C23-100,1))&lt;999,ROUND(100/B23*C23-100,1),IF(ROUND(100/B23*C23-100,1)&gt;999,999,-999)))</f>
        <v xml:space="preserve">    ---- </v>
      </c>
      <c r="E23" s="27">
        <f>IFERROR(100/'Skjema total MA'!C23*C23,0)</f>
        <v>0.14178708781504473</v>
      </c>
      <c r="F23" s="250"/>
      <c r="G23" s="322">
        <v>27436.651000000002</v>
      </c>
      <c r="H23" s="183" t="str">
        <f t="shared" ref="H23:H26" si="9">IF(F23=0, "    ---- ", IF(ABS(ROUND(100/F23*G23-100,1))&lt;999,ROUND(100/F23*G23-100,1),IF(ROUND(100/F23*G23-100,1)&gt;999,999,-999)))</f>
        <v xml:space="preserve">    ---- </v>
      </c>
      <c r="I23" s="27">
        <f>IFERROR(100/'Skjema total MA'!F23*G23,0)</f>
        <v>53.348782653593844</v>
      </c>
      <c r="J23" s="44"/>
      <c r="K23" s="44">
        <f t="shared" ref="K23:K26" si="10">SUM(C23,G23)</f>
        <v>27774.204000000002</v>
      </c>
      <c r="L23" s="274" t="str">
        <f t="shared" ref="L23:L26" si="11">IF(J23=0, "    ---- ", IF(ABS(ROUND(100/J23*K23-100,1))&lt;999,ROUND(100/J23*K23-100,1),IF(ROUND(100/J23*K23-100,1)&gt;999,999,-999)))</f>
        <v xml:space="preserve">    ---- </v>
      </c>
      <c r="M23" s="23">
        <f>IFERROR(100/'Skjema total MA'!I23*K23,0)</f>
        <v>9.5938806353299331</v>
      </c>
    </row>
    <row r="24" spans="1:15" ht="15.75" x14ac:dyDescent="0.2">
      <c r="A24" s="49" t="s">
        <v>470</v>
      </c>
      <c r="B24" s="44"/>
      <c r="C24" s="322">
        <v>2238.5659999999998</v>
      </c>
      <c r="D24" s="183" t="str">
        <f t="shared" si="8"/>
        <v xml:space="preserve">    ---- </v>
      </c>
      <c r="E24" s="27">
        <f>IFERROR(100/'Skjema total MA'!C24*C24,0)</f>
        <v>80.569806271050652</v>
      </c>
      <c r="F24" s="250"/>
      <c r="G24" s="322">
        <v>10142.112999999999</v>
      </c>
      <c r="H24" s="183" t="str">
        <f t="shared" si="9"/>
        <v xml:space="preserve">    ---- </v>
      </c>
      <c r="I24" s="27">
        <f>IFERROR(100/'Skjema total MA'!F24*G24,0)</f>
        <v>99.397996750365579</v>
      </c>
      <c r="J24" s="44"/>
      <c r="K24" s="44">
        <f t="shared" si="10"/>
        <v>12380.679</v>
      </c>
      <c r="L24" s="274" t="str">
        <f t="shared" si="11"/>
        <v xml:space="preserve">    ---- </v>
      </c>
      <c r="M24" s="23">
        <f>IFERROR(100/'Skjema total MA'!I24*K24,0)</f>
        <v>95.368358937716934</v>
      </c>
    </row>
    <row r="25" spans="1:15" ht="15.75" x14ac:dyDescent="0.2">
      <c r="A25" s="49" t="s">
        <v>471</v>
      </c>
      <c r="B25" s="44"/>
      <c r="C25" s="322"/>
      <c r="D25" s="183"/>
      <c r="E25" s="27"/>
      <c r="F25" s="250"/>
      <c r="G25" s="322">
        <v>89.75</v>
      </c>
      <c r="H25" s="183" t="str">
        <f t="shared" si="9"/>
        <v xml:space="preserve">    ---- </v>
      </c>
      <c r="I25" s="27">
        <f>IFERROR(100/'Skjema total MA'!F25*G25,0)</f>
        <v>0.32897351481569864</v>
      </c>
      <c r="J25" s="44"/>
      <c r="K25" s="44">
        <f t="shared" si="10"/>
        <v>89.75</v>
      </c>
      <c r="L25" s="274" t="str">
        <f t="shared" si="11"/>
        <v xml:space="preserve">    ---- </v>
      </c>
      <c r="M25" s="23">
        <f>IFERROR(100/'Skjema total MA'!I25*K25,0)</f>
        <v>0.27679190256768199</v>
      </c>
    </row>
    <row r="26" spans="1:15" ht="15.75" x14ac:dyDescent="0.2">
      <c r="A26" s="49" t="s">
        <v>472</v>
      </c>
      <c r="B26" s="44"/>
      <c r="C26" s="322"/>
      <c r="D26" s="183"/>
      <c r="E26" s="27"/>
      <c r="F26" s="250"/>
      <c r="G26" s="322">
        <v>70144.441999999995</v>
      </c>
      <c r="H26" s="183" t="str">
        <f t="shared" si="9"/>
        <v xml:space="preserve">    ---- </v>
      </c>
      <c r="I26" s="27">
        <f>IFERROR(100/'Skjema total MA'!F26*G26,0)</f>
        <v>34.04355114181255</v>
      </c>
      <c r="J26" s="44"/>
      <c r="K26" s="44">
        <f t="shared" si="10"/>
        <v>70144.441999999995</v>
      </c>
      <c r="L26" s="274" t="str">
        <f t="shared" si="11"/>
        <v xml:space="preserve">    ---- </v>
      </c>
      <c r="M26" s="23">
        <f>IFERROR(100/'Skjema total MA'!I26*K26,0)</f>
        <v>34.04355114181255</v>
      </c>
    </row>
    <row r="27" spans="1:15" x14ac:dyDescent="0.2">
      <c r="A27" s="49" t="s">
        <v>11</v>
      </c>
      <c r="B27" s="44"/>
      <c r="C27" s="322"/>
      <c r="D27" s="183"/>
      <c r="E27" s="27"/>
      <c r="F27" s="250"/>
      <c r="G27" s="322"/>
      <c r="H27" s="183"/>
      <c r="I27" s="27"/>
      <c r="J27" s="44"/>
      <c r="K27" s="44"/>
      <c r="L27" s="274"/>
      <c r="M27" s="23"/>
    </row>
    <row r="28" spans="1:15" ht="15.75" x14ac:dyDescent="0.2">
      <c r="A28" s="49" t="s">
        <v>366</v>
      </c>
      <c r="B28" s="44">
        <v>55243.500999999997</v>
      </c>
      <c r="C28" s="322">
        <v>50761</v>
      </c>
      <c r="D28" s="183">
        <f t="shared" si="4"/>
        <v>-8.1</v>
      </c>
      <c r="E28" s="27">
        <f>IFERROR(100/'Skjema total MA'!C28*C28,0)</f>
        <v>7.1721337372173855</v>
      </c>
      <c r="F28" s="250"/>
      <c r="G28" s="322"/>
      <c r="H28" s="183"/>
      <c r="I28" s="27"/>
      <c r="J28" s="44">
        <f t="shared" si="6"/>
        <v>55243.500999999997</v>
      </c>
      <c r="K28" s="44">
        <f t="shared" si="6"/>
        <v>50761</v>
      </c>
      <c r="L28" s="274">
        <f t="shared" si="7"/>
        <v>-8.1</v>
      </c>
      <c r="M28" s="23">
        <f>IFERROR(100/'Skjema total MA'!I28*K28,0)</f>
        <v>7.1721337372173855</v>
      </c>
    </row>
    <row r="29" spans="1:15" s="3" customFormat="1" ht="15.75" x14ac:dyDescent="0.2">
      <c r="A29" s="13" t="s">
        <v>23</v>
      </c>
      <c r="B29" s="252">
        <v>11742265.583000001</v>
      </c>
      <c r="C29" s="252">
        <v>10993582</v>
      </c>
      <c r="D29" s="188">
        <f t="shared" si="4"/>
        <v>-6.4</v>
      </c>
      <c r="E29" s="11">
        <f>IFERROR(100/'Skjema total MA'!C29*C29,0)</f>
        <v>22.226420017788509</v>
      </c>
      <c r="F29" s="252">
        <v>3669963.1179999998</v>
      </c>
      <c r="G29" s="252">
        <v>4143731.5380000002</v>
      </c>
      <c r="H29" s="188">
        <f t="shared" si="5"/>
        <v>12.9</v>
      </c>
      <c r="I29" s="11">
        <f>IFERROR(100/'Skjema total MA'!F29*G29,0)</f>
        <v>20.720464933851922</v>
      </c>
      <c r="J29" s="252">
        <f t="shared" si="6"/>
        <v>15412228.701000001</v>
      </c>
      <c r="K29" s="252">
        <f t="shared" si="6"/>
        <v>15137313.538000001</v>
      </c>
      <c r="L29" s="464">
        <f t="shared" si="7"/>
        <v>-1.8</v>
      </c>
      <c r="M29" s="24">
        <f>IFERROR(100/'Skjema total MA'!I29*K29,0)</f>
        <v>21.792840099209744</v>
      </c>
      <c r="N29" s="165"/>
      <c r="O29" s="165"/>
    </row>
    <row r="30" spans="1:15" s="3" customFormat="1" ht="15.75" x14ac:dyDescent="0.2">
      <c r="A30" s="49" t="s">
        <v>469</v>
      </c>
      <c r="B30" s="44"/>
      <c r="C30" s="322">
        <v>1440505</v>
      </c>
      <c r="D30" s="183" t="str">
        <f t="shared" ref="D30" si="12">IF(B30=0, "    ---- ", IF(ABS(ROUND(100/B30*C30-100,1))&lt;999,ROUND(100/B30*C30-100,1),IF(ROUND(100/B30*C30-100,1)&gt;999,999,-999)))</f>
        <v xml:space="preserve">    ---- </v>
      </c>
      <c r="E30" s="27">
        <f>IFERROR(100/'Skjema total MA'!C30*C30,0)</f>
        <v>12.770498396129112</v>
      </c>
      <c r="F30" s="250"/>
      <c r="G30" s="322">
        <v>507121.11900000001</v>
      </c>
      <c r="H30" s="183" t="str">
        <f t="shared" ref="H30" si="13">IF(F30=0, "    ---- ", IF(ABS(ROUND(100/F30*G30-100,1))&lt;999,ROUND(100/F30*G30-100,1),IF(ROUND(100/F30*G30-100,1)&gt;999,999,-999)))</f>
        <v xml:space="preserve">    ---- </v>
      </c>
      <c r="I30" s="27">
        <f>IFERROR(100/'Skjema total MA'!F30*G30,0)</f>
        <v>11.828294421509495</v>
      </c>
      <c r="J30" s="44"/>
      <c r="K30" s="44">
        <f t="shared" ref="K30" si="14">SUM(C30,G30)</f>
        <v>1947626.1189999999</v>
      </c>
      <c r="L30" s="274" t="str">
        <f t="shared" ref="L30" si="15">IF(J30=0, "    ---- ", IF(ABS(ROUND(100/J30*K30-100,1))&lt;999,ROUND(100/J30*K30-100,1),IF(ROUND(100/J30*K30-100,1)&gt;999,999,-999)))</f>
        <v xml:space="preserve">    ---- </v>
      </c>
      <c r="M30" s="23">
        <f>IFERROR(100/'Skjema total MA'!I30*K30,0)</f>
        <v>12.511008043580857</v>
      </c>
      <c r="N30" s="165"/>
      <c r="O30" s="165"/>
    </row>
    <row r="31" spans="1:15" s="3" customFormat="1" ht="15.75" x14ac:dyDescent="0.2">
      <c r="A31" s="49" t="s">
        <v>470</v>
      </c>
      <c r="B31" s="44"/>
      <c r="C31" s="322">
        <v>9553077</v>
      </c>
      <c r="D31" s="183" t="str">
        <f t="shared" ref="D31" si="16">IF(B31=0, "    ---- ", IF(ABS(ROUND(100/B31*C31-100,1))&lt;999,ROUND(100/B31*C31-100,1),IF(ROUND(100/B31*C31-100,1)&gt;999,999,-999)))</f>
        <v xml:space="preserve">    ---- </v>
      </c>
      <c r="E31" s="27">
        <f>IFERROR(100/'Skjema total MA'!C31*C31,0)</f>
        <v>27.382051371474628</v>
      </c>
      <c r="F31" s="250"/>
      <c r="G31" s="322">
        <v>2085727.7320000001</v>
      </c>
      <c r="H31" s="183" t="str">
        <f t="shared" ref="H31:H33" si="17">IF(F31=0, "    ---- ", IF(ABS(ROUND(100/F31*G31-100,1))&lt;999,ROUND(100/F31*G31-100,1),IF(ROUND(100/F31*G31-100,1)&gt;999,999,-999)))</f>
        <v xml:space="preserve">    ---- </v>
      </c>
      <c r="I31" s="27">
        <f>IFERROR(100/'Skjema total MA'!F31*G31,0)</f>
        <v>22.378738935574258</v>
      </c>
      <c r="J31" s="44"/>
      <c r="K31" s="44">
        <f t="shared" ref="K31:K33" si="18">SUM(C31,G31)</f>
        <v>11638804.732000001</v>
      </c>
      <c r="L31" s="274" t="str">
        <f t="shared" ref="L31:L33" si="19">IF(J31=0, "    ---- ", IF(ABS(ROUND(100/J31*K31-100,1))&lt;999,ROUND(100/J31*K31-100,1),IF(ROUND(100/J31*K31-100,1)&gt;999,999,-999)))</f>
        <v xml:space="preserve">    ---- </v>
      </c>
      <c r="M31" s="23">
        <f>IFERROR(100/'Skjema total MA'!I31*K31,0)</f>
        <v>26.327235850992437</v>
      </c>
      <c r="N31" s="165"/>
      <c r="O31" s="165"/>
    </row>
    <row r="32" spans="1:15" ht="15.75" x14ac:dyDescent="0.2">
      <c r="A32" s="49" t="s">
        <v>471</v>
      </c>
      <c r="B32" s="44"/>
      <c r="C32" s="322"/>
      <c r="D32" s="183"/>
      <c r="E32" s="27"/>
      <c r="F32" s="250"/>
      <c r="G32" s="322">
        <v>1179223.6100000001</v>
      </c>
      <c r="H32" s="183" t="str">
        <f t="shared" si="17"/>
        <v xml:space="preserve">    ---- </v>
      </c>
      <c r="I32" s="27">
        <f>IFERROR(100/'Skjema total MA'!F32*G32,0)</f>
        <v>30.360262736297027</v>
      </c>
      <c r="J32" s="44"/>
      <c r="K32" s="44">
        <f t="shared" si="18"/>
        <v>1179223.6100000001</v>
      </c>
      <c r="L32" s="274" t="str">
        <f t="shared" si="19"/>
        <v xml:space="preserve">    ---- </v>
      </c>
      <c r="M32" s="23">
        <f>IFERROR(100/'Skjema total MA'!I32*K32,0)</f>
        <v>22.686046153687805</v>
      </c>
    </row>
    <row r="33" spans="1:15" ht="15.75" x14ac:dyDescent="0.2">
      <c r="A33" s="49" t="s">
        <v>472</v>
      </c>
      <c r="B33" s="44"/>
      <c r="C33" s="322"/>
      <c r="D33" s="183"/>
      <c r="E33" s="27"/>
      <c r="F33" s="250"/>
      <c r="G33" s="322">
        <v>371659.07699999999</v>
      </c>
      <c r="H33" s="183" t="str">
        <f t="shared" si="17"/>
        <v xml:space="preserve">    ---- </v>
      </c>
      <c r="I33" s="27">
        <f>IFERROR(100/'Skjema total MA'!F33*G33,0)</f>
        <v>39.857677329709546</v>
      </c>
      <c r="J33" s="44"/>
      <c r="K33" s="44">
        <f t="shared" si="18"/>
        <v>371659.07699999999</v>
      </c>
      <c r="L33" s="274" t="str">
        <f t="shared" si="19"/>
        <v xml:space="preserve">    ---- </v>
      </c>
      <c r="M33" s="23">
        <f>IFERROR(100/'Skjema total MA'!I33*K33,0)</f>
        <v>39.857677329709546</v>
      </c>
    </row>
    <row r="34" spans="1:15" ht="15.75" x14ac:dyDescent="0.2">
      <c r="A34" s="13" t="s">
        <v>467</v>
      </c>
      <c r="B34" s="252">
        <v>1550.3219999999999</v>
      </c>
      <c r="C34" s="345">
        <v>1396.7</v>
      </c>
      <c r="D34" s="188">
        <f t="shared" si="4"/>
        <v>-9.9</v>
      </c>
      <c r="E34" s="11">
        <f>IFERROR(100/'Skjema total MA'!C34*C34,0)</f>
        <v>18.371469208023338</v>
      </c>
      <c r="F34" s="344">
        <v>2222.7249999999999</v>
      </c>
      <c r="G34" s="345">
        <v>2558.6410000000001</v>
      </c>
      <c r="H34" s="188">
        <f t="shared" si="5"/>
        <v>15.1</v>
      </c>
      <c r="I34" s="11">
        <f>IFERROR(100/'Skjema total MA'!F34*G34,0)</f>
        <v>45.859508869485865</v>
      </c>
      <c r="J34" s="252">
        <f t="shared" si="6"/>
        <v>3773.0469999999996</v>
      </c>
      <c r="K34" s="252">
        <f t="shared" si="6"/>
        <v>3955.3410000000003</v>
      </c>
      <c r="L34" s="464">
        <f t="shared" si="7"/>
        <v>4.8</v>
      </c>
      <c r="M34" s="24">
        <f>IFERROR(100/'Skjema total MA'!I34*K34,0)</f>
        <v>30.005957326613608</v>
      </c>
    </row>
    <row r="35" spans="1:15" ht="15.75" x14ac:dyDescent="0.2">
      <c r="A35" s="13" t="s">
        <v>468</v>
      </c>
      <c r="B35" s="252">
        <v>1164.6880000000001</v>
      </c>
      <c r="C35" s="345">
        <v>433.149</v>
      </c>
      <c r="D35" s="188">
        <f t="shared" si="4"/>
        <v>-62.8</v>
      </c>
      <c r="E35" s="11">
        <f>IFERROR(100/'Skjema total MA'!C35*C35,0)</f>
        <v>-4.3554835268520744</v>
      </c>
      <c r="F35" s="344">
        <v>5913.9660000000003</v>
      </c>
      <c r="G35" s="345">
        <v>3019.54</v>
      </c>
      <c r="H35" s="188">
        <f t="shared" si="5"/>
        <v>-48.9</v>
      </c>
      <c r="I35" s="11">
        <f>IFERROR(100/'Skjema total MA'!F35*G35,0)</f>
        <v>11.112634739040102</v>
      </c>
      <c r="J35" s="252">
        <f t="shared" si="6"/>
        <v>7078.6540000000005</v>
      </c>
      <c r="K35" s="252">
        <f t="shared" si="6"/>
        <v>3452.6889999999999</v>
      </c>
      <c r="L35" s="464">
        <f t="shared" si="7"/>
        <v>-51.2</v>
      </c>
      <c r="M35" s="24">
        <f>IFERROR(100/'Skjema total MA'!I35*K35,0)</f>
        <v>20.042053129463135</v>
      </c>
    </row>
    <row r="36" spans="1:15" ht="15.75" x14ac:dyDescent="0.2">
      <c r="A36" s="12" t="s">
        <v>374</v>
      </c>
      <c r="B36" s="252">
        <v>32.338000000000001</v>
      </c>
      <c r="C36" s="345">
        <v>33.963000000000001</v>
      </c>
      <c r="D36" s="188">
        <f t="shared" si="4"/>
        <v>5</v>
      </c>
      <c r="E36" s="11">
        <f>100/'Skjema total MA'!C36*C36</f>
        <v>4.2192001371491612</v>
      </c>
      <c r="F36" s="355"/>
      <c r="G36" s="356"/>
      <c r="H36" s="188"/>
      <c r="I36" s="470"/>
      <c r="J36" s="252">
        <f t="shared" ref="J36:J37" si="20">SUM(B36,F36)</f>
        <v>32.338000000000001</v>
      </c>
      <c r="K36" s="252">
        <f t="shared" ref="K36:K37" si="21">SUM(C36,G36)</f>
        <v>33.963000000000001</v>
      </c>
      <c r="L36" s="464">
        <f t="shared" si="7"/>
        <v>5</v>
      </c>
      <c r="M36" s="24">
        <f>IFERROR(100/'Skjema total MA'!I36*K36,0)</f>
        <v>4.2192001371491612</v>
      </c>
    </row>
    <row r="37" spans="1:15" ht="15.75" x14ac:dyDescent="0.2">
      <c r="A37" s="12" t="s">
        <v>473</v>
      </c>
      <c r="B37" s="252">
        <v>493725.00300000003</v>
      </c>
      <c r="C37" s="345">
        <v>483917.94699999999</v>
      </c>
      <c r="D37" s="188">
        <f t="shared" si="4"/>
        <v>-2</v>
      </c>
      <c r="E37" s="11">
        <f>100/'Skjema total MA'!C37*C37</f>
        <v>12.318790882064468</v>
      </c>
      <c r="F37" s="355"/>
      <c r="G37" s="357"/>
      <c r="H37" s="188"/>
      <c r="I37" s="470"/>
      <c r="J37" s="252">
        <f t="shared" si="20"/>
        <v>493725.00300000003</v>
      </c>
      <c r="K37" s="252">
        <f t="shared" si="21"/>
        <v>483917.94699999999</v>
      </c>
      <c r="L37" s="464">
        <f t="shared" si="7"/>
        <v>-2</v>
      </c>
      <c r="M37" s="24">
        <f>IFERROR(100/'Skjema total MA'!I37*K37,0)</f>
        <v>12.318790882064468</v>
      </c>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422828.14899999998</v>
      </c>
      <c r="C47" s="347">
        <f>SUM(C48:C49)</f>
        <v>441903.239</v>
      </c>
      <c r="D47" s="463">
        <f t="shared" ref="D47:D57" si="22">IF(B47=0, "    ---- ", IF(ABS(ROUND(100/B47*C47-100,1))&lt;999,ROUND(100/B47*C47-100,1),IF(ROUND(100/B47*C47-100,1)&gt;999,999,-999)))</f>
        <v>4.5</v>
      </c>
      <c r="E47" s="11">
        <f>IFERROR(100/'Skjema total MA'!C47*C47,0)</f>
        <v>19.701977359327692</v>
      </c>
      <c r="F47" s="162"/>
      <c r="G47" s="33"/>
      <c r="H47" s="176"/>
      <c r="I47" s="176"/>
      <c r="J47" s="37"/>
      <c r="K47" s="37"/>
      <c r="L47" s="176"/>
      <c r="M47" s="176"/>
      <c r="N47" s="165"/>
      <c r="O47" s="165"/>
    </row>
    <row r="48" spans="1:15" s="3" customFormat="1" ht="15.75" x14ac:dyDescent="0.2">
      <c r="A48" s="38" t="s">
        <v>476</v>
      </c>
      <c r="B48" s="316">
        <v>159461.117</v>
      </c>
      <c r="C48" s="317">
        <v>145276.799</v>
      </c>
      <c r="D48" s="274">
        <f t="shared" si="22"/>
        <v>-8.9</v>
      </c>
      <c r="E48" s="27">
        <f>IFERROR(100/'Skjema total MA'!C48*C48,0)</f>
        <v>13.052384385910301</v>
      </c>
      <c r="F48" s="162"/>
      <c r="G48" s="33"/>
      <c r="H48" s="162"/>
      <c r="I48" s="162"/>
      <c r="J48" s="33"/>
      <c r="K48" s="33"/>
      <c r="L48" s="176"/>
      <c r="M48" s="176"/>
      <c r="N48" s="165"/>
      <c r="O48" s="165"/>
    </row>
    <row r="49" spans="1:15" s="3" customFormat="1" ht="15.75" x14ac:dyDescent="0.2">
      <c r="A49" s="38" t="s">
        <v>477</v>
      </c>
      <c r="B49" s="44">
        <v>263367.03200000001</v>
      </c>
      <c r="C49" s="322">
        <v>296626.44</v>
      </c>
      <c r="D49" s="274">
        <f>IF(B49=0, "    ---- ", IF(ABS(ROUND(100/B49*C49-100,1))&lt;999,ROUND(100/B49*C49-100,1),IF(ROUND(100/B49*C49-100,1)&gt;999,999,-999)))</f>
        <v>12.6</v>
      </c>
      <c r="E49" s="27">
        <f>IFERROR(100/'Skjema total MA'!C49*C49,0)</f>
        <v>26.252225172508385</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2160.319</v>
      </c>
      <c r="C53" s="347">
        <f>SUM(C54:C55)</f>
        <v>1563.316</v>
      </c>
      <c r="D53" s="464">
        <f t="shared" si="22"/>
        <v>-27.6</v>
      </c>
      <c r="E53" s="11">
        <f>IFERROR(100/'Skjema total MA'!C53*C53,0)</f>
        <v>3.4336682829686227</v>
      </c>
      <c r="F53" s="162"/>
      <c r="G53" s="33"/>
      <c r="H53" s="162"/>
      <c r="I53" s="162"/>
      <c r="J53" s="33"/>
      <c r="K53" s="33"/>
      <c r="L53" s="176"/>
      <c r="M53" s="176"/>
      <c r="N53" s="165"/>
      <c r="O53" s="165"/>
    </row>
    <row r="54" spans="1:15" s="3" customFormat="1" ht="15.75" x14ac:dyDescent="0.2">
      <c r="A54" s="38" t="s">
        <v>476</v>
      </c>
      <c r="B54" s="316">
        <v>2160.319</v>
      </c>
      <c r="C54" s="317">
        <v>1563.316</v>
      </c>
      <c r="D54" s="274">
        <f t="shared" si="22"/>
        <v>-27.6</v>
      </c>
      <c r="E54" s="27">
        <f>IFERROR(100/'Skjema total MA'!C54*C54,0)</f>
        <v>3.4336682829686227</v>
      </c>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f>SUM(B57:B58)</f>
        <v>0</v>
      </c>
      <c r="C56" s="347">
        <f>SUM(C57:C58)</f>
        <v>2131.7289999999998</v>
      </c>
      <c r="D56" s="464" t="str">
        <f t="shared" si="22"/>
        <v xml:space="preserve">    ---- </v>
      </c>
      <c r="E56" s="11">
        <f>IFERROR(100/'Skjema total MA'!C56*C56,0)</f>
        <v>5.0728754562122829</v>
      </c>
      <c r="F56" s="162"/>
      <c r="G56" s="33"/>
      <c r="H56" s="162"/>
      <c r="I56" s="162"/>
      <c r="J56" s="33"/>
      <c r="K56" s="33"/>
      <c r="L56" s="176"/>
      <c r="M56" s="176"/>
      <c r="N56" s="165"/>
      <c r="O56" s="165"/>
    </row>
    <row r="57" spans="1:15" s="3" customFormat="1" ht="15.75" x14ac:dyDescent="0.2">
      <c r="A57" s="38" t="s">
        <v>476</v>
      </c>
      <c r="B57" s="316">
        <v>0</v>
      </c>
      <c r="C57" s="317">
        <v>2131.7289999999998</v>
      </c>
      <c r="D57" s="274" t="str">
        <f t="shared" si="22"/>
        <v xml:space="preserve">    ---- </v>
      </c>
      <c r="E57" s="27">
        <f>IFERROR(100/'Skjema total MA'!C57*C57,0)</f>
        <v>5.0728754562122829</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1740759.7419999999</v>
      </c>
      <c r="C66" s="387">
        <f>C67+C68+C75+C76</f>
        <v>1618180.7039999999</v>
      </c>
      <c r="D66" s="384">
        <f t="shared" ref="D66:D111" si="23">IF(B66=0, "    ---- ", IF(ABS(ROUND(100/B66*C66-100,1))&lt;999,ROUND(100/B66*C66-100,1),IF(ROUND(100/B66*C66-100,1)&gt;999,999,-999)))</f>
        <v>-7</v>
      </c>
      <c r="E66" s="11">
        <f>IFERROR(100/'Skjema total MA'!C66*C66,0)</f>
        <v>43.044020613138713</v>
      </c>
      <c r="F66" s="386">
        <f>F67+F68+F75+F76</f>
        <v>2098512.2770000002</v>
      </c>
      <c r="G66" s="386">
        <f>G67+G68+G75+G76</f>
        <v>2224185.4049999998</v>
      </c>
      <c r="H66" s="384">
        <f t="shared" ref="H66:H111" si="24">IF(F66=0, "    ---- ", IF(ABS(ROUND(100/F66*G66-100,1))&lt;999,ROUND(100/F66*G66-100,1),IF(ROUND(100/F66*G66-100,1)&gt;999,999,-999)))</f>
        <v>6</v>
      </c>
      <c r="I66" s="11">
        <f>IFERROR(100/'Skjema total MA'!F66*G66,0)</f>
        <v>32.184345561795745</v>
      </c>
      <c r="J66" s="345">
        <f t="shared" ref="J66:K86" si="25">SUM(B66,F66)</f>
        <v>3839272.0190000003</v>
      </c>
      <c r="K66" s="352">
        <f t="shared" si="25"/>
        <v>3842366.1089999997</v>
      </c>
      <c r="L66" s="464">
        <f t="shared" ref="L66:L111" si="26">IF(J66=0, "    ---- ", IF(ABS(ROUND(100/J66*K66-100,1))&lt;999,ROUND(100/J66*K66-100,1),IF(ROUND(100/J66*K66-100,1)&gt;999,999,-999)))</f>
        <v>0.1</v>
      </c>
      <c r="M66" s="11">
        <f>IFERROR(100/'Skjema total MA'!I66*K66,0)</f>
        <v>36.010489456176224</v>
      </c>
    </row>
    <row r="67" spans="1:15" x14ac:dyDescent="0.2">
      <c r="A67" s="21" t="s">
        <v>9</v>
      </c>
      <c r="B67" s="44">
        <v>1426359.192</v>
      </c>
      <c r="C67" s="162">
        <v>1290630.4569999999</v>
      </c>
      <c r="D67" s="183">
        <f t="shared" si="23"/>
        <v>-9.5</v>
      </c>
      <c r="E67" s="27">
        <f>IFERROR(100/'Skjema total MA'!C67*C67,0)</f>
        <v>40.795145133352918</v>
      </c>
      <c r="F67" s="250"/>
      <c r="G67" s="162"/>
      <c r="H67" s="183"/>
      <c r="I67" s="27"/>
      <c r="J67" s="322">
        <f t="shared" si="25"/>
        <v>1426359.192</v>
      </c>
      <c r="K67" s="44">
        <f t="shared" si="25"/>
        <v>1290630.4569999999</v>
      </c>
      <c r="L67" s="274">
        <f t="shared" si="26"/>
        <v>-9.5</v>
      </c>
      <c r="M67" s="27">
        <f>IFERROR(100/'Skjema total MA'!I67*K67,0)</f>
        <v>40.795145133352918</v>
      </c>
    </row>
    <row r="68" spans="1:15" x14ac:dyDescent="0.2">
      <c r="A68" s="21" t="s">
        <v>10</v>
      </c>
      <c r="B68" s="327"/>
      <c r="C68" s="328"/>
      <c r="D68" s="183"/>
      <c r="E68" s="27"/>
      <c r="F68" s="327">
        <v>2076845.165</v>
      </c>
      <c r="G68" s="328">
        <v>2180300.3539999998</v>
      </c>
      <c r="H68" s="183">
        <f t="shared" si="24"/>
        <v>5</v>
      </c>
      <c r="I68" s="27">
        <f>IFERROR(100/'Skjema total MA'!F68*G68,0)</f>
        <v>32.01171401813663</v>
      </c>
      <c r="J68" s="322">
        <f t="shared" si="25"/>
        <v>2076845.165</v>
      </c>
      <c r="K68" s="44">
        <f t="shared" si="25"/>
        <v>2180300.3539999998</v>
      </c>
      <c r="L68" s="274">
        <f t="shared" si="26"/>
        <v>5</v>
      </c>
      <c r="M68" s="27">
        <f>IFERROR(100/'Skjema total MA'!I68*K68,0)</f>
        <v>31.579567284106428</v>
      </c>
    </row>
    <row r="69" spans="1:15" ht="15.75" x14ac:dyDescent="0.2">
      <c r="A69" s="729" t="s">
        <v>478</v>
      </c>
      <c r="B69" s="316" t="s">
        <v>458</v>
      </c>
      <c r="C69" s="316" t="s">
        <v>458</v>
      </c>
      <c r="D69" s="183" t="str">
        <f>IF(kvartal=4,IF(B69=0, "    ---- ", IF(ABS(ROUND(100/B69*C69-100,1))&lt;999,ROUND(100/B69*C69-100,1),IF(ROUND(100/B69*C69-100,1)&gt;999,999,-999))),"")</f>
        <v/>
      </c>
      <c r="E69" s="453" t="str">
        <f>IF(kvartal=4,IFERROR(100/'Skjema total MA'!B69*C69,0),"")</f>
        <v/>
      </c>
      <c r="F69" s="316" t="s">
        <v>458</v>
      </c>
      <c r="G69" s="316" t="s">
        <v>458</v>
      </c>
      <c r="H69" s="183" t="str">
        <f t="shared" ref="H69:H74" si="27">IF(kvartal=4,IF(F69=0, "    ---- ", IF(ABS(ROUND(100/F69*G69-100,1))&lt;999,ROUND(100/F69*G69-100,1),IF(ROUND(100/F69*G69-100,1)&gt;999,999,-999))),"")</f>
        <v/>
      </c>
      <c r="I69" s="453"/>
      <c r="J69" s="325"/>
      <c r="K69" s="325"/>
      <c r="L69" s="183"/>
      <c r="M69" s="23"/>
    </row>
    <row r="70" spans="1:15" x14ac:dyDescent="0.2">
      <c r="A70" s="729" t="s">
        <v>12</v>
      </c>
      <c r="B70" s="329"/>
      <c r="C70" s="330"/>
      <c r="D70" s="183"/>
      <c r="E70" s="453" t="str">
        <f>IF(kvartal=4,IFERROR(100/'Skjema total MA'!B70*C70,0),"")</f>
        <v/>
      </c>
      <c r="F70" s="316" t="s">
        <v>458</v>
      </c>
      <c r="G70" s="316" t="s">
        <v>458</v>
      </c>
      <c r="H70" s="183" t="str">
        <f t="shared" si="27"/>
        <v/>
      </c>
      <c r="I70" s="453"/>
      <c r="J70" s="325"/>
      <c r="K70" s="325"/>
      <c r="L70" s="183"/>
      <c r="M70" s="23"/>
    </row>
    <row r="71" spans="1:15" x14ac:dyDescent="0.2">
      <c r="A71" s="729" t="s">
        <v>13</v>
      </c>
      <c r="B71" s="251"/>
      <c r="C71" s="324"/>
      <c r="D71" s="183"/>
      <c r="E71" s="453" t="str">
        <f>IF(kvartal=4,IFERROR(100/'Skjema total MA'!B71*C71,0),"")</f>
        <v/>
      </c>
      <c r="F71" s="316" t="s">
        <v>458</v>
      </c>
      <c r="G71" s="316" t="s">
        <v>458</v>
      </c>
      <c r="H71" s="183" t="str">
        <f t="shared" si="27"/>
        <v/>
      </c>
      <c r="I71" s="453"/>
      <c r="J71" s="325"/>
      <c r="K71" s="325"/>
      <c r="L71" s="183"/>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t="s">
        <v>458</v>
      </c>
      <c r="G72" s="316" t="s">
        <v>458</v>
      </c>
      <c r="H72" s="183" t="str">
        <f t="shared" si="27"/>
        <v/>
      </c>
      <c r="I72" s="453"/>
      <c r="J72" s="325"/>
      <c r="K72" s="325"/>
      <c r="L72" s="183"/>
      <c r="M72" s="23"/>
    </row>
    <row r="73" spans="1:15" x14ac:dyDescent="0.2">
      <c r="A73" s="729" t="s">
        <v>12</v>
      </c>
      <c r="B73" s="251"/>
      <c r="C73" s="324"/>
      <c r="D73" s="183"/>
      <c r="E73" s="453" t="str">
        <f>IF(kvartal=4,IFERROR(100/'Skjema total MA'!B73*C73,0),"")</f>
        <v/>
      </c>
      <c r="F73" s="316" t="s">
        <v>458</v>
      </c>
      <c r="G73" s="316" t="s">
        <v>458</v>
      </c>
      <c r="H73" s="183" t="str">
        <f t="shared" si="27"/>
        <v/>
      </c>
      <c r="I73" s="453"/>
      <c r="J73" s="325"/>
      <c r="K73" s="325"/>
      <c r="L73" s="183"/>
      <c r="M73" s="23"/>
    </row>
    <row r="74" spans="1:15" s="3" customFormat="1" x14ac:dyDescent="0.2">
      <c r="A74" s="729" t="s">
        <v>13</v>
      </c>
      <c r="B74" s="251"/>
      <c r="C74" s="324"/>
      <c r="D74" s="183"/>
      <c r="E74" s="453" t="str">
        <f>IF(kvartal=4,IFERROR(100/'Skjema total MA'!B74*C74,0),"")</f>
        <v/>
      </c>
      <c r="F74" s="316" t="s">
        <v>458</v>
      </c>
      <c r="G74" s="316" t="s">
        <v>458</v>
      </c>
      <c r="H74" s="183" t="str">
        <f t="shared" si="27"/>
        <v/>
      </c>
      <c r="I74" s="453"/>
      <c r="J74" s="325"/>
      <c r="K74" s="325"/>
      <c r="L74" s="183"/>
      <c r="M74" s="23"/>
      <c r="N74" s="165"/>
      <c r="O74" s="165"/>
    </row>
    <row r="75" spans="1:15" s="3" customFormat="1" x14ac:dyDescent="0.2">
      <c r="A75" s="21" t="s">
        <v>443</v>
      </c>
      <c r="B75" s="250">
        <v>16701.505000000001</v>
      </c>
      <c r="C75" s="162">
        <v>27897.511999999999</v>
      </c>
      <c r="D75" s="183">
        <f t="shared" si="23"/>
        <v>67</v>
      </c>
      <c r="E75" s="27">
        <f>IFERROR(100/'Skjema total MA'!C75*C75,0)</f>
        <v>29.361386480347772</v>
      </c>
      <c r="F75" s="250">
        <v>21667.112000000001</v>
      </c>
      <c r="G75" s="162">
        <v>43885.050999999999</v>
      </c>
      <c r="H75" s="183">
        <f t="shared" si="24"/>
        <v>102.5</v>
      </c>
      <c r="I75" s="27">
        <f>IFERROR(100/'Skjema total MA'!F75*G75,0)</f>
        <v>43.963095711912096</v>
      </c>
      <c r="J75" s="322">
        <f t="shared" si="25"/>
        <v>38368.616999999998</v>
      </c>
      <c r="K75" s="44">
        <f t="shared" si="25"/>
        <v>71782.562999999995</v>
      </c>
      <c r="L75" s="274">
        <f t="shared" si="26"/>
        <v>87.1</v>
      </c>
      <c r="M75" s="27">
        <f>IFERROR(100/'Skjema total MA'!I75*K75,0)</f>
        <v>36.84241189230962</v>
      </c>
      <c r="N75" s="165"/>
      <c r="O75" s="165"/>
    </row>
    <row r="76" spans="1:15" s="3" customFormat="1" x14ac:dyDescent="0.2">
      <c r="A76" s="21" t="s">
        <v>442</v>
      </c>
      <c r="B76" s="250">
        <v>297699.04499999998</v>
      </c>
      <c r="C76" s="162">
        <v>299652.73499999999</v>
      </c>
      <c r="D76" s="183">
        <f t="shared" ref="D76" si="28">IF(B76=0, "    ---- ", IF(ABS(ROUND(100/B76*C76-100,1))&lt;999,ROUND(100/B76*C76-100,1),IF(ROUND(100/B76*C76-100,1)&gt;999,999,-999)))</f>
        <v>0.7</v>
      </c>
      <c r="E76" s="27">
        <f>IFERROR(100/'Skjema total MA'!C77*C76,0)</f>
        <v>9.5982175185703706</v>
      </c>
      <c r="F76" s="250"/>
      <c r="G76" s="162"/>
      <c r="H76" s="183"/>
      <c r="I76" s="27"/>
      <c r="J76" s="322">
        <f t="shared" ref="J76" si="29">SUM(B76,F76)</f>
        <v>297699.04499999998</v>
      </c>
      <c r="K76" s="44">
        <f t="shared" ref="K76" si="30">SUM(C76,G76)</f>
        <v>299652.73499999999</v>
      </c>
      <c r="L76" s="274">
        <f t="shared" ref="L76" si="31">IF(J76=0, "    ---- ", IF(ABS(ROUND(100/J76*K76-100,1))&lt;999,ROUND(100/J76*K76-100,1),IF(ROUND(100/J76*K76-100,1)&gt;999,999,-999)))</f>
        <v>0.7</v>
      </c>
      <c r="M76" s="27">
        <f>IFERROR(100/'Skjema total MA'!I77*K76,0)</f>
        <v>3.0178605644451757</v>
      </c>
      <c r="N76" s="165"/>
      <c r="O76" s="165"/>
    </row>
    <row r="77" spans="1:15" ht="15.75" x14ac:dyDescent="0.2">
      <c r="A77" s="21" t="s">
        <v>480</v>
      </c>
      <c r="B77" s="250">
        <v>1312222.9979999999</v>
      </c>
      <c r="C77" s="250">
        <v>1179067.8840000001</v>
      </c>
      <c r="D77" s="183">
        <f t="shared" si="23"/>
        <v>-10.1</v>
      </c>
      <c r="E77" s="27">
        <f>IFERROR(100/'Skjema total MA'!C77*C77,0)</f>
        <v>37.76688378897159</v>
      </c>
      <c r="F77" s="250">
        <v>2076845.165</v>
      </c>
      <c r="G77" s="162">
        <v>2180300.3539999998</v>
      </c>
      <c r="H77" s="183">
        <f t="shared" si="24"/>
        <v>5</v>
      </c>
      <c r="I77" s="27">
        <f>IFERROR(100/'Skjema total MA'!F77*G77,0)</f>
        <v>32.028631624290504</v>
      </c>
      <c r="J77" s="322">
        <f t="shared" si="25"/>
        <v>3389068.1629999997</v>
      </c>
      <c r="K77" s="44">
        <f t="shared" si="25"/>
        <v>3359368.2379999999</v>
      </c>
      <c r="L77" s="274">
        <f t="shared" si="26"/>
        <v>-0.9</v>
      </c>
      <c r="M77" s="27">
        <f>IFERROR(100/'Skjema total MA'!I77*K77,0)</f>
        <v>33.83284630093523</v>
      </c>
    </row>
    <row r="78" spans="1:15" x14ac:dyDescent="0.2">
      <c r="A78" s="21" t="s">
        <v>9</v>
      </c>
      <c r="B78" s="250">
        <v>1312222.9979999999</v>
      </c>
      <c r="C78" s="162">
        <v>1179067.8840000001</v>
      </c>
      <c r="D78" s="183">
        <f t="shared" si="23"/>
        <v>-10.1</v>
      </c>
      <c r="E78" s="27">
        <f>IFERROR(100/'Skjema total MA'!C78*C78,0)</f>
        <v>38.911002469519978</v>
      </c>
      <c r="F78" s="250"/>
      <c r="G78" s="162"/>
      <c r="H78" s="183"/>
      <c r="I78" s="27"/>
      <c r="J78" s="322">
        <f t="shared" si="25"/>
        <v>1312222.9979999999</v>
      </c>
      <c r="K78" s="44">
        <f t="shared" si="25"/>
        <v>1179067.8840000001</v>
      </c>
      <c r="L78" s="274">
        <f t="shared" si="26"/>
        <v>-10.1</v>
      </c>
      <c r="M78" s="27">
        <f>IFERROR(100/'Skjema total MA'!I78*K78,0)</f>
        <v>38.911002469519978</v>
      </c>
    </row>
    <row r="79" spans="1:15" x14ac:dyDescent="0.2">
      <c r="A79" s="21" t="s">
        <v>10</v>
      </c>
      <c r="B79" s="327"/>
      <c r="C79" s="328"/>
      <c r="D79" s="183"/>
      <c r="E79" s="27"/>
      <c r="F79" s="327">
        <v>2076845.165</v>
      </c>
      <c r="G79" s="328">
        <v>2180300.3539999998</v>
      </c>
      <c r="H79" s="183">
        <f t="shared" si="24"/>
        <v>5</v>
      </c>
      <c r="I79" s="27">
        <f>IFERROR(100/'Skjema total MA'!F79*G79,0)</f>
        <v>32.028631624290504</v>
      </c>
      <c r="J79" s="322">
        <f t="shared" si="25"/>
        <v>2076845.165</v>
      </c>
      <c r="K79" s="44">
        <f t="shared" si="25"/>
        <v>2180300.3539999998</v>
      </c>
      <c r="L79" s="274">
        <f t="shared" si="26"/>
        <v>5</v>
      </c>
      <c r="M79" s="27">
        <f>IFERROR(100/'Skjema total MA'!I79*K79,0)</f>
        <v>31.602474780277095</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t="s">
        <v>458</v>
      </c>
      <c r="G80" s="316" t="s">
        <v>458</v>
      </c>
      <c r="H80" s="183" t="str">
        <f t="shared" ref="H80:H85" si="32">IF(kvartal=4,IF(F80=0, "    ---- ", IF(ABS(ROUND(100/F80*G80-100,1))&lt;999,ROUND(100/F80*G80-100,1),IF(ROUND(100/F80*G80-100,1)&gt;999,999,-999))),"")</f>
        <v/>
      </c>
      <c r="I80" s="453"/>
      <c r="J80" s="325"/>
      <c r="K80" s="325"/>
      <c r="L80" s="183"/>
      <c r="M80" s="23"/>
    </row>
    <row r="81" spans="1:13" x14ac:dyDescent="0.2">
      <c r="A81" s="729" t="s">
        <v>12</v>
      </c>
      <c r="B81" s="251"/>
      <c r="C81" s="324"/>
      <c r="D81" s="183"/>
      <c r="E81" s="453" t="str">
        <f>IF(kvartal=4,IFERROR(100/'Skjema total MA'!B81*C81,0),"")</f>
        <v/>
      </c>
      <c r="F81" s="316" t="s">
        <v>458</v>
      </c>
      <c r="G81" s="316" t="s">
        <v>458</v>
      </c>
      <c r="H81" s="183" t="str">
        <f t="shared" si="32"/>
        <v/>
      </c>
      <c r="I81" s="453"/>
      <c r="J81" s="325"/>
      <c r="K81" s="325"/>
      <c r="L81" s="183"/>
      <c r="M81" s="23"/>
    </row>
    <row r="82" spans="1:13" x14ac:dyDescent="0.2">
      <c r="A82" s="729" t="s">
        <v>13</v>
      </c>
      <c r="B82" s="251"/>
      <c r="C82" s="324"/>
      <c r="D82" s="183"/>
      <c r="E82" s="453" t="str">
        <f>IF(kvartal=4,IFERROR(100/'Skjema total MA'!B82*C82,0),"")</f>
        <v/>
      </c>
      <c r="F82" s="316" t="s">
        <v>458</v>
      </c>
      <c r="G82" s="316" t="s">
        <v>458</v>
      </c>
      <c r="H82" s="183" t="str">
        <f t="shared" si="32"/>
        <v/>
      </c>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t="s">
        <v>458</v>
      </c>
      <c r="G83" s="316" t="s">
        <v>458</v>
      </c>
      <c r="H83" s="183" t="str">
        <f t="shared" si="32"/>
        <v/>
      </c>
      <c r="I83" s="453"/>
      <c r="J83" s="325"/>
      <c r="K83" s="325"/>
      <c r="L83" s="183"/>
      <c r="M83" s="23"/>
    </row>
    <row r="84" spans="1:13" x14ac:dyDescent="0.2">
      <c r="A84" s="729" t="s">
        <v>12</v>
      </c>
      <c r="B84" s="251"/>
      <c r="C84" s="324"/>
      <c r="D84" s="183"/>
      <c r="E84" s="453" t="str">
        <f>IF(kvartal=4,IFERROR(100/'Skjema total MA'!B84*C84,0),"")</f>
        <v/>
      </c>
      <c r="F84" s="316" t="s">
        <v>458</v>
      </c>
      <c r="G84" s="316" t="s">
        <v>458</v>
      </c>
      <c r="H84" s="183" t="str">
        <f t="shared" si="32"/>
        <v/>
      </c>
      <c r="I84" s="453"/>
      <c r="J84" s="325"/>
      <c r="K84" s="325"/>
      <c r="L84" s="183"/>
      <c r="M84" s="23"/>
    </row>
    <row r="85" spans="1:13" x14ac:dyDescent="0.2">
      <c r="A85" s="729" t="s">
        <v>13</v>
      </c>
      <c r="B85" s="251"/>
      <c r="C85" s="324"/>
      <c r="D85" s="183"/>
      <c r="E85" s="453" t="str">
        <f>IF(kvartal=4,IFERROR(100/'Skjema total MA'!B85*C85,0),"")</f>
        <v/>
      </c>
      <c r="F85" s="316" t="s">
        <v>458</v>
      </c>
      <c r="G85" s="316" t="s">
        <v>458</v>
      </c>
      <c r="H85" s="183" t="str">
        <f t="shared" si="32"/>
        <v/>
      </c>
      <c r="I85" s="453"/>
      <c r="J85" s="325"/>
      <c r="K85" s="325"/>
      <c r="L85" s="183"/>
      <c r="M85" s="23"/>
    </row>
    <row r="86" spans="1:13" ht="15.75" x14ac:dyDescent="0.2">
      <c r="A86" s="21" t="s">
        <v>481</v>
      </c>
      <c r="B86" s="250">
        <v>114136.194</v>
      </c>
      <c r="C86" s="162">
        <v>111562.573</v>
      </c>
      <c r="D86" s="183">
        <f t="shared" si="23"/>
        <v>-2.2999999999999998</v>
      </c>
      <c r="E86" s="27">
        <f>IFERROR(100/'Skjema total MA'!C86*C86,0)</f>
        <v>82.683273446904352</v>
      </c>
      <c r="F86" s="250"/>
      <c r="G86" s="162"/>
      <c r="H86" s="183"/>
      <c r="I86" s="27"/>
      <c r="J86" s="322">
        <f t="shared" si="25"/>
        <v>114136.194</v>
      </c>
      <c r="K86" s="44">
        <f t="shared" si="25"/>
        <v>111562.573</v>
      </c>
      <c r="L86" s="274">
        <f t="shared" si="26"/>
        <v>-2.2999999999999998</v>
      </c>
      <c r="M86" s="27">
        <f>IFERROR(100/'Skjema total MA'!I86*K86,0)</f>
        <v>80.535952973651959</v>
      </c>
    </row>
    <row r="87" spans="1:13" ht="15.75" x14ac:dyDescent="0.2">
      <c r="A87" s="13" t="s">
        <v>466</v>
      </c>
      <c r="B87" s="387">
        <f>B88+B89+B96+B97</f>
        <v>159387243.75400001</v>
      </c>
      <c r="C87" s="387">
        <f>C88+C89+C96+C97</f>
        <v>162740387.998</v>
      </c>
      <c r="D87" s="188">
        <f t="shared" si="23"/>
        <v>2.1</v>
      </c>
      <c r="E87" s="11">
        <f>IFERROR(100/'Skjema total MA'!C87*C87,0)</f>
        <v>42.295616605294306</v>
      </c>
      <c r="F87" s="386">
        <f>SUM(F88,F89,F96,F97)</f>
        <v>58694232.675999999</v>
      </c>
      <c r="G87" s="386">
        <f>SUM(G88,G89,G96,G97)</f>
        <v>78692556.189999998</v>
      </c>
      <c r="H87" s="188">
        <f t="shared" si="24"/>
        <v>34.1</v>
      </c>
      <c r="I87" s="11">
        <f>IFERROR(100/'Skjema total MA'!F87*G87,0)</f>
        <v>33.56292738154761</v>
      </c>
      <c r="J87" s="345">
        <f t="shared" ref="J87:K111" si="33">SUM(B87,F87)</f>
        <v>218081476.43000001</v>
      </c>
      <c r="K87" s="252">
        <f t="shared" si="33"/>
        <v>241432944.18799999</v>
      </c>
      <c r="L87" s="464">
        <f t="shared" si="26"/>
        <v>10.7</v>
      </c>
      <c r="M87" s="11">
        <f>IFERROR(100/'Skjema total MA'!I87*K87,0)</f>
        <v>38.989115466742255</v>
      </c>
    </row>
    <row r="88" spans="1:13" x14ac:dyDescent="0.2">
      <c r="A88" s="21" t="s">
        <v>9</v>
      </c>
      <c r="B88" s="250">
        <v>156811167.35034999</v>
      </c>
      <c r="C88" s="162">
        <v>158511304.67199999</v>
      </c>
      <c r="D88" s="183">
        <f t="shared" si="23"/>
        <v>1.1000000000000001</v>
      </c>
      <c r="E88" s="27">
        <f>IFERROR(100/'Skjema total MA'!C88*C88,0)</f>
        <v>42.056339138161363</v>
      </c>
      <c r="F88" s="250"/>
      <c r="G88" s="162"/>
      <c r="H88" s="183"/>
      <c r="I88" s="27"/>
      <c r="J88" s="322">
        <f t="shared" si="33"/>
        <v>156811167.35034999</v>
      </c>
      <c r="K88" s="44">
        <f t="shared" si="33"/>
        <v>158511304.67199999</v>
      </c>
      <c r="L88" s="274">
        <f t="shared" si="26"/>
        <v>1.1000000000000001</v>
      </c>
      <c r="M88" s="27">
        <f>IFERROR(100/'Skjema total MA'!I88*K88,0)</f>
        <v>42.056339138161363</v>
      </c>
    </row>
    <row r="89" spans="1:13" x14ac:dyDescent="0.2">
      <c r="A89" s="21" t="s">
        <v>10</v>
      </c>
      <c r="B89" s="250">
        <v>60973.275650000003</v>
      </c>
      <c r="C89" s="162">
        <v>64586.154999999999</v>
      </c>
      <c r="D89" s="183">
        <f t="shared" si="23"/>
        <v>5.9</v>
      </c>
      <c r="E89" s="27">
        <f>IFERROR(100/'Skjema total MA'!C89*C89,0)</f>
        <v>2.4087218615225723</v>
      </c>
      <c r="F89" s="250">
        <v>58583311.644000001</v>
      </c>
      <c r="G89" s="162">
        <v>78411760.078999996</v>
      </c>
      <c r="H89" s="183">
        <f t="shared" si="24"/>
        <v>33.799999999999997</v>
      </c>
      <c r="I89" s="27">
        <f>IFERROR(100/'Skjema total MA'!F89*G89,0)</f>
        <v>33.555300970788025</v>
      </c>
      <c r="J89" s="322">
        <f t="shared" si="33"/>
        <v>58644284.919650003</v>
      </c>
      <c r="K89" s="44">
        <f t="shared" si="33"/>
        <v>78476346.233999997</v>
      </c>
      <c r="L89" s="274">
        <f t="shared" si="26"/>
        <v>33.799999999999997</v>
      </c>
      <c r="M89" s="27">
        <f>IFERROR(100/'Skjema total MA'!I89*K89,0)</f>
        <v>33.201964765828215</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t="s">
        <v>458</v>
      </c>
      <c r="G90" s="316" t="s">
        <v>458</v>
      </c>
      <c r="H90" s="183" t="str">
        <f t="shared" ref="H90:H95" si="34">IF(kvartal=4,IF(F90=0, "    ---- ", IF(ABS(ROUND(100/F90*G90-100,1))&lt;999,ROUND(100/F90*G90-100,1),IF(ROUND(100/F90*G90-100,1)&gt;999,999,-999))),"")</f>
        <v/>
      </c>
      <c r="I90" s="453"/>
      <c r="J90" s="325"/>
      <c r="K90" s="325"/>
      <c r="L90" s="183"/>
      <c r="M90" s="23"/>
    </row>
    <row r="91" spans="1:13" x14ac:dyDescent="0.2">
      <c r="A91" s="729" t="s">
        <v>12</v>
      </c>
      <c r="B91" s="251"/>
      <c r="C91" s="324"/>
      <c r="D91" s="183"/>
      <c r="E91" s="453" t="str">
        <f>IF(kvartal=4,IFERROR(100/'Skjema total MA'!B91*C91,0),"")</f>
        <v/>
      </c>
      <c r="F91" s="316" t="s">
        <v>458</v>
      </c>
      <c r="G91" s="316" t="s">
        <v>458</v>
      </c>
      <c r="H91" s="183" t="str">
        <f t="shared" si="34"/>
        <v/>
      </c>
      <c r="I91" s="453"/>
      <c r="J91" s="325"/>
      <c r="K91" s="325"/>
      <c r="L91" s="183"/>
      <c r="M91" s="23"/>
    </row>
    <row r="92" spans="1:13" x14ac:dyDescent="0.2">
      <c r="A92" s="729" t="s">
        <v>13</v>
      </c>
      <c r="B92" s="251"/>
      <c r="C92" s="324"/>
      <c r="D92" s="183"/>
      <c r="E92" s="453" t="str">
        <f>IF(kvartal=4,IFERROR(100/'Skjema total MA'!B92*C92,0),"")</f>
        <v/>
      </c>
      <c r="F92" s="316" t="s">
        <v>458</v>
      </c>
      <c r="G92" s="316" t="s">
        <v>458</v>
      </c>
      <c r="H92" s="183" t="str">
        <f t="shared" si="34"/>
        <v/>
      </c>
      <c r="I92" s="453"/>
      <c r="J92" s="325"/>
      <c r="K92" s="325"/>
      <c r="L92" s="183"/>
      <c r="M92" s="23"/>
    </row>
    <row r="93" spans="1:13" ht="15.75" x14ac:dyDescent="0.2">
      <c r="A93" s="729" t="s">
        <v>479</v>
      </c>
      <c r="B93" s="316" t="s">
        <v>458</v>
      </c>
      <c r="C93" s="316" t="s">
        <v>458</v>
      </c>
      <c r="D93" s="183" t="str">
        <f>IF(kvartal=4,IF(B93=0, "    ---- ", IF(ABS(ROUND(100/B93*C93-100,1))&lt;999,ROUND(100/B93*C93-100,1),IF(ROUND(100/B93*C93-100,1)&gt;999,999,-999))),"")</f>
        <v/>
      </c>
      <c r="E93" s="453" t="str">
        <f>IF(kvartal=4,IFERROR(100/'Skjema total MA'!B93*C93,0),"")</f>
        <v/>
      </c>
      <c r="F93" s="316" t="s">
        <v>458</v>
      </c>
      <c r="G93" s="316" t="s">
        <v>458</v>
      </c>
      <c r="H93" s="183" t="str">
        <f t="shared" si="34"/>
        <v/>
      </c>
      <c r="I93" s="453"/>
      <c r="J93" s="325"/>
      <c r="K93" s="325"/>
      <c r="L93" s="183"/>
      <c r="M93" s="23"/>
    </row>
    <row r="94" spans="1:13" x14ac:dyDescent="0.2">
      <c r="A94" s="729" t="s">
        <v>12</v>
      </c>
      <c r="B94" s="251"/>
      <c r="C94" s="324"/>
      <c r="D94" s="183"/>
      <c r="E94" s="453" t="str">
        <f>IF(kvartal=4,IFERROR(100/'Skjema total MA'!B94*C94,0),"")</f>
        <v/>
      </c>
      <c r="F94" s="316" t="s">
        <v>458</v>
      </c>
      <c r="G94" s="316" t="s">
        <v>458</v>
      </c>
      <c r="H94" s="183" t="str">
        <f t="shared" si="34"/>
        <v/>
      </c>
      <c r="I94" s="453"/>
      <c r="J94" s="325"/>
      <c r="K94" s="325"/>
      <c r="L94" s="183"/>
      <c r="M94" s="23"/>
    </row>
    <row r="95" spans="1:13" x14ac:dyDescent="0.2">
      <c r="A95" s="729" t="s">
        <v>13</v>
      </c>
      <c r="B95" s="251"/>
      <c r="C95" s="324"/>
      <c r="D95" s="183"/>
      <c r="E95" s="453" t="str">
        <f>IF(kvartal=4,IFERROR(100/'Skjema total MA'!B95*C95,0),"")</f>
        <v/>
      </c>
      <c r="F95" s="316" t="s">
        <v>458</v>
      </c>
      <c r="G95" s="316" t="s">
        <v>458</v>
      </c>
      <c r="H95" s="183" t="str">
        <f t="shared" si="34"/>
        <v/>
      </c>
      <c r="I95" s="453"/>
      <c r="J95" s="325"/>
      <c r="K95" s="325"/>
      <c r="L95" s="183"/>
      <c r="M95" s="23"/>
    </row>
    <row r="96" spans="1:13" x14ac:dyDescent="0.2">
      <c r="A96" s="21" t="s">
        <v>443</v>
      </c>
      <c r="B96" s="250">
        <v>85103.702999999994</v>
      </c>
      <c r="C96" s="162">
        <v>122670.852</v>
      </c>
      <c r="D96" s="183">
        <f t="shared" si="23"/>
        <v>44.1</v>
      </c>
      <c r="E96" s="27">
        <f>IFERROR(100/'Skjema total MA'!C96*C96,0)</f>
        <v>21.393924131721786</v>
      </c>
      <c r="F96" s="250">
        <v>110921.03200000001</v>
      </c>
      <c r="G96" s="162">
        <v>280796.11099999998</v>
      </c>
      <c r="H96" s="183">
        <f t="shared" si="24"/>
        <v>153.1</v>
      </c>
      <c r="I96" s="27">
        <f>IFERROR(100/'Skjema total MA'!F96*G96,0)</f>
        <v>35.837427676900127</v>
      </c>
      <c r="J96" s="322">
        <f t="shared" si="33"/>
        <v>196024.73499999999</v>
      </c>
      <c r="K96" s="44">
        <f t="shared" si="33"/>
        <v>403466.96299999999</v>
      </c>
      <c r="L96" s="274">
        <f t="shared" si="26"/>
        <v>105.8</v>
      </c>
      <c r="M96" s="27">
        <f>IFERROR(100/'Skjema total MA'!I96*K96,0)</f>
        <v>29.734057860736851</v>
      </c>
    </row>
    <row r="97" spans="1:13" x14ac:dyDescent="0.2">
      <c r="A97" s="21" t="s">
        <v>442</v>
      </c>
      <c r="B97" s="250">
        <v>2429999.4249999998</v>
      </c>
      <c r="C97" s="162">
        <v>4041826.3190000001</v>
      </c>
      <c r="D97" s="183">
        <f t="shared" ref="D97" si="35">IF(B97=0, "    ---- ", IF(ABS(ROUND(100/B97*C97-100,1))&lt;999,ROUND(100/B97*C97-100,1),IF(ROUND(100/B97*C97-100,1)&gt;999,999,-999)))</f>
        <v>66.3</v>
      </c>
      <c r="E97" s="27">
        <f>IFERROR(100/'Skjema total MA'!C98*C97,0)</f>
        <v>1.0787836677560239</v>
      </c>
      <c r="F97" s="250"/>
      <c r="G97" s="162"/>
      <c r="H97" s="183"/>
      <c r="I97" s="27"/>
      <c r="J97" s="322">
        <f t="shared" ref="J97" si="36">SUM(B97,F97)</f>
        <v>2429999.4249999998</v>
      </c>
      <c r="K97" s="44">
        <f t="shared" ref="K97" si="37">SUM(C97,G97)</f>
        <v>4041826.3190000001</v>
      </c>
      <c r="L97" s="274">
        <f t="shared" ref="L97" si="38">IF(J97=0, "    ---- ", IF(ABS(ROUND(100/J97*K97-100,1))&lt;999,ROUND(100/J97*K97-100,1),IF(ROUND(100/J97*K97-100,1)&gt;999,999,-999)))</f>
        <v>66.3</v>
      </c>
      <c r="M97" s="27">
        <f>IFERROR(100/'Skjema total MA'!I98*K97,0)</f>
        <v>0.66506714470239237</v>
      </c>
    </row>
    <row r="98" spans="1:13" ht="15.75" x14ac:dyDescent="0.2">
      <c r="A98" s="21" t="s">
        <v>480</v>
      </c>
      <c r="B98" s="250">
        <v>153341572.264</v>
      </c>
      <c r="C98" s="250">
        <v>155089338.588</v>
      </c>
      <c r="D98" s="183">
        <f t="shared" si="23"/>
        <v>1.1000000000000001</v>
      </c>
      <c r="E98" s="27">
        <f>IFERROR(100/'Skjema total MA'!C98*C98,0)</f>
        <v>41.394120456223014</v>
      </c>
      <c r="F98" s="327">
        <v>58583311.644000001</v>
      </c>
      <c r="G98" s="327">
        <v>78411760.078999996</v>
      </c>
      <c r="H98" s="183">
        <f t="shared" si="24"/>
        <v>33.799999999999997</v>
      </c>
      <c r="I98" s="27">
        <f>IFERROR(100/'Skjema total MA'!F98*G98,0)</f>
        <v>33.643451593726972</v>
      </c>
      <c r="J98" s="322">
        <f t="shared" si="33"/>
        <v>211924883.90799999</v>
      </c>
      <c r="K98" s="44">
        <f t="shared" si="33"/>
        <v>233501098.667</v>
      </c>
      <c r="L98" s="274">
        <f t="shared" si="26"/>
        <v>10.199999999999999</v>
      </c>
      <c r="M98" s="27">
        <f>IFERROR(100/'Skjema total MA'!I98*K98,0)</f>
        <v>38.421717490759221</v>
      </c>
    </row>
    <row r="99" spans="1:13" x14ac:dyDescent="0.2">
      <c r="A99" s="21" t="s">
        <v>9</v>
      </c>
      <c r="B99" s="327">
        <v>153280598.98835</v>
      </c>
      <c r="C99" s="328">
        <v>155024752.433</v>
      </c>
      <c r="D99" s="183">
        <f t="shared" si="23"/>
        <v>1.1000000000000001</v>
      </c>
      <c r="E99" s="27">
        <f>IFERROR(100/'Skjema total MA'!C99*C99,0)</f>
        <v>41.675136255198808</v>
      </c>
      <c r="F99" s="250"/>
      <c r="G99" s="162"/>
      <c r="H99" s="183"/>
      <c r="I99" s="27"/>
      <c r="J99" s="322">
        <f t="shared" si="33"/>
        <v>153280598.98835</v>
      </c>
      <c r="K99" s="44">
        <f t="shared" si="33"/>
        <v>155024752.433</v>
      </c>
      <c r="L99" s="274">
        <f t="shared" si="26"/>
        <v>1.1000000000000001</v>
      </c>
      <c r="M99" s="27">
        <f>IFERROR(100/'Skjema total MA'!I99*K99,0)</f>
        <v>41.675136255198808</v>
      </c>
    </row>
    <row r="100" spans="1:13" x14ac:dyDescent="0.2">
      <c r="A100" s="21" t="s">
        <v>10</v>
      </c>
      <c r="B100" s="327">
        <v>60973.275650000003</v>
      </c>
      <c r="C100" s="328">
        <v>64586.154999999999</v>
      </c>
      <c r="D100" s="183">
        <f t="shared" si="23"/>
        <v>5.9</v>
      </c>
      <c r="E100" s="27">
        <f>IFERROR(100/'Skjema total MA'!C100*C100,0)</f>
        <v>2.4087218615225723</v>
      </c>
      <c r="F100" s="250">
        <v>58583311.644000001</v>
      </c>
      <c r="G100" s="250">
        <v>78411760.078999996</v>
      </c>
      <c r="H100" s="183">
        <f t="shared" si="24"/>
        <v>33.799999999999997</v>
      </c>
      <c r="I100" s="27">
        <f>IFERROR(100/'Skjema total MA'!F100*G100,0)</f>
        <v>33.643451593726972</v>
      </c>
      <c r="J100" s="322">
        <f t="shared" si="33"/>
        <v>58644284.919650003</v>
      </c>
      <c r="K100" s="44">
        <f t="shared" si="33"/>
        <v>78476346.233999997</v>
      </c>
      <c r="L100" s="274">
        <f t="shared" si="26"/>
        <v>33.799999999999997</v>
      </c>
      <c r="M100" s="27">
        <f>IFERROR(100/'Skjema total MA'!I100*K100,0)</f>
        <v>33.28819511855847</v>
      </c>
    </row>
    <row r="101" spans="1:13" ht="15.75" x14ac:dyDescent="0.2">
      <c r="A101" s="729" t="s">
        <v>478</v>
      </c>
      <c r="B101" s="316" t="s">
        <v>458</v>
      </c>
      <c r="C101" s="316" t="s">
        <v>458</v>
      </c>
      <c r="D101" s="183" t="str">
        <f>IF(kvartal=4,IF(B101=0, "    ---- ", IF(ABS(ROUND(100/B101*C101-100,1))&lt;999,ROUND(100/B101*C101-100,1),IF(ROUND(100/B101*C101-100,1)&gt;999,999,-999))),"")</f>
        <v/>
      </c>
      <c r="E101" s="453" t="str">
        <f>IF(kvartal=4,IFERROR(100/'Skjema total MA'!B101*C101,0),"")</f>
        <v/>
      </c>
      <c r="F101" s="316" t="s">
        <v>458</v>
      </c>
      <c r="G101" s="316" t="s">
        <v>458</v>
      </c>
      <c r="H101" s="183" t="str">
        <f t="shared" ref="H101:H106" si="39">IF(kvartal=4,IF(F101=0, "    ---- ", IF(ABS(ROUND(100/F101*G101-100,1))&lt;999,ROUND(100/F101*G101-100,1),IF(ROUND(100/F101*G101-100,1)&gt;999,999,-999))),"")</f>
        <v/>
      </c>
      <c r="I101" s="453"/>
      <c r="J101" s="325"/>
      <c r="K101" s="325"/>
      <c r="L101" s="183"/>
      <c r="M101" s="23"/>
    </row>
    <row r="102" spans="1:13" x14ac:dyDescent="0.2">
      <c r="A102" s="729" t="s">
        <v>12</v>
      </c>
      <c r="B102" s="251"/>
      <c r="C102" s="324"/>
      <c r="D102" s="183"/>
      <c r="E102" s="453" t="str">
        <f>IF(kvartal=4,IFERROR(100/'Skjema total MA'!B102*C102,0),"")</f>
        <v/>
      </c>
      <c r="F102" s="316" t="s">
        <v>458</v>
      </c>
      <c r="G102" s="316" t="s">
        <v>458</v>
      </c>
      <c r="H102" s="183" t="str">
        <f t="shared" si="39"/>
        <v/>
      </c>
      <c r="I102" s="453"/>
      <c r="J102" s="325"/>
      <c r="K102" s="325"/>
      <c r="L102" s="183"/>
      <c r="M102" s="23"/>
    </row>
    <row r="103" spans="1:13" x14ac:dyDescent="0.2">
      <c r="A103" s="729" t="s">
        <v>13</v>
      </c>
      <c r="B103" s="251"/>
      <c r="C103" s="324"/>
      <c r="D103" s="183"/>
      <c r="E103" s="453" t="str">
        <f>IF(kvartal=4,IFERROR(100/'Skjema total MA'!B103*C103,0),"")</f>
        <v/>
      </c>
      <c r="F103" s="316" t="s">
        <v>458</v>
      </c>
      <c r="G103" s="316" t="s">
        <v>458</v>
      </c>
      <c r="H103" s="183" t="str">
        <f t="shared" si="39"/>
        <v/>
      </c>
      <c r="I103" s="453"/>
      <c r="J103" s="325"/>
      <c r="K103" s="325"/>
      <c r="L103" s="183"/>
      <c r="M103" s="23"/>
    </row>
    <row r="104" spans="1:13" ht="15.75" x14ac:dyDescent="0.2">
      <c r="A104" s="729" t="s">
        <v>479</v>
      </c>
      <c r="B104" s="316" t="s">
        <v>458</v>
      </c>
      <c r="C104" s="316" t="s">
        <v>458</v>
      </c>
      <c r="D104" s="183" t="str">
        <f>IF(kvartal=4,IF(B104=0, "    ---- ", IF(ABS(ROUND(100/B104*C104-100,1))&lt;999,ROUND(100/B104*C104-100,1),IF(ROUND(100/B104*C104-100,1)&gt;999,999,-999))),"")</f>
        <v/>
      </c>
      <c r="E104" s="453" t="str">
        <f>IF(kvartal=4,IFERROR(100/'Skjema total MA'!B104*C104,0),"")</f>
        <v/>
      </c>
      <c r="F104" s="316" t="s">
        <v>458</v>
      </c>
      <c r="G104" s="316" t="s">
        <v>458</v>
      </c>
      <c r="H104" s="183" t="str">
        <f t="shared" si="39"/>
        <v/>
      </c>
      <c r="I104" s="453"/>
      <c r="J104" s="325"/>
      <c r="K104" s="325"/>
      <c r="L104" s="183"/>
      <c r="M104" s="23"/>
    </row>
    <row r="105" spans="1:13" x14ac:dyDescent="0.2">
      <c r="A105" s="729" t="s">
        <v>12</v>
      </c>
      <c r="B105" s="251"/>
      <c r="C105" s="324"/>
      <c r="D105" s="183"/>
      <c r="E105" s="453" t="str">
        <f>IF(kvartal=4,IFERROR(100/'Skjema total MA'!B105*C105,0),"")</f>
        <v/>
      </c>
      <c r="F105" s="316" t="s">
        <v>458</v>
      </c>
      <c r="G105" s="316" t="s">
        <v>458</v>
      </c>
      <c r="H105" s="183" t="str">
        <f t="shared" si="39"/>
        <v/>
      </c>
      <c r="I105" s="453"/>
      <c r="J105" s="325"/>
      <c r="K105" s="325"/>
      <c r="L105" s="183"/>
      <c r="M105" s="23"/>
    </row>
    <row r="106" spans="1:13" x14ac:dyDescent="0.2">
      <c r="A106" s="729" t="s">
        <v>13</v>
      </c>
      <c r="B106" s="251"/>
      <c r="C106" s="324"/>
      <c r="D106" s="183"/>
      <c r="E106" s="453" t="str">
        <f>IF(kvartal=4,IFERROR(100/'Skjema total MA'!B106*C106,0),"")</f>
        <v/>
      </c>
      <c r="F106" s="316" t="s">
        <v>458</v>
      </c>
      <c r="G106" s="316" t="s">
        <v>458</v>
      </c>
      <c r="H106" s="183" t="str">
        <f t="shared" si="39"/>
        <v/>
      </c>
      <c r="I106" s="453"/>
      <c r="J106" s="325"/>
      <c r="K106" s="325"/>
      <c r="L106" s="183"/>
      <c r="M106" s="23"/>
    </row>
    <row r="107" spans="1:13" ht="15.75" x14ac:dyDescent="0.2">
      <c r="A107" s="21" t="s">
        <v>481</v>
      </c>
      <c r="B107" s="250">
        <v>3530568.3620000002</v>
      </c>
      <c r="C107" s="162">
        <v>3486552.2390000001</v>
      </c>
      <c r="D107" s="183">
        <f t="shared" si="23"/>
        <v>-1.2</v>
      </c>
      <c r="E107" s="27">
        <f>IFERROR(100/'Skjema total MA'!C107*C107,0)</f>
        <v>70.886554381369905</v>
      </c>
      <c r="F107" s="250"/>
      <c r="G107" s="162"/>
      <c r="H107" s="183"/>
      <c r="I107" s="27"/>
      <c r="J107" s="322">
        <f t="shared" si="33"/>
        <v>3530568.3620000002</v>
      </c>
      <c r="K107" s="44">
        <f t="shared" si="33"/>
        <v>3486552.2390000001</v>
      </c>
      <c r="L107" s="274">
        <f t="shared" si="26"/>
        <v>-1.2</v>
      </c>
      <c r="M107" s="27">
        <f>IFERROR(100/'Skjema total MA'!I107*K107,0)</f>
        <v>63.039199641484259</v>
      </c>
    </row>
    <row r="108" spans="1:13" ht="15.75" x14ac:dyDescent="0.2">
      <c r="A108" s="21" t="s">
        <v>482</v>
      </c>
      <c r="B108" s="250">
        <v>122175568.318</v>
      </c>
      <c r="C108" s="250">
        <v>129918851.167</v>
      </c>
      <c r="D108" s="183">
        <f t="shared" si="23"/>
        <v>6.3</v>
      </c>
      <c r="E108" s="27">
        <f>IFERROR(100/'Skjema total MA'!C108*C108,0)</f>
        <v>42.283577237599431</v>
      </c>
      <c r="F108" s="250">
        <v>5818181.5240000002</v>
      </c>
      <c r="G108" s="250">
        <v>14943862.810000001</v>
      </c>
      <c r="H108" s="183">
        <f t="shared" si="24"/>
        <v>156.80000000000001</v>
      </c>
      <c r="I108" s="27">
        <f>IFERROR(100/'Skjema total MA'!F108*G108,0)</f>
        <v>96.843048443624625</v>
      </c>
      <c r="J108" s="322">
        <f t="shared" si="33"/>
        <v>127993749.84200001</v>
      </c>
      <c r="K108" s="44">
        <f t="shared" si="33"/>
        <v>144862713.977</v>
      </c>
      <c r="L108" s="274">
        <f t="shared" si="26"/>
        <v>13.2</v>
      </c>
      <c r="M108" s="27">
        <f>IFERROR(100/'Skjema total MA'!I108*K108,0)</f>
        <v>44.892630907826792</v>
      </c>
    </row>
    <row r="109" spans="1:13" ht="15.75" x14ac:dyDescent="0.2">
      <c r="A109" s="21" t="s">
        <v>483</v>
      </c>
      <c r="B109" s="250">
        <v>161640.266</v>
      </c>
      <c r="C109" s="250">
        <v>0</v>
      </c>
      <c r="D109" s="183">
        <f t="shared" si="23"/>
        <v>-100</v>
      </c>
      <c r="E109" s="27">
        <f>IFERROR(100/'Skjema total MA'!C109*C109,0)</f>
        <v>0</v>
      </c>
      <c r="F109" s="250">
        <v>18125840.291000001</v>
      </c>
      <c r="G109" s="250">
        <v>22348975.454</v>
      </c>
      <c r="H109" s="183">
        <f t="shared" si="24"/>
        <v>23.3</v>
      </c>
      <c r="I109" s="27">
        <f>IFERROR(100/'Skjema total MA'!F109*G109,0)</f>
        <v>30.197800489583507</v>
      </c>
      <c r="J109" s="322">
        <f t="shared" si="33"/>
        <v>18287480.557</v>
      </c>
      <c r="K109" s="44">
        <f t="shared" si="33"/>
        <v>22348975.454</v>
      </c>
      <c r="L109" s="274">
        <f t="shared" si="26"/>
        <v>22.2</v>
      </c>
      <c r="M109" s="27">
        <f>IFERROR(100/'Skjema total MA'!I109*K109,0)</f>
        <v>29.772781891508433</v>
      </c>
    </row>
    <row r="110" spans="1:13" ht="15.75" x14ac:dyDescent="0.2">
      <c r="A110" s="21" t="s">
        <v>484</v>
      </c>
      <c r="B110" s="250">
        <v>2512.7820000000002</v>
      </c>
      <c r="C110" s="250">
        <v>15324.049000000001</v>
      </c>
      <c r="D110" s="183">
        <f t="shared" si="23"/>
        <v>509.8</v>
      </c>
      <c r="E110" s="27">
        <f>IFERROR(100/'Skjema total MA'!C110*C110,0)</f>
        <v>27.955120863313152</v>
      </c>
      <c r="F110" s="250"/>
      <c r="G110" s="250"/>
      <c r="H110" s="183"/>
      <c r="I110" s="27"/>
      <c r="J110" s="322">
        <f t="shared" si="33"/>
        <v>2512.7820000000002</v>
      </c>
      <c r="K110" s="44">
        <f t="shared" si="33"/>
        <v>15324.049000000001</v>
      </c>
      <c r="L110" s="274">
        <f t="shared" si="26"/>
        <v>509.8</v>
      </c>
      <c r="M110" s="27">
        <f>IFERROR(100/'Skjema total MA'!I110*K110,0)</f>
        <v>27.955120863313152</v>
      </c>
    </row>
    <row r="111" spans="1:13" ht="15.75" x14ac:dyDescent="0.2">
      <c r="A111" s="13" t="s">
        <v>467</v>
      </c>
      <c r="B111" s="344">
        <f>SUM(B112:B114)</f>
        <v>4095.9879999999998</v>
      </c>
      <c r="C111" s="176">
        <f>SUM(C112:C114)</f>
        <v>13394.628000000001</v>
      </c>
      <c r="D111" s="188">
        <f t="shared" si="23"/>
        <v>227</v>
      </c>
      <c r="E111" s="11">
        <f>IFERROR(100/'Skjema total MA'!C111*C111,0)</f>
        <v>3.0177467940847822</v>
      </c>
      <c r="F111" s="344">
        <f>SUM(F112:F114)</f>
        <v>199519.32399999999</v>
      </c>
      <c r="G111" s="176">
        <f>SUM(G112:G114)</f>
        <v>444797.89199999999</v>
      </c>
      <c r="H111" s="188">
        <f t="shared" si="24"/>
        <v>122.9</v>
      </c>
      <c r="I111" s="11">
        <f>IFERROR(100/'Skjema total MA'!F111*G111,0)</f>
        <v>9.2665280041527573</v>
      </c>
      <c r="J111" s="345">
        <f t="shared" si="33"/>
        <v>203615.31200000001</v>
      </c>
      <c r="K111" s="252">
        <f t="shared" si="33"/>
        <v>458192.52</v>
      </c>
      <c r="L111" s="464">
        <f t="shared" si="26"/>
        <v>125</v>
      </c>
      <c r="M111" s="11">
        <f>IFERROR(100/'Skjema total MA'!I111*K111,0)</f>
        <v>8.737610586679633</v>
      </c>
    </row>
    <row r="112" spans="1:13" x14ac:dyDescent="0.2">
      <c r="A112" s="21" t="s">
        <v>9</v>
      </c>
      <c r="B112" s="250">
        <v>4095.9879999999998</v>
      </c>
      <c r="C112" s="162">
        <v>630.88800000000003</v>
      </c>
      <c r="D112" s="183">
        <f t="shared" ref="D112:D125" si="40">IF(B112=0, "    ---- ", IF(ABS(ROUND(100/B112*C112-100,1))&lt;999,ROUND(100/B112*C112-100,1),IF(ROUND(100/B112*C112-100,1)&gt;999,999,-999)))</f>
        <v>-84.6</v>
      </c>
      <c r="E112" s="27">
        <f>IFERROR(100/'Skjema total MA'!C112*C112,0)</f>
        <v>0.14706589428119057</v>
      </c>
      <c r="F112" s="250">
        <v>0</v>
      </c>
      <c r="G112" s="162">
        <v>244.72200000000001</v>
      </c>
      <c r="H112" s="183" t="str">
        <f t="shared" ref="H112:H125" si="41">IF(F112=0, "    ---- ", IF(ABS(ROUND(100/F112*G112-100,1))&lt;999,ROUND(100/F112*G112-100,1),IF(ROUND(100/F112*G112-100,1)&gt;999,999,-999)))</f>
        <v xml:space="preserve">    ---- </v>
      </c>
      <c r="I112" s="27">
        <f>IFERROR(100/'Skjema total MA'!F112*G112,0)</f>
        <v>100</v>
      </c>
      <c r="J112" s="322">
        <f t="shared" ref="J112:K125" si="42">SUM(B112,F112)</f>
        <v>4095.9879999999998</v>
      </c>
      <c r="K112" s="44">
        <f t="shared" si="42"/>
        <v>875.61</v>
      </c>
      <c r="L112" s="274">
        <f t="shared" ref="L112:L125" si="43">IF(J112=0, "    ---- ", IF(ABS(ROUND(100/J112*K112-100,1))&lt;999,ROUND(100/J112*K112-100,1),IF(ROUND(100/J112*K112-100,1)&gt;999,999,-999)))</f>
        <v>-78.599999999999994</v>
      </c>
      <c r="M112" s="27">
        <f>IFERROR(100/'Skjema total MA'!I112*K112,0)</f>
        <v>0.20399650780875556</v>
      </c>
    </row>
    <row r="113" spans="1:14" x14ac:dyDescent="0.2">
      <c r="A113" s="21" t="s">
        <v>10</v>
      </c>
      <c r="B113" s="250"/>
      <c r="C113" s="162"/>
      <c r="D113" s="183"/>
      <c r="E113" s="27"/>
      <c r="F113" s="250">
        <v>199519.32399999999</v>
      </c>
      <c r="G113" s="162">
        <v>430990.31199999998</v>
      </c>
      <c r="H113" s="183">
        <f t="shared" si="41"/>
        <v>116</v>
      </c>
      <c r="I113" s="27">
        <f>IFERROR(100/'Skjema total MA'!F113*G113,0)</f>
        <v>9.0047757139983187</v>
      </c>
      <c r="J113" s="322">
        <f t="shared" si="42"/>
        <v>199519.32399999999</v>
      </c>
      <c r="K113" s="44">
        <f t="shared" si="42"/>
        <v>430990.31199999998</v>
      </c>
      <c r="L113" s="274">
        <f t="shared" si="43"/>
        <v>116</v>
      </c>
      <c r="M113" s="27">
        <f>IFERROR(100/'Skjema total MA'!I113*K113,0)</f>
        <v>9.0047757139983187</v>
      </c>
    </row>
    <row r="114" spans="1:14" x14ac:dyDescent="0.2">
      <c r="A114" s="21" t="s">
        <v>27</v>
      </c>
      <c r="B114" s="250">
        <v>0</v>
      </c>
      <c r="C114" s="162">
        <v>12763.74</v>
      </c>
      <c r="D114" s="183" t="str">
        <f t="shared" si="40"/>
        <v xml:space="preserve">    ---- </v>
      </c>
      <c r="E114" s="27">
        <f>IFERROR(100/'Skjema total MA'!C114*C114,0)</f>
        <v>85.785447223479238</v>
      </c>
      <c r="F114" s="250">
        <v>0</v>
      </c>
      <c r="G114" s="162">
        <v>13562.858</v>
      </c>
      <c r="H114" s="183" t="str">
        <f t="shared" si="41"/>
        <v xml:space="preserve">    ---- </v>
      </c>
      <c r="I114" s="27">
        <f>IFERROR(100/'Skjema total MA'!F114*G114,0)</f>
        <v>100</v>
      </c>
      <c r="J114" s="322">
        <f t="shared" si="42"/>
        <v>0</v>
      </c>
      <c r="K114" s="44">
        <f t="shared" si="42"/>
        <v>26326.597999999998</v>
      </c>
      <c r="L114" s="274" t="str">
        <f t="shared" si="43"/>
        <v xml:space="preserve">    ---- </v>
      </c>
      <c r="M114" s="27">
        <f>IFERROR(100/'Skjema total MA'!I114*K114,0)</f>
        <v>92.563912511072289</v>
      </c>
    </row>
    <row r="115" spans="1:14" x14ac:dyDescent="0.2">
      <c r="A115" s="729" t="s">
        <v>15</v>
      </c>
      <c r="B115" s="316" t="s">
        <v>458</v>
      </c>
      <c r="C115" s="316" t="s">
        <v>458</v>
      </c>
      <c r="D115" s="183" t="str">
        <f>IF(kvartal=4,IF(B115=0, "    ---- ", IF(ABS(ROUND(100/B115*C115-100,1))&lt;999,ROUND(100/B115*C115-100,1),IF(ROUND(100/B115*C115-100,1)&gt;999,999,-999))),"")</f>
        <v/>
      </c>
      <c r="E115" s="453" t="str">
        <f>IF(kvartal=4,IFERROR(100/'Skjema total MA'!B115*C115,0),"")</f>
        <v/>
      </c>
      <c r="F115" s="316" t="s">
        <v>458</v>
      </c>
      <c r="G115" s="316" t="s">
        <v>458</v>
      </c>
      <c r="H115" s="183" t="str">
        <f>IF(kvartal=4,IF(F115=0, "    ---- ", IF(ABS(ROUND(100/F115*G115-100,1))&lt;999,ROUND(100/F115*G115-100,1),IF(ROUND(100/F115*G115-100,1)&gt;999,999,-999))),"")</f>
        <v/>
      </c>
      <c r="I115" s="453">
        <f>IFERROR(100/'Skjema total MA'!F115*G115,0)</f>
        <v>0</v>
      </c>
      <c r="J115" s="325" t="str">
        <f>IF(kvartal=4,SUM(B115,F115),"")</f>
        <v/>
      </c>
      <c r="K115" s="325" t="str">
        <f>IF(kvartal=4,SUM(C115,G115),"")</f>
        <v/>
      </c>
      <c r="L115" s="183" t="str">
        <f>IF(kvartal=4,IF(J115=0, "    ---- ", IF(ABS(ROUND(100/J115*K115-100,1))&lt;999,ROUND(100/J115*K115-100,1),IF(ROUND(100/J115*K115-100,1)&gt;999,999,-999))),"")</f>
        <v/>
      </c>
      <c r="M115" s="23">
        <f>IFERROR(100/'Skjema total MA'!I115*K115,0)</f>
        <v>0</v>
      </c>
    </row>
    <row r="116" spans="1:14" ht="15.75" x14ac:dyDescent="0.2">
      <c r="A116" s="21" t="s">
        <v>482</v>
      </c>
      <c r="B116" s="250">
        <v>3817.8130000000001</v>
      </c>
      <c r="C116" s="250">
        <v>630.88800000000003</v>
      </c>
      <c r="D116" s="183">
        <f t="shared" si="40"/>
        <v>-83.5</v>
      </c>
      <c r="E116" s="27">
        <f>IFERROR(100/'Skjema total MA'!C116*C116,0)</f>
        <v>1.3614336567964496</v>
      </c>
      <c r="F116" s="250">
        <v>0</v>
      </c>
      <c r="G116" s="250">
        <v>244.72200000000001</v>
      </c>
      <c r="H116" s="183" t="str">
        <f t="shared" si="41"/>
        <v xml:space="preserve">    ---- </v>
      </c>
      <c r="I116" s="27">
        <f>IFERROR(100/'Skjema total MA'!F116*G116,0)</f>
        <v>44.450781587732898</v>
      </c>
      <c r="J116" s="322">
        <f t="shared" si="42"/>
        <v>3817.8130000000001</v>
      </c>
      <c r="K116" s="44">
        <f t="shared" si="42"/>
        <v>875.61</v>
      </c>
      <c r="L116" s="274">
        <f t="shared" si="43"/>
        <v>-77.099999999999994</v>
      </c>
      <c r="M116" s="27">
        <f>IFERROR(100/'Skjema total MA'!I116*K116,0)</f>
        <v>1.8673497405189032</v>
      </c>
    </row>
    <row r="117" spans="1:14" ht="15.75" x14ac:dyDescent="0.2">
      <c r="A117" s="21" t="s">
        <v>483</v>
      </c>
      <c r="B117" s="250"/>
      <c r="C117" s="250"/>
      <c r="D117" s="183"/>
      <c r="E117" s="27"/>
      <c r="F117" s="250">
        <v>0</v>
      </c>
      <c r="G117" s="250">
        <v>157129.55600000001</v>
      </c>
      <c r="H117" s="183" t="str">
        <f t="shared" si="41"/>
        <v xml:space="preserve">    ---- </v>
      </c>
      <c r="I117" s="27">
        <f>IFERROR(100/'Skjema total MA'!F117*G117,0)</f>
        <v>31.526885993451724</v>
      </c>
      <c r="J117" s="322">
        <f t="shared" si="42"/>
        <v>0</v>
      </c>
      <c r="K117" s="44">
        <f t="shared" si="42"/>
        <v>157129.55600000001</v>
      </c>
      <c r="L117" s="274" t="str">
        <f t="shared" si="43"/>
        <v xml:space="preserve">    ---- </v>
      </c>
      <c r="M117" s="27">
        <f>IFERROR(100/'Skjema total MA'!I117*K117,0)</f>
        <v>31.526885993451724</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122700.80499999999</v>
      </c>
      <c r="C119" s="176">
        <f>SUM(C120:C122)</f>
        <v>49800.631000000001</v>
      </c>
      <c r="D119" s="188">
        <f t="shared" si="40"/>
        <v>-59.4</v>
      </c>
      <c r="E119" s="11">
        <f>IFERROR(100/'Skjema total MA'!C119*C119,0)</f>
        <v>29.264153175435457</v>
      </c>
      <c r="F119" s="344">
        <f>SUM(F120:F122)</f>
        <v>2105748.2319999998</v>
      </c>
      <c r="G119" s="176">
        <f>SUM(G120:G122)</f>
        <v>937089.88799999992</v>
      </c>
      <c r="H119" s="188">
        <f t="shared" si="41"/>
        <v>-55.5</v>
      </c>
      <c r="I119" s="11">
        <f>IFERROR(100/'Skjema total MA'!F119*G119,0)</f>
        <v>18.671143043476235</v>
      </c>
      <c r="J119" s="345">
        <f t="shared" si="42"/>
        <v>2228449.037</v>
      </c>
      <c r="K119" s="252">
        <f t="shared" si="42"/>
        <v>986890.51899999997</v>
      </c>
      <c r="L119" s="464">
        <f t="shared" si="43"/>
        <v>-55.7</v>
      </c>
      <c r="M119" s="11">
        <f>IFERROR(100/'Skjema total MA'!I119*K119,0)</f>
        <v>19.018540374863136</v>
      </c>
    </row>
    <row r="120" spans="1:14" x14ac:dyDescent="0.2">
      <c r="A120" s="21" t="s">
        <v>9</v>
      </c>
      <c r="B120" s="250">
        <v>122700.80499999999</v>
      </c>
      <c r="C120" s="162">
        <v>4718.4780000000001</v>
      </c>
      <c r="D120" s="183">
        <f t="shared" si="40"/>
        <v>-96.2</v>
      </c>
      <c r="E120" s="27">
        <f>IFERROR(100/'Skjema total MA'!C120*C120,0)</f>
        <v>4.0871586504687416</v>
      </c>
      <c r="F120" s="250"/>
      <c r="G120" s="162"/>
      <c r="H120" s="183"/>
      <c r="I120" s="27"/>
      <c r="J120" s="322">
        <f t="shared" si="42"/>
        <v>122700.80499999999</v>
      </c>
      <c r="K120" s="44">
        <f t="shared" si="42"/>
        <v>4718.4780000000001</v>
      </c>
      <c r="L120" s="274">
        <f t="shared" si="43"/>
        <v>-96.2</v>
      </c>
      <c r="M120" s="27">
        <f>IFERROR(100/'Skjema total MA'!I120*K120,0)</f>
        <v>4.0871586504687416</v>
      </c>
    </row>
    <row r="121" spans="1:14" x14ac:dyDescent="0.2">
      <c r="A121" s="21" t="s">
        <v>10</v>
      </c>
      <c r="B121" s="250"/>
      <c r="C121" s="162"/>
      <c r="D121" s="183"/>
      <c r="E121" s="27"/>
      <c r="F121" s="250">
        <v>2105748.2319999998</v>
      </c>
      <c r="G121" s="162">
        <v>937238.01899999997</v>
      </c>
      <c r="H121" s="183">
        <f t="shared" si="41"/>
        <v>-55.5</v>
      </c>
      <c r="I121" s="27">
        <f>IFERROR(100/'Skjema total MA'!F121*G121,0)</f>
        <v>18.673543354170477</v>
      </c>
      <c r="J121" s="322">
        <f t="shared" si="42"/>
        <v>2105748.2319999998</v>
      </c>
      <c r="K121" s="44">
        <f t="shared" si="42"/>
        <v>937238.01899999997</v>
      </c>
      <c r="L121" s="274">
        <f t="shared" si="43"/>
        <v>-55.5</v>
      </c>
      <c r="M121" s="27">
        <f>IFERROR(100/'Skjema total MA'!I121*K121,0)</f>
        <v>18.646050409281195</v>
      </c>
    </row>
    <row r="122" spans="1:14" x14ac:dyDescent="0.2">
      <c r="A122" s="21" t="s">
        <v>27</v>
      </c>
      <c r="B122" s="250">
        <v>0</v>
      </c>
      <c r="C122" s="162">
        <v>45082.152999999998</v>
      </c>
      <c r="D122" s="183" t="str">
        <f t="shared" si="40"/>
        <v xml:space="preserve">    ---- </v>
      </c>
      <c r="E122" s="27">
        <f>IFERROR(100/'Skjema total MA'!C122*C122,0)</f>
        <v>95.251956156566266</v>
      </c>
      <c r="F122" s="250">
        <v>0</v>
      </c>
      <c r="G122" s="162">
        <v>-148.131</v>
      </c>
      <c r="H122" s="183" t="str">
        <f t="shared" si="41"/>
        <v xml:space="preserve">    ---- </v>
      </c>
      <c r="I122" s="27">
        <f>IFERROR(100/'Skjema total MA'!F122*G122,0)</f>
        <v>100</v>
      </c>
      <c r="J122" s="322">
        <f t="shared" si="42"/>
        <v>0</v>
      </c>
      <c r="K122" s="44">
        <f t="shared" si="42"/>
        <v>44934.021999999997</v>
      </c>
      <c r="L122" s="274" t="str">
        <f t="shared" si="43"/>
        <v xml:space="preserve">    ---- </v>
      </c>
      <c r="M122" s="27">
        <f>IFERROR(100/'Skjema total MA'!I122*K122,0)</f>
        <v>95.237049120158431</v>
      </c>
    </row>
    <row r="123" spans="1:14" x14ac:dyDescent="0.2">
      <c r="A123" s="729" t="s">
        <v>14</v>
      </c>
      <c r="B123" s="316" t="s">
        <v>458</v>
      </c>
      <c r="C123" s="316" t="s">
        <v>458</v>
      </c>
      <c r="D123" s="183" t="str">
        <f>IF(kvartal=4,IF(B123=0, "    ---- ", IF(ABS(ROUND(100/B123*C123-100,1))&lt;999,ROUND(100/B123*C123-100,1),IF(ROUND(100/B123*C123-100,1)&gt;999,999,-999))),"")</f>
        <v/>
      </c>
      <c r="E123" s="453" t="str">
        <f>IF(kvartal=4,IFERROR(100/'Skjema total MA'!B123*C123,0),"")</f>
        <v/>
      </c>
      <c r="F123" s="316" t="s">
        <v>458</v>
      </c>
      <c r="G123" s="316" t="s">
        <v>458</v>
      </c>
      <c r="H123" s="183" t="str">
        <f>IF(kvartal=4,IF(F123=0, "    ---- ", IF(ABS(ROUND(100/F123*G123-100,1))&lt;999,ROUND(100/F123*G123-100,1),IF(ROUND(100/F123*G123-100,1)&gt;999,999,-999))),"")</f>
        <v/>
      </c>
      <c r="I123" s="453"/>
      <c r="J123" s="325" t="str">
        <f>IF(kvartal=4,SUM(B123,F123),"")</f>
        <v/>
      </c>
      <c r="K123" s="325" t="str">
        <f>IF(kvartal=4,SUM(C123,G123),"")</f>
        <v/>
      </c>
      <c r="L123" s="183" t="str">
        <f>IF(kvartal=4,IF(J123=0, "    ---- ", IF(ABS(ROUND(100/J123*K123-100,1))&lt;999,ROUND(100/J123*K123-100,1),IF(ROUND(100/J123*K123-100,1)&gt;999,999,-999))),"")</f>
        <v/>
      </c>
      <c r="M123" s="23"/>
    </row>
    <row r="124" spans="1:14" ht="15.75" x14ac:dyDescent="0.2">
      <c r="A124" s="21" t="s">
        <v>482</v>
      </c>
      <c r="B124" s="250">
        <v>2487.703</v>
      </c>
      <c r="C124" s="250">
        <v>1779.0139999999999</v>
      </c>
      <c r="D124" s="183">
        <f t="shared" si="40"/>
        <v>-28.5</v>
      </c>
      <c r="E124" s="27">
        <f>IFERROR(100/'Skjema total MA'!C124*C124,0)</f>
        <v>5.2830470403676841</v>
      </c>
      <c r="F124" s="250">
        <v>5057.1930000000002</v>
      </c>
      <c r="G124" s="250">
        <v>1215.2840000000001</v>
      </c>
      <c r="H124" s="183">
        <f t="shared" si="41"/>
        <v>-76</v>
      </c>
      <c r="I124" s="27">
        <f>IFERROR(100/'Skjema total MA'!F124*G124,0)</f>
        <v>99.646685410624684</v>
      </c>
      <c r="J124" s="322">
        <f t="shared" si="42"/>
        <v>7544.8960000000006</v>
      </c>
      <c r="K124" s="44">
        <f t="shared" si="42"/>
        <v>2994.2979999999998</v>
      </c>
      <c r="L124" s="274">
        <f t="shared" si="43"/>
        <v>-60.3</v>
      </c>
      <c r="M124" s="27">
        <f>IFERROR(100/'Skjema total MA'!I124*K124,0)</f>
        <v>8.5812223425339766</v>
      </c>
    </row>
    <row r="125" spans="1:14" ht="15.75" x14ac:dyDescent="0.2">
      <c r="A125" s="21" t="s">
        <v>483</v>
      </c>
      <c r="B125" s="250">
        <v>0.58599999999999997</v>
      </c>
      <c r="C125" s="250">
        <v>2.29</v>
      </c>
      <c r="D125" s="183">
        <f t="shared" si="40"/>
        <v>290.8</v>
      </c>
      <c r="E125" s="27">
        <f>IFERROR(100/'Skjema total MA'!C125*C125,0)</f>
        <v>0.34885795407484604</v>
      </c>
      <c r="F125" s="250">
        <v>184924.52900000001</v>
      </c>
      <c r="G125" s="250">
        <v>121227.90399999999</v>
      </c>
      <c r="H125" s="183">
        <f t="shared" si="41"/>
        <v>-34.4</v>
      </c>
      <c r="I125" s="27">
        <f>IFERROR(100/'Skjema total MA'!F125*G125,0)</f>
        <v>32.771710667954267</v>
      </c>
      <c r="J125" s="322">
        <f t="shared" si="42"/>
        <v>184925.11500000002</v>
      </c>
      <c r="K125" s="44">
        <f t="shared" si="42"/>
        <v>121230.19399999999</v>
      </c>
      <c r="L125" s="274">
        <f t="shared" si="43"/>
        <v>-34.4</v>
      </c>
      <c r="M125" s="27">
        <f>IFERROR(100/'Skjema total MA'!I125*K125,0)</f>
        <v>32.714277257457539</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v>74027.557000000001</v>
      </c>
      <c r="C134" s="345">
        <v>74204.375</v>
      </c>
      <c r="D134" s="384">
        <f t="shared" ref="D134:D137" si="44">IF(B134=0, "    ---- ", IF(ABS(ROUND(100/B134*C134-100,1))&lt;999,ROUND(100/B134*C134-100,1),IF(ROUND(100/B134*C134-100,1)&gt;999,999,-999)))</f>
        <v>0.2</v>
      </c>
      <c r="E134" s="11">
        <f>IFERROR(100/'Skjema total MA'!C134*C134,0)</f>
        <v>1.0457435054045014</v>
      </c>
      <c r="F134" s="352"/>
      <c r="G134" s="353"/>
      <c r="H134" s="467"/>
      <c r="I134" s="24"/>
      <c r="J134" s="354">
        <f t="shared" ref="J134:K137" si="45">SUM(B134,F134)</f>
        <v>74027.557000000001</v>
      </c>
      <c r="K134" s="354">
        <f t="shared" si="45"/>
        <v>74204.375</v>
      </c>
      <c r="L134" s="463">
        <f t="shared" ref="L134:L137" si="46">IF(J134=0, "    ---- ", IF(ABS(ROUND(100/J134*K134-100,1))&lt;999,ROUND(100/J134*K134-100,1),IF(ROUND(100/J134*K134-100,1)&gt;999,999,-999)))</f>
        <v>0.2</v>
      </c>
      <c r="M134" s="11">
        <f>IFERROR(100/'Skjema total MA'!I134*K134,0)</f>
        <v>1.0426759832742802</v>
      </c>
      <c r="N134" s="165"/>
      <c r="O134" s="165"/>
    </row>
    <row r="135" spans="1:15" s="3" customFormat="1" ht="15.75" x14ac:dyDescent="0.2">
      <c r="A135" s="13" t="s">
        <v>486</v>
      </c>
      <c r="B135" s="252">
        <v>2719768.0649999999</v>
      </c>
      <c r="C135" s="345">
        <v>2805924.5660000001</v>
      </c>
      <c r="D135" s="188">
        <f t="shared" si="44"/>
        <v>3.2</v>
      </c>
      <c r="E135" s="11">
        <f>IFERROR(100/'Skjema total MA'!C135*C135,0)</f>
        <v>0.53467552731062107</v>
      </c>
      <c r="F135" s="252"/>
      <c r="G135" s="345"/>
      <c r="H135" s="468"/>
      <c r="I135" s="24"/>
      <c r="J135" s="344">
        <f t="shared" si="45"/>
        <v>2719768.0649999999</v>
      </c>
      <c r="K135" s="344">
        <f t="shared" si="45"/>
        <v>2805924.5660000001</v>
      </c>
      <c r="L135" s="464">
        <f t="shared" si="46"/>
        <v>3.2</v>
      </c>
      <c r="M135" s="11">
        <f>IFERROR(100/'Skjema total MA'!I135*K135,0)</f>
        <v>0.5322969998524526</v>
      </c>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v>132963.541</v>
      </c>
      <c r="C137" s="351">
        <v>0</v>
      </c>
      <c r="D137" s="186">
        <f t="shared" si="44"/>
        <v>-100</v>
      </c>
      <c r="E137" s="9">
        <f>IFERROR(100/'Skjema total MA'!C137*C137,0)</f>
        <v>0</v>
      </c>
      <c r="F137" s="311"/>
      <c r="G137" s="351"/>
      <c r="H137" s="469"/>
      <c r="I137" s="36"/>
      <c r="J137" s="350">
        <f t="shared" si="45"/>
        <v>132963.541</v>
      </c>
      <c r="K137" s="350">
        <f t="shared" si="45"/>
        <v>0</v>
      </c>
      <c r="L137" s="465">
        <f t="shared" si="46"/>
        <v>-100</v>
      </c>
      <c r="M137" s="36">
        <f>IFERROR(100/'Skjema total MA'!I137*K137,0)</f>
        <v>0</v>
      </c>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01" priority="138">
      <formula>kvartal &lt; 4</formula>
    </cfRule>
  </conditionalFormatting>
  <conditionalFormatting sqref="B69">
    <cfRule type="expression" dxfId="200" priority="106">
      <formula>kvartal &lt; 4</formula>
    </cfRule>
  </conditionalFormatting>
  <conditionalFormatting sqref="C69">
    <cfRule type="expression" dxfId="199" priority="105">
      <formula>kvartal &lt; 4</formula>
    </cfRule>
  </conditionalFormatting>
  <conditionalFormatting sqref="B72">
    <cfRule type="expression" dxfId="198" priority="104">
      <formula>kvartal &lt; 4</formula>
    </cfRule>
  </conditionalFormatting>
  <conditionalFormatting sqref="C72">
    <cfRule type="expression" dxfId="197" priority="103">
      <formula>kvartal &lt; 4</formula>
    </cfRule>
  </conditionalFormatting>
  <conditionalFormatting sqref="B80">
    <cfRule type="expression" dxfId="196" priority="102">
      <formula>kvartal &lt; 4</formula>
    </cfRule>
  </conditionalFormatting>
  <conditionalFormatting sqref="C80">
    <cfRule type="expression" dxfId="195" priority="101">
      <formula>kvartal &lt; 4</formula>
    </cfRule>
  </conditionalFormatting>
  <conditionalFormatting sqref="B83">
    <cfRule type="expression" dxfId="194" priority="100">
      <formula>kvartal &lt; 4</formula>
    </cfRule>
  </conditionalFormatting>
  <conditionalFormatting sqref="C83">
    <cfRule type="expression" dxfId="193" priority="99">
      <formula>kvartal &lt; 4</formula>
    </cfRule>
  </conditionalFormatting>
  <conditionalFormatting sqref="B90">
    <cfRule type="expression" dxfId="192" priority="90">
      <formula>kvartal &lt; 4</formula>
    </cfRule>
  </conditionalFormatting>
  <conditionalFormatting sqref="C90">
    <cfRule type="expression" dxfId="191" priority="89">
      <formula>kvartal &lt; 4</formula>
    </cfRule>
  </conditionalFormatting>
  <conditionalFormatting sqref="B93">
    <cfRule type="expression" dxfId="190" priority="88">
      <formula>kvartal &lt; 4</formula>
    </cfRule>
  </conditionalFormatting>
  <conditionalFormatting sqref="C93">
    <cfRule type="expression" dxfId="189" priority="87">
      <formula>kvartal &lt; 4</formula>
    </cfRule>
  </conditionalFormatting>
  <conditionalFormatting sqref="B101">
    <cfRule type="expression" dxfId="188" priority="86">
      <formula>kvartal &lt; 4</formula>
    </cfRule>
  </conditionalFormatting>
  <conditionalFormatting sqref="C101">
    <cfRule type="expression" dxfId="187" priority="85">
      <formula>kvartal &lt; 4</formula>
    </cfRule>
  </conditionalFormatting>
  <conditionalFormatting sqref="B104">
    <cfRule type="expression" dxfId="186" priority="84">
      <formula>kvartal &lt; 4</formula>
    </cfRule>
  </conditionalFormatting>
  <conditionalFormatting sqref="C104">
    <cfRule type="expression" dxfId="185" priority="83">
      <formula>kvartal &lt; 4</formula>
    </cfRule>
  </conditionalFormatting>
  <conditionalFormatting sqref="B115">
    <cfRule type="expression" dxfId="184" priority="82">
      <formula>kvartal &lt; 4</formula>
    </cfRule>
  </conditionalFormatting>
  <conditionalFormatting sqref="C115">
    <cfRule type="expression" dxfId="183" priority="81">
      <formula>kvartal &lt; 4</formula>
    </cfRule>
  </conditionalFormatting>
  <conditionalFormatting sqref="B123">
    <cfRule type="expression" dxfId="182" priority="80">
      <formula>kvartal &lt; 4</formula>
    </cfRule>
  </conditionalFormatting>
  <conditionalFormatting sqref="C123">
    <cfRule type="expression" dxfId="181" priority="79">
      <formula>kvartal &lt; 4</formula>
    </cfRule>
  </conditionalFormatting>
  <conditionalFormatting sqref="F70">
    <cfRule type="expression" dxfId="180" priority="78">
      <formula>kvartal &lt; 4</formula>
    </cfRule>
  </conditionalFormatting>
  <conditionalFormatting sqref="G70">
    <cfRule type="expression" dxfId="179" priority="77">
      <formula>kvartal &lt; 4</formula>
    </cfRule>
  </conditionalFormatting>
  <conditionalFormatting sqref="F71:G71">
    <cfRule type="expression" dxfId="178" priority="76">
      <formula>kvartal &lt; 4</formula>
    </cfRule>
  </conditionalFormatting>
  <conditionalFormatting sqref="F73:G74">
    <cfRule type="expression" dxfId="177" priority="75">
      <formula>kvartal &lt; 4</formula>
    </cfRule>
  </conditionalFormatting>
  <conditionalFormatting sqref="F81:G82">
    <cfRule type="expression" dxfId="176" priority="74">
      <formula>kvartal &lt; 4</formula>
    </cfRule>
  </conditionalFormatting>
  <conditionalFormatting sqref="F84:G85">
    <cfRule type="expression" dxfId="175" priority="73">
      <formula>kvartal &lt; 4</formula>
    </cfRule>
  </conditionalFormatting>
  <conditionalFormatting sqref="F91:G92">
    <cfRule type="expression" dxfId="174" priority="68">
      <formula>kvartal &lt; 4</formula>
    </cfRule>
  </conditionalFormatting>
  <conditionalFormatting sqref="F94:G95">
    <cfRule type="expression" dxfId="173" priority="67">
      <formula>kvartal &lt; 4</formula>
    </cfRule>
  </conditionalFormatting>
  <conditionalFormatting sqref="F102:G103">
    <cfRule type="expression" dxfId="172" priority="66">
      <formula>kvartal &lt; 4</formula>
    </cfRule>
  </conditionalFormatting>
  <conditionalFormatting sqref="F105:G106">
    <cfRule type="expression" dxfId="171" priority="65">
      <formula>kvartal &lt; 4</formula>
    </cfRule>
  </conditionalFormatting>
  <conditionalFormatting sqref="F115">
    <cfRule type="expression" dxfId="170" priority="64">
      <formula>kvartal &lt; 4</formula>
    </cfRule>
  </conditionalFormatting>
  <conditionalFormatting sqref="G115">
    <cfRule type="expression" dxfId="169" priority="63">
      <formula>kvartal &lt; 4</formula>
    </cfRule>
  </conditionalFormatting>
  <conditionalFormatting sqref="F123:G123">
    <cfRule type="expression" dxfId="168" priority="62">
      <formula>kvartal &lt; 4</formula>
    </cfRule>
  </conditionalFormatting>
  <conditionalFormatting sqref="F69:G69">
    <cfRule type="expression" dxfId="167" priority="61">
      <formula>kvartal &lt; 4</formula>
    </cfRule>
  </conditionalFormatting>
  <conditionalFormatting sqref="F72:G72">
    <cfRule type="expression" dxfId="166" priority="60">
      <formula>kvartal &lt; 4</formula>
    </cfRule>
  </conditionalFormatting>
  <conditionalFormatting sqref="F80:G80">
    <cfRule type="expression" dxfId="165" priority="59">
      <formula>kvartal &lt; 4</formula>
    </cfRule>
  </conditionalFormatting>
  <conditionalFormatting sqref="F83:G83">
    <cfRule type="expression" dxfId="164" priority="58">
      <formula>kvartal &lt; 4</formula>
    </cfRule>
  </conditionalFormatting>
  <conditionalFormatting sqref="F90:G90">
    <cfRule type="expression" dxfId="163" priority="52">
      <formula>kvartal &lt; 4</formula>
    </cfRule>
  </conditionalFormatting>
  <conditionalFormatting sqref="F93">
    <cfRule type="expression" dxfId="162" priority="51">
      <formula>kvartal &lt; 4</formula>
    </cfRule>
  </conditionalFormatting>
  <conditionalFormatting sqref="G93">
    <cfRule type="expression" dxfId="161" priority="50">
      <formula>kvartal &lt; 4</formula>
    </cfRule>
  </conditionalFormatting>
  <conditionalFormatting sqref="F101">
    <cfRule type="expression" dxfId="160" priority="49">
      <formula>kvartal &lt; 4</formula>
    </cfRule>
  </conditionalFormatting>
  <conditionalFormatting sqref="G101">
    <cfRule type="expression" dxfId="159" priority="48">
      <formula>kvartal &lt; 4</formula>
    </cfRule>
  </conditionalFormatting>
  <conditionalFormatting sqref="G104">
    <cfRule type="expression" dxfId="158" priority="47">
      <formula>kvartal &lt; 4</formula>
    </cfRule>
  </conditionalFormatting>
  <conditionalFormatting sqref="F104">
    <cfRule type="expression" dxfId="157" priority="46">
      <formula>kvartal &lt; 4</formula>
    </cfRule>
  </conditionalFormatting>
  <conditionalFormatting sqref="J69:K73">
    <cfRule type="expression" dxfId="156" priority="45">
      <formula>kvartal &lt; 4</formula>
    </cfRule>
  </conditionalFormatting>
  <conditionalFormatting sqref="J74:K74">
    <cfRule type="expression" dxfId="155" priority="44">
      <formula>kvartal &lt; 4</formula>
    </cfRule>
  </conditionalFormatting>
  <conditionalFormatting sqref="J80:K85">
    <cfRule type="expression" dxfId="154" priority="43">
      <formula>kvartal &lt; 4</formula>
    </cfRule>
  </conditionalFormatting>
  <conditionalFormatting sqref="J90:K95">
    <cfRule type="expression" dxfId="153" priority="40">
      <formula>kvartal &lt; 4</formula>
    </cfRule>
  </conditionalFormatting>
  <conditionalFormatting sqref="J101:K106">
    <cfRule type="expression" dxfId="152" priority="39">
      <formula>kvartal &lt; 4</formula>
    </cfRule>
  </conditionalFormatting>
  <conditionalFormatting sqref="J115:K115">
    <cfRule type="expression" dxfId="151" priority="38">
      <formula>kvartal &lt; 4</formula>
    </cfRule>
  </conditionalFormatting>
  <conditionalFormatting sqref="J123:K123">
    <cfRule type="expression" dxfId="150" priority="37">
      <formula>kvartal &lt; 4</formula>
    </cfRule>
  </conditionalFormatting>
  <conditionalFormatting sqref="A50:A52">
    <cfRule type="expression" dxfId="149" priority="18">
      <formula>kvartal &lt; 4</formula>
    </cfRule>
  </conditionalFormatting>
  <conditionalFormatting sqref="A69:A74">
    <cfRule type="expression" dxfId="148" priority="6">
      <formula>kvartal &lt; 4</formula>
    </cfRule>
  </conditionalFormatting>
  <conditionalFormatting sqref="A115">
    <cfRule type="expression" dxfId="147" priority="5">
      <formula>kvartal &lt; 4</formula>
    </cfRule>
  </conditionalFormatting>
  <conditionalFormatting sqref="A123">
    <cfRule type="expression" dxfId="146" priority="4">
      <formula>kvartal &lt; 4</formula>
    </cfRule>
  </conditionalFormatting>
  <conditionalFormatting sqref="A80:A85">
    <cfRule type="expression" dxfId="145" priority="3">
      <formula>kvartal &lt; 4</formula>
    </cfRule>
  </conditionalFormatting>
  <conditionalFormatting sqref="A90:A95">
    <cfRule type="expression" dxfId="144" priority="2">
      <formula>kvartal &lt; 4</formula>
    </cfRule>
  </conditionalFormatting>
  <conditionalFormatting sqref="A101:A106">
    <cfRule type="expression" dxfId="143" priority="1">
      <formula>kvartal &lt; 4</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184</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188"/>
      <c r="E38" s="24"/>
      <c r="F38" s="355"/>
      <c r="G38" s="356"/>
      <c r="H38" s="188"/>
      <c r="I38" s="470"/>
      <c r="J38" s="252"/>
      <c r="K38" s="252"/>
      <c r="L38" s="464"/>
      <c r="M38" s="24"/>
    </row>
    <row r="39" spans="1:15" ht="15.75" x14ac:dyDescent="0.2">
      <c r="A39" s="18" t="s">
        <v>475</v>
      </c>
      <c r="B39" s="311"/>
      <c r="C39" s="351"/>
      <c r="D39" s="186"/>
      <c r="E39" s="36"/>
      <c r="F39" s="358"/>
      <c r="G39" s="359"/>
      <c r="H39" s="186"/>
      <c r="I39" s="36"/>
      <c r="J39" s="252"/>
      <c r="K39" s="252"/>
      <c r="L39" s="464"/>
      <c r="M39" s="36"/>
    </row>
    <row r="40" spans="1:15" ht="15.75" x14ac:dyDescent="0.25">
      <c r="A40" s="47"/>
      <c r="B40" s="273"/>
      <c r="C40" s="273"/>
      <c r="D40" s="757"/>
      <c r="E40" s="757"/>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c r="C47" s="347"/>
      <c r="D47" s="463"/>
      <c r="E47" s="11"/>
      <c r="F47" s="162"/>
      <c r="G47" s="33"/>
      <c r="H47" s="176"/>
      <c r="I47" s="176"/>
      <c r="J47" s="37"/>
      <c r="K47" s="37"/>
      <c r="L47" s="176"/>
      <c r="M47" s="176"/>
      <c r="N47" s="165"/>
      <c r="O47" s="165"/>
    </row>
    <row r="48" spans="1:15" s="3" customFormat="1" ht="15.75" x14ac:dyDescent="0.2">
      <c r="A48" s="38" t="s">
        <v>476</v>
      </c>
      <c r="B48" s="316"/>
      <c r="C48" s="317"/>
      <c r="D48" s="274"/>
      <c r="E48" s="27"/>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c r="C51" s="326"/>
      <c r="D51" s="274"/>
      <c r="E51" s="23"/>
      <c r="F51" s="162"/>
      <c r="G51" s="33"/>
      <c r="H51" s="162"/>
      <c r="I51" s="162"/>
      <c r="J51" s="33"/>
      <c r="K51" s="33"/>
      <c r="L51" s="176"/>
      <c r="M51" s="176"/>
      <c r="N51" s="165"/>
      <c r="O51" s="165"/>
    </row>
    <row r="52" spans="1:15" s="3" customFormat="1" x14ac:dyDescent="0.2">
      <c r="A52" s="331" t="s">
        <v>8</v>
      </c>
      <c r="B52" s="325"/>
      <c r="C52" s="326"/>
      <c r="D52" s="274"/>
      <c r="E52" s="23"/>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2" priority="138">
      <formula>kvartal &lt; 4</formula>
    </cfRule>
  </conditionalFormatting>
  <conditionalFormatting sqref="B69">
    <cfRule type="expression" dxfId="141" priority="106">
      <formula>kvartal &lt; 4</formula>
    </cfRule>
  </conditionalFormatting>
  <conditionalFormatting sqref="C69">
    <cfRule type="expression" dxfId="140" priority="105">
      <formula>kvartal &lt; 4</formula>
    </cfRule>
  </conditionalFormatting>
  <conditionalFormatting sqref="B72">
    <cfRule type="expression" dxfId="139" priority="104">
      <formula>kvartal &lt; 4</formula>
    </cfRule>
  </conditionalFormatting>
  <conditionalFormatting sqref="C72">
    <cfRule type="expression" dxfId="138" priority="103">
      <formula>kvartal &lt; 4</formula>
    </cfRule>
  </conditionalFormatting>
  <conditionalFormatting sqref="B80">
    <cfRule type="expression" dxfId="137" priority="102">
      <formula>kvartal &lt; 4</formula>
    </cfRule>
  </conditionalFormatting>
  <conditionalFormatting sqref="C80">
    <cfRule type="expression" dxfId="136" priority="101">
      <formula>kvartal &lt; 4</formula>
    </cfRule>
  </conditionalFormatting>
  <conditionalFormatting sqref="B83">
    <cfRule type="expression" dxfId="135" priority="100">
      <formula>kvartal &lt; 4</formula>
    </cfRule>
  </conditionalFormatting>
  <conditionalFormatting sqref="C83">
    <cfRule type="expression" dxfId="134" priority="99">
      <formula>kvartal &lt; 4</formula>
    </cfRule>
  </conditionalFormatting>
  <conditionalFormatting sqref="B90">
    <cfRule type="expression" dxfId="133" priority="90">
      <formula>kvartal &lt; 4</formula>
    </cfRule>
  </conditionalFormatting>
  <conditionalFormatting sqref="C90">
    <cfRule type="expression" dxfId="132" priority="89">
      <formula>kvartal &lt; 4</formula>
    </cfRule>
  </conditionalFormatting>
  <conditionalFormatting sqref="B93">
    <cfRule type="expression" dxfId="131" priority="88">
      <formula>kvartal &lt; 4</formula>
    </cfRule>
  </conditionalFormatting>
  <conditionalFormatting sqref="C93">
    <cfRule type="expression" dxfId="130" priority="87">
      <formula>kvartal &lt; 4</formula>
    </cfRule>
  </conditionalFormatting>
  <conditionalFormatting sqref="B101">
    <cfRule type="expression" dxfId="129" priority="86">
      <formula>kvartal &lt; 4</formula>
    </cfRule>
  </conditionalFormatting>
  <conditionalFormatting sqref="C101">
    <cfRule type="expression" dxfId="128" priority="85">
      <formula>kvartal &lt; 4</formula>
    </cfRule>
  </conditionalFormatting>
  <conditionalFormatting sqref="B104">
    <cfRule type="expression" dxfId="127" priority="84">
      <formula>kvartal &lt; 4</formula>
    </cfRule>
  </conditionalFormatting>
  <conditionalFormatting sqref="C104">
    <cfRule type="expression" dxfId="126" priority="83">
      <formula>kvartal &lt; 4</formula>
    </cfRule>
  </conditionalFormatting>
  <conditionalFormatting sqref="B115">
    <cfRule type="expression" dxfId="125" priority="82">
      <formula>kvartal &lt; 4</formula>
    </cfRule>
  </conditionalFormatting>
  <conditionalFormatting sqref="C115">
    <cfRule type="expression" dxfId="124" priority="81">
      <formula>kvartal &lt; 4</formula>
    </cfRule>
  </conditionalFormatting>
  <conditionalFormatting sqref="B123">
    <cfRule type="expression" dxfId="123" priority="80">
      <formula>kvartal &lt; 4</formula>
    </cfRule>
  </conditionalFormatting>
  <conditionalFormatting sqref="C123">
    <cfRule type="expression" dxfId="122" priority="79">
      <formula>kvartal &lt; 4</formula>
    </cfRule>
  </conditionalFormatting>
  <conditionalFormatting sqref="F70">
    <cfRule type="expression" dxfId="121" priority="78">
      <formula>kvartal &lt; 4</formula>
    </cfRule>
  </conditionalFormatting>
  <conditionalFormatting sqref="G70">
    <cfRule type="expression" dxfId="120" priority="77">
      <formula>kvartal &lt; 4</formula>
    </cfRule>
  </conditionalFormatting>
  <conditionalFormatting sqref="F71:G71">
    <cfRule type="expression" dxfId="119" priority="76">
      <formula>kvartal &lt; 4</formula>
    </cfRule>
  </conditionalFormatting>
  <conditionalFormatting sqref="F73:G74">
    <cfRule type="expression" dxfId="118" priority="75">
      <formula>kvartal &lt; 4</formula>
    </cfRule>
  </conditionalFormatting>
  <conditionalFormatting sqref="F81:G82">
    <cfRule type="expression" dxfId="117" priority="74">
      <formula>kvartal &lt; 4</formula>
    </cfRule>
  </conditionalFormatting>
  <conditionalFormatting sqref="F84:G85">
    <cfRule type="expression" dxfId="116" priority="73">
      <formula>kvartal &lt; 4</formula>
    </cfRule>
  </conditionalFormatting>
  <conditionalFormatting sqref="F91:G92">
    <cfRule type="expression" dxfId="115" priority="68">
      <formula>kvartal &lt; 4</formula>
    </cfRule>
  </conditionalFormatting>
  <conditionalFormatting sqref="F94:G95">
    <cfRule type="expression" dxfId="114" priority="67">
      <formula>kvartal &lt; 4</formula>
    </cfRule>
  </conditionalFormatting>
  <conditionalFormatting sqref="F102:G103">
    <cfRule type="expression" dxfId="113" priority="66">
      <formula>kvartal &lt; 4</formula>
    </cfRule>
  </conditionalFormatting>
  <conditionalFormatting sqref="F105:G106">
    <cfRule type="expression" dxfId="112" priority="65">
      <formula>kvartal &lt; 4</formula>
    </cfRule>
  </conditionalFormatting>
  <conditionalFormatting sqref="F115">
    <cfRule type="expression" dxfId="111" priority="64">
      <formula>kvartal &lt; 4</formula>
    </cfRule>
  </conditionalFormatting>
  <conditionalFormatting sqref="G115">
    <cfRule type="expression" dxfId="110" priority="63">
      <formula>kvartal &lt; 4</formula>
    </cfRule>
  </conditionalFormatting>
  <conditionalFormatting sqref="F123:G123">
    <cfRule type="expression" dxfId="109" priority="62">
      <formula>kvartal &lt; 4</formula>
    </cfRule>
  </conditionalFormatting>
  <conditionalFormatting sqref="F69:G69">
    <cfRule type="expression" dxfId="108" priority="61">
      <formula>kvartal &lt; 4</formula>
    </cfRule>
  </conditionalFormatting>
  <conditionalFormatting sqref="F72:G72">
    <cfRule type="expression" dxfId="107" priority="60">
      <formula>kvartal &lt; 4</formula>
    </cfRule>
  </conditionalFormatting>
  <conditionalFormatting sqref="F80:G80">
    <cfRule type="expression" dxfId="106" priority="59">
      <formula>kvartal &lt; 4</formula>
    </cfRule>
  </conditionalFormatting>
  <conditionalFormatting sqref="F83:G83">
    <cfRule type="expression" dxfId="105" priority="58">
      <formula>kvartal &lt; 4</formula>
    </cfRule>
  </conditionalFormatting>
  <conditionalFormatting sqref="F90:G90">
    <cfRule type="expression" dxfId="104" priority="52">
      <formula>kvartal &lt; 4</formula>
    </cfRule>
  </conditionalFormatting>
  <conditionalFormatting sqref="F93">
    <cfRule type="expression" dxfId="103" priority="51">
      <formula>kvartal &lt; 4</formula>
    </cfRule>
  </conditionalFormatting>
  <conditionalFormatting sqref="G93">
    <cfRule type="expression" dxfId="102" priority="50">
      <formula>kvartal &lt; 4</formula>
    </cfRule>
  </conditionalFormatting>
  <conditionalFormatting sqref="F101">
    <cfRule type="expression" dxfId="101" priority="49">
      <formula>kvartal &lt; 4</formula>
    </cfRule>
  </conditionalFormatting>
  <conditionalFormatting sqref="G101">
    <cfRule type="expression" dxfId="100" priority="48">
      <formula>kvartal &lt; 4</formula>
    </cfRule>
  </conditionalFormatting>
  <conditionalFormatting sqref="G104">
    <cfRule type="expression" dxfId="99" priority="47">
      <formula>kvartal &lt; 4</formula>
    </cfRule>
  </conditionalFormatting>
  <conditionalFormatting sqref="F104">
    <cfRule type="expression" dxfId="98" priority="46">
      <formula>kvartal &lt; 4</formula>
    </cfRule>
  </conditionalFormatting>
  <conditionalFormatting sqref="J69:K73">
    <cfRule type="expression" dxfId="97" priority="45">
      <formula>kvartal &lt; 4</formula>
    </cfRule>
  </conditionalFormatting>
  <conditionalFormatting sqref="J74:K74">
    <cfRule type="expression" dxfId="96" priority="44">
      <formula>kvartal &lt; 4</formula>
    </cfRule>
  </conditionalFormatting>
  <conditionalFormatting sqref="J80:K85">
    <cfRule type="expression" dxfId="95" priority="43">
      <formula>kvartal &lt; 4</formula>
    </cfRule>
  </conditionalFormatting>
  <conditionalFormatting sqref="J90:K95">
    <cfRule type="expression" dxfId="94" priority="40">
      <formula>kvartal &lt; 4</formula>
    </cfRule>
  </conditionalFormatting>
  <conditionalFormatting sqref="J101:K106">
    <cfRule type="expression" dxfId="93" priority="39">
      <formula>kvartal &lt; 4</formula>
    </cfRule>
  </conditionalFormatting>
  <conditionalFormatting sqref="J115:K115">
    <cfRule type="expression" dxfId="92" priority="38">
      <formula>kvartal &lt; 4</formula>
    </cfRule>
  </conditionalFormatting>
  <conditionalFormatting sqref="J123:K123">
    <cfRule type="expression" dxfId="91" priority="37">
      <formula>kvartal &lt; 4</formula>
    </cfRule>
  </conditionalFormatting>
  <conditionalFormatting sqref="A50:A52">
    <cfRule type="expression" dxfId="90" priority="18">
      <formula>kvartal &lt; 4</formula>
    </cfRule>
  </conditionalFormatting>
  <conditionalFormatting sqref="A69:A74">
    <cfRule type="expression" dxfId="89" priority="6">
      <formula>kvartal &lt; 4</formula>
    </cfRule>
  </conditionalFormatting>
  <conditionalFormatting sqref="A115">
    <cfRule type="expression" dxfId="88" priority="5">
      <formula>kvartal &lt; 4</formula>
    </cfRule>
  </conditionalFormatting>
  <conditionalFormatting sqref="A123">
    <cfRule type="expression" dxfId="87" priority="4">
      <formula>kvartal &lt; 4</formula>
    </cfRule>
  </conditionalFormatting>
  <conditionalFormatting sqref="A80:A85">
    <cfRule type="expression" dxfId="86" priority="3">
      <formula>kvartal &lt; 4</formula>
    </cfRule>
  </conditionalFormatting>
  <conditionalFormatting sqref="A90:A95">
    <cfRule type="expression" dxfId="85" priority="2">
      <formula>kvartal &lt; 4</formula>
    </cfRule>
  </conditionalFormatting>
  <conditionalFormatting sqref="A101:A106">
    <cfRule type="expression" dxfId="84" priority="1">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44"/>
  <sheetViews>
    <sheetView showGridLines="0" zoomScaleNormal="100" workbookViewId="0"/>
  </sheetViews>
  <sheetFormatPr baseColWidth="10" defaultColWidth="11.42578125" defaultRowHeight="12.75" x14ac:dyDescent="0.2"/>
  <cols>
    <col min="1" max="1" width="43"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106</v>
      </c>
      <c r="D1" s="26"/>
      <c r="E1" s="26"/>
      <c r="F1" s="26"/>
      <c r="G1" s="26"/>
      <c r="H1" s="26"/>
      <c r="I1" s="26"/>
      <c r="J1" s="26"/>
      <c r="K1" s="26"/>
      <c r="L1" s="26"/>
      <c r="M1" s="26"/>
      <c r="O1" s="462"/>
    </row>
    <row r="2" spans="1:15" ht="15.75" x14ac:dyDescent="0.25">
      <c r="A2" s="182" t="s">
        <v>29</v>
      </c>
      <c r="B2" s="755"/>
      <c r="C2" s="755"/>
      <c r="D2" s="755"/>
      <c r="E2" s="334"/>
      <c r="F2" s="755"/>
      <c r="G2" s="755"/>
      <c r="H2" s="755"/>
      <c r="I2" s="334"/>
      <c r="J2" s="755"/>
      <c r="K2" s="755"/>
      <c r="L2" s="755"/>
      <c r="M2" s="334"/>
    </row>
    <row r="3" spans="1:15" ht="15.75" x14ac:dyDescent="0.25">
      <c r="A3" s="180"/>
      <c r="B3" s="334"/>
      <c r="C3" s="334"/>
      <c r="D3" s="334"/>
      <c r="E3" s="334"/>
      <c r="F3" s="334"/>
      <c r="G3" s="334"/>
      <c r="H3" s="334"/>
      <c r="I3" s="334"/>
      <c r="J3" s="334"/>
      <c r="K3" s="334"/>
      <c r="L3" s="334"/>
      <c r="M3" s="334"/>
    </row>
    <row r="4" spans="1:15" x14ac:dyDescent="0.2">
      <c r="A4" s="161"/>
      <c r="B4" s="752" t="s">
        <v>0</v>
      </c>
      <c r="C4" s="753"/>
      <c r="D4" s="753"/>
      <c r="E4" s="336"/>
      <c r="F4" s="752" t="s">
        <v>1</v>
      </c>
      <c r="G4" s="753"/>
      <c r="H4" s="753"/>
      <c r="I4" s="339"/>
      <c r="J4" s="752" t="s">
        <v>2</v>
      </c>
      <c r="K4" s="753"/>
      <c r="L4" s="753"/>
      <c r="M4" s="339"/>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c r="C7" s="343"/>
      <c r="D7" s="384"/>
      <c r="E7" s="11"/>
      <c r="F7" s="342"/>
      <c r="G7" s="343"/>
      <c r="H7" s="384"/>
      <c r="I7" s="177"/>
      <c r="J7" s="344"/>
      <c r="K7" s="345"/>
      <c r="L7" s="463"/>
      <c r="M7" s="11"/>
    </row>
    <row r="8" spans="1:15" ht="15.75" x14ac:dyDescent="0.2">
      <c r="A8" s="21" t="s">
        <v>26</v>
      </c>
      <c r="B8" s="316"/>
      <c r="C8" s="317"/>
      <c r="D8" s="183"/>
      <c r="E8" s="27"/>
      <c r="F8" s="320"/>
      <c r="G8" s="321"/>
      <c r="H8" s="183"/>
      <c r="I8" s="193"/>
      <c r="J8" s="250"/>
      <c r="K8" s="322"/>
      <c r="L8" s="183"/>
      <c r="M8" s="27"/>
    </row>
    <row r="9" spans="1:15" ht="15.75" x14ac:dyDescent="0.2">
      <c r="A9" s="21" t="s">
        <v>25</v>
      </c>
      <c r="B9" s="316"/>
      <c r="C9" s="317"/>
      <c r="D9" s="183"/>
      <c r="E9" s="27"/>
      <c r="F9" s="320"/>
      <c r="G9" s="321"/>
      <c r="H9" s="183"/>
      <c r="I9" s="193"/>
      <c r="J9" s="250"/>
      <c r="K9" s="322"/>
      <c r="L9" s="183"/>
      <c r="M9" s="27"/>
    </row>
    <row r="10" spans="1:15" ht="15.75" x14ac:dyDescent="0.2">
      <c r="A10" s="13" t="s">
        <v>466</v>
      </c>
      <c r="B10" s="346"/>
      <c r="C10" s="347"/>
      <c r="D10" s="188"/>
      <c r="E10" s="11"/>
      <c r="F10" s="346"/>
      <c r="G10" s="347"/>
      <c r="H10" s="188"/>
      <c r="I10" s="177"/>
      <c r="J10" s="344"/>
      <c r="K10" s="345"/>
      <c r="L10" s="464"/>
      <c r="M10" s="11"/>
    </row>
    <row r="11" spans="1:15" s="43" customFormat="1" ht="15.75" x14ac:dyDescent="0.2">
      <c r="A11" s="13" t="s">
        <v>467</v>
      </c>
      <c r="B11" s="346"/>
      <c r="C11" s="347"/>
      <c r="D11" s="188"/>
      <c r="E11" s="11"/>
      <c r="F11" s="346"/>
      <c r="G11" s="347"/>
      <c r="H11" s="188"/>
      <c r="I11" s="177"/>
      <c r="J11" s="344"/>
      <c r="K11" s="345"/>
      <c r="L11" s="464"/>
      <c r="M11" s="11"/>
      <c r="N11" s="160"/>
      <c r="O11" s="165"/>
    </row>
    <row r="12" spans="1:15" s="43" customFormat="1" ht="15.75" x14ac:dyDescent="0.2">
      <c r="A12" s="41" t="s">
        <v>468</v>
      </c>
      <c r="B12" s="348"/>
      <c r="C12" s="349"/>
      <c r="D12" s="186"/>
      <c r="E12" s="36"/>
      <c r="F12" s="348"/>
      <c r="G12" s="349"/>
      <c r="H12" s="186"/>
      <c r="I12" s="186"/>
      <c r="J12" s="350"/>
      <c r="K12" s="351"/>
      <c r="L12" s="465"/>
      <c r="M12" s="36"/>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334"/>
      <c r="F18" s="756"/>
      <c r="G18" s="756"/>
      <c r="H18" s="756"/>
      <c r="I18" s="334"/>
      <c r="J18" s="756"/>
      <c r="K18" s="756"/>
      <c r="L18" s="756"/>
      <c r="M18" s="334"/>
    </row>
    <row r="19" spans="1:15" x14ac:dyDescent="0.2">
      <c r="A19" s="161"/>
      <c r="B19" s="752" t="s">
        <v>0</v>
      </c>
      <c r="C19" s="753"/>
      <c r="D19" s="753"/>
      <c r="E19" s="336"/>
      <c r="F19" s="752" t="s">
        <v>1</v>
      </c>
      <c r="G19" s="753"/>
      <c r="H19" s="753"/>
      <c r="I19" s="339"/>
      <c r="J19" s="752" t="s">
        <v>2</v>
      </c>
      <c r="K19" s="753"/>
      <c r="L19" s="753"/>
      <c r="M19" s="339"/>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52"/>
      <c r="C22" s="352"/>
      <c r="D22" s="384"/>
      <c r="E22" s="11"/>
      <c r="F22" s="352"/>
      <c r="G22" s="352"/>
      <c r="H22" s="384"/>
      <c r="I22" s="11"/>
      <c r="J22" s="352"/>
      <c r="K22" s="352"/>
      <c r="L22" s="463"/>
      <c r="M22" s="24"/>
    </row>
    <row r="23" spans="1:15" ht="15.75" x14ac:dyDescent="0.2">
      <c r="A23" s="49" t="s">
        <v>469</v>
      </c>
      <c r="B23" s="44"/>
      <c r="C23" s="322"/>
      <c r="D23" s="183"/>
      <c r="E23" s="27"/>
      <c r="F23" s="250"/>
      <c r="G23" s="322"/>
      <c r="H23" s="183"/>
      <c r="I23" s="27"/>
      <c r="J23" s="44"/>
      <c r="K23" s="44"/>
      <c r="L23" s="274"/>
      <c r="M23" s="23"/>
    </row>
    <row r="24" spans="1:15" ht="15.75" x14ac:dyDescent="0.2">
      <c r="A24" s="49" t="s">
        <v>470</v>
      </c>
      <c r="B24" s="44"/>
      <c r="C24" s="322"/>
      <c r="D24" s="183"/>
      <c r="E24" s="27"/>
      <c r="F24" s="250"/>
      <c r="G24" s="322"/>
      <c r="H24" s="183"/>
      <c r="I24" s="27"/>
      <c r="J24" s="44"/>
      <c r="K24" s="44"/>
      <c r="L24" s="274"/>
      <c r="M24" s="23"/>
    </row>
    <row r="25" spans="1:15" ht="15.75" x14ac:dyDescent="0.2">
      <c r="A25" s="49" t="s">
        <v>471</v>
      </c>
      <c r="B25" s="44"/>
      <c r="C25" s="322"/>
      <c r="D25" s="183"/>
      <c r="E25" s="27"/>
      <c r="F25" s="250"/>
      <c r="G25" s="322"/>
      <c r="H25" s="183"/>
      <c r="I25" s="27"/>
      <c r="J25" s="44"/>
      <c r="K25" s="44"/>
      <c r="L25" s="274"/>
      <c r="M25" s="23"/>
    </row>
    <row r="26" spans="1:15" ht="15.75" x14ac:dyDescent="0.2">
      <c r="A26" s="49" t="s">
        <v>472</v>
      </c>
      <c r="B26" s="44"/>
      <c r="C26" s="322"/>
      <c r="D26" s="183"/>
      <c r="E26" s="27"/>
      <c r="F26" s="250"/>
      <c r="G26" s="322"/>
      <c r="H26" s="183"/>
      <c r="I26" s="27"/>
      <c r="J26" s="44"/>
      <c r="K26" s="44"/>
      <c r="L26" s="274"/>
      <c r="M26" s="23"/>
    </row>
    <row r="27" spans="1:15" x14ac:dyDescent="0.2">
      <c r="A27" s="49" t="s">
        <v>11</v>
      </c>
      <c r="B27" s="44"/>
      <c r="C27" s="322"/>
      <c r="D27" s="183"/>
      <c r="E27" s="27"/>
      <c r="F27" s="250"/>
      <c r="G27" s="322"/>
      <c r="H27" s="183"/>
      <c r="I27" s="27"/>
      <c r="J27" s="44"/>
      <c r="K27" s="44"/>
      <c r="L27" s="274"/>
      <c r="M27" s="23"/>
    </row>
    <row r="28" spans="1:15" ht="15.75" x14ac:dyDescent="0.2">
      <c r="A28" s="49" t="s">
        <v>366</v>
      </c>
      <c r="B28" s="44"/>
      <c r="C28" s="322"/>
      <c r="D28" s="183"/>
      <c r="E28" s="27"/>
      <c r="F28" s="250"/>
      <c r="G28" s="322"/>
      <c r="H28" s="183"/>
      <c r="I28" s="27"/>
      <c r="J28" s="44"/>
      <c r="K28" s="44"/>
      <c r="L28" s="274"/>
      <c r="M28" s="23"/>
    </row>
    <row r="29" spans="1:15" s="3" customFormat="1" ht="15.75" x14ac:dyDescent="0.2">
      <c r="A29" s="13" t="s">
        <v>23</v>
      </c>
      <c r="B29" s="252"/>
      <c r="C29" s="252"/>
      <c r="D29" s="188"/>
      <c r="E29" s="11"/>
      <c r="F29" s="252"/>
      <c r="G29" s="252"/>
      <c r="H29" s="188"/>
      <c r="I29" s="11"/>
      <c r="J29" s="252"/>
      <c r="K29" s="252"/>
      <c r="L29" s="464"/>
      <c r="M29" s="24"/>
      <c r="N29" s="165"/>
      <c r="O29" s="165"/>
    </row>
    <row r="30" spans="1:15" s="3" customFormat="1" ht="15.75" x14ac:dyDescent="0.2">
      <c r="A30" s="49" t="s">
        <v>469</v>
      </c>
      <c r="B30" s="44"/>
      <c r="C30" s="322"/>
      <c r="D30" s="183"/>
      <c r="E30" s="27"/>
      <c r="F30" s="250"/>
      <c r="G30" s="322"/>
      <c r="H30" s="183"/>
      <c r="I30" s="27"/>
      <c r="J30" s="44"/>
      <c r="K30" s="44"/>
      <c r="L30" s="274"/>
      <c r="M30" s="23"/>
      <c r="N30" s="165"/>
      <c r="O30" s="165"/>
    </row>
    <row r="31" spans="1:15" s="3" customFormat="1" ht="15.75" x14ac:dyDescent="0.2">
      <c r="A31" s="49" t="s">
        <v>470</v>
      </c>
      <c r="B31" s="44"/>
      <c r="C31" s="322"/>
      <c r="D31" s="183"/>
      <c r="E31" s="27"/>
      <c r="F31" s="250"/>
      <c r="G31" s="322"/>
      <c r="H31" s="183"/>
      <c r="I31" s="27"/>
      <c r="J31" s="44"/>
      <c r="K31" s="44"/>
      <c r="L31" s="274"/>
      <c r="M31" s="23"/>
      <c r="N31" s="165"/>
      <c r="O31" s="165"/>
    </row>
    <row r="32" spans="1:15" ht="15.75" x14ac:dyDescent="0.2">
      <c r="A32" s="49" t="s">
        <v>471</v>
      </c>
      <c r="B32" s="44"/>
      <c r="C32" s="322"/>
      <c r="D32" s="183"/>
      <c r="E32" s="27"/>
      <c r="F32" s="250"/>
      <c r="G32" s="322"/>
      <c r="H32" s="183"/>
      <c r="I32" s="27"/>
      <c r="J32" s="44"/>
      <c r="K32" s="44"/>
      <c r="L32" s="274"/>
      <c r="M32" s="23"/>
    </row>
    <row r="33" spans="1:15" ht="15.75" x14ac:dyDescent="0.2">
      <c r="A33" s="49" t="s">
        <v>472</v>
      </c>
      <c r="B33" s="44"/>
      <c r="C33" s="322"/>
      <c r="D33" s="183"/>
      <c r="E33" s="27"/>
      <c r="F33" s="250"/>
      <c r="G33" s="322"/>
      <c r="H33" s="183"/>
      <c r="I33" s="27"/>
      <c r="J33" s="44"/>
      <c r="K33" s="44"/>
      <c r="L33" s="274"/>
      <c r="M33" s="23"/>
    </row>
    <row r="34" spans="1:15" ht="15.75" x14ac:dyDescent="0.2">
      <c r="A34" s="13" t="s">
        <v>467</v>
      </c>
      <c r="B34" s="252"/>
      <c r="C34" s="345"/>
      <c r="D34" s="188"/>
      <c r="E34" s="11"/>
      <c r="F34" s="344"/>
      <c r="G34" s="345"/>
      <c r="H34" s="188"/>
      <c r="I34" s="11"/>
      <c r="J34" s="252"/>
      <c r="K34" s="252"/>
      <c r="L34" s="464"/>
      <c r="M34" s="24"/>
    </row>
    <row r="35" spans="1:15" ht="15.75" x14ac:dyDescent="0.2">
      <c r="A35" s="13" t="s">
        <v>468</v>
      </c>
      <c r="B35" s="252"/>
      <c r="C35" s="345"/>
      <c r="D35" s="188"/>
      <c r="E35" s="11"/>
      <c r="F35" s="344"/>
      <c r="G35" s="345"/>
      <c r="H35" s="188"/>
      <c r="I35" s="11"/>
      <c r="J35" s="252"/>
      <c r="K35" s="252"/>
      <c r="L35" s="464"/>
      <c r="M35" s="24"/>
    </row>
    <row r="36" spans="1:15" ht="15.75" x14ac:dyDescent="0.2">
      <c r="A36" s="12" t="s">
        <v>374</v>
      </c>
      <c r="B36" s="252"/>
      <c r="C36" s="345"/>
      <c r="D36" s="188"/>
      <c r="E36" s="11"/>
      <c r="F36" s="355"/>
      <c r="G36" s="356"/>
      <c r="H36" s="188"/>
      <c r="I36" s="470"/>
      <c r="J36" s="252"/>
      <c r="K36" s="252"/>
      <c r="L36" s="464"/>
      <c r="M36" s="24"/>
    </row>
    <row r="37" spans="1:15" ht="15.75" x14ac:dyDescent="0.2">
      <c r="A37" s="12" t="s">
        <v>473</v>
      </c>
      <c r="B37" s="252"/>
      <c r="C37" s="345"/>
      <c r="D37" s="188"/>
      <c r="E37" s="11"/>
      <c r="F37" s="355"/>
      <c r="G37" s="357"/>
      <c r="H37" s="188"/>
      <c r="I37" s="470"/>
      <c r="J37" s="252"/>
      <c r="K37" s="252"/>
      <c r="L37" s="464"/>
      <c r="M37" s="24"/>
    </row>
    <row r="38" spans="1:15" ht="15.75" x14ac:dyDescent="0.2">
      <c r="A38" s="12" t="s">
        <v>474</v>
      </c>
      <c r="B38" s="252"/>
      <c r="C38" s="345"/>
      <c r="D38" s="468"/>
      <c r="E38" s="24"/>
      <c r="F38" s="355"/>
      <c r="G38" s="356"/>
      <c r="H38" s="188"/>
      <c r="I38" s="470"/>
      <c r="J38" s="252"/>
      <c r="K38" s="252"/>
      <c r="L38" s="464"/>
      <c r="M38" s="24"/>
    </row>
    <row r="39" spans="1:15" ht="15.75" x14ac:dyDescent="0.2">
      <c r="A39" s="18" t="s">
        <v>475</v>
      </c>
      <c r="B39" s="311"/>
      <c r="C39" s="351"/>
      <c r="D39" s="469"/>
      <c r="E39" s="36"/>
      <c r="F39" s="358"/>
      <c r="G39" s="359"/>
      <c r="H39" s="186"/>
      <c r="I39" s="36"/>
      <c r="J39" s="252"/>
      <c r="K39" s="252"/>
      <c r="L39" s="464"/>
      <c r="M39" s="36"/>
    </row>
    <row r="40" spans="1:15" ht="15.75" x14ac:dyDescent="0.25">
      <c r="A40" s="47"/>
      <c r="B40" s="273"/>
      <c r="C40" s="273"/>
      <c r="D40" s="757"/>
      <c r="E40" s="758"/>
      <c r="F40" s="757"/>
      <c r="G40" s="757"/>
      <c r="H40" s="757"/>
      <c r="I40" s="757"/>
      <c r="J40" s="757"/>
      <c r="K40" s="757"/>
      <c r="L40" s="757"/>
      <c r="M40" s="337"/>
    </row>
    <row r="41" spans="1:15" x14ac:dyDescent="0.2">
      <c r="A41" s="172"/>
    </row>
    <row r="42" spans="1:15" ht="15.75" x14ac:dyDescent="0.25">
      <c r="A42" s="164" t="s">
        <v>363</v>
      </c>
      <c r="B42" s="755"/>
      <c r="C42" s="755"/>
      <c r="D42" s="755"/>
      <c r="E42" s="334"/>
      <c r="F42" s="758"/>
      <c r="G42" s="758"/>
      <c r="H42" s="758"/>
      <c r="I42" s="337"/>
      <c r="J42" s="758"/>
      <c r="K42" s="758"/>
      <c r="L42" s="758"/>
      <c r="M42" s="337"/>
    </row>
    <row r="43" spans="1:15" ht="15.75" x14ac:dyDescent="0.25">
      <c r="A43" s="180"/>
      <c r="B43" s="338"/>
      <c r="C43" s="338"/>
      <c r="D43" s="338"/>
      <c r="E43" s="338"/>
      <c r="F43" s="337"/>
      <c r="G43" s="337"/>
      <c r="H43" s="337"/>
      <c r="I43" s="337"/>
      <c r="J43" s="337"/>
      <c r="K43" s="337"/>
      <c r="L43" s="337"/>
      <c r="M43" s="337"/>
    </row>
    <row r="44" spans="1:15" ht="15.75" x14ac:dyDescent="0.25">
      <c r="A44" s="264"/>
      <c r="B44" s="752" t="s">
        <v>0</v>
      </c>
      <c r="C44" s="753"/>
      <c r="D44" s="753"/>
      <c r="E44" s="259"/>
      <c r="F44" s="337"/>
      <c r="G44" s="337"/>
      <c r="H44" s="337"/>
      <c r="I44" s="337"/>
      <c r="J44" s="337"/>
      <c r="K44" s="337"/>
      <c r="L44" s="337"/>
      <c r="M44" s="337"/>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424578.353</v>
      </c>
      <c r="C47" s="347">
        <f>SUM(C48:C49)</f>
        <v>417186</v>
      </c>
      <c r="D47" s="463">
        <f t="shared" ref="D47:D57" si="0">IF(B47=0, "    ---- ", IF(ABS(ROUND(100/B47*C47-100,1))&lt;999,ROUND(100/B47*C47-100,1),IF(ROUND(100/B47*C47-100,1)&gt;999,999,-999)))</f>
        <v>-1.7</v>
      </c>
      <c r="E47" s="11">
        <f>IFERROR(100/'Skjema total MA'!C47*C47,0)</f>
        <v>18.599974838900156</v>
      </c>
      <c r="F47" s="162"/>
      <c r="G47" s="33"/>
      <c r="H47" s="176"/>
      <c r="I47" s="176"/>
      <c r="J47" s="37"/>
      <c r="K47" s="37"/>
      <c r="L47" s="176"/>
      <c r="M47" s="176"/>
      <c r="N47" s="165"/>
      <c r="O47" s="165"/>
    </row>
    <row r="48" spans="1:15" s="3" customFormat="1" ht="15.75" x14ac:dyDescent="0.2">
      <c r="A48" s="38" t="s">
        <v>476</v>
      </c>
      <c r="B48" s="316">
        <v>143643.67800000001</v>
      </c>
      <c r="C48" s="317">
        <v>138349</v>
      </c>
      <c r="D48" s="274">
        <f t="shared" si="0"/>
        <v>-3.7</v>
      </c>
      <c r="E48" s="27">
        <f>IFERROR(100/'Skjema total MA'!C48*C48,0)</f>
        <v>12.42995674351487</v>
      </c>
      <c r="F48" s="162"/>
      <c r="G48" s="33"/>
      <c r="H48" s="162"/>
      <c r="I48" s="162"/>
      <c r="J48" s="33"/>
      <c r="K48" s="33"/>
      <c r="L48" s="176"/>
      <c r="M48" s="176"/>
      <c r="N48" s="165"/>
      <c r="O48" s="165"/>
    </row>
    <row r="49" spans="1:15" s="3" customFormat="1" ht="15.75" x14ac:dyDescent="0.2">
      <c r="A49" s="38" t="s">
        <v>477</v>
      </c>
      <c r="B49" s="44">
        <v>280934.67499999999</v>
      </c>
      <c r="C49" s="322">
        <v>278837</v>
      </c>
      <c r="D49" s="274">
        <f>IF(B49=0, "    ---- ", IF(ABS(ROUND(100/B49*C49-100,1))&lt;999,ROUND(100/B49*C49-100,1),IF(ROUND(100/B49*C49-100,1)&gt;999,999,-999)))</f>
        <v>-0.7</v>
      </c>
      <c r="E49" s="27">
        <f>IFERROR(100/'Skjema total MA'!C49*C49,0)</f>
        <v>24.677812640123115</v>
      </c>
      <c r="F49" s="162"/>
      <c r="G49" s="33"/>
      <c r="H49" s="162"/>
      <c r="I49" s="162"/>
      <c r="J49" s="37"/>
      <c r="K49" s="37"/>
      <c r="L49" s="176"/>
      <c r="M49" s="176"/>
      <c r="N49" s="165"/>
      <c r="O49" s="165"/>
    </row>
    <row r="50" spans="1:15" s="3" customFormat="1" x14ac:dyDescent="0.2">
      <c r="A50" s="331" t="s">
        <v>6</v>
      </c>
      <c r="B50" s="325" t="s">
        <v>458</v>
      </c>
      <c r="C50" s="326" t="s">
        <v>458</v>
      </c>
      <c r="D50" s="274" t="str">
        <f>IF(kvartal=4,IF(B49=0, "    ---- ", IF(ABS(ROUND(100/B49*C49-100,1))&lt;999,ROUND(100/B49*C49-100,1),IF(ROUND(100/B49*C49-100,1)&gt;999,999,-999))),"")</f>
        <v/>
      </c>
      <c r="E50" s="23" t="str">
        <f>IF(kvartal=4,IFERROR(100/'Skjema total MA'!B50*C50,0),"")</f>
        <v/>
      </c>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f>SUM(B54:B55)</f>
        <v>11919.927</v>
      </c>
      <c r="C53" s="347">
        <f>SUM(C54:C55)</f>
        <v>6453.3969999999999</v>
      </c>
      <c r="D53" s="464">
        <f t="shared" si="0"/>
        <v>-45.9</v>
      </c>
      <c r="E53" s="11">
        <f>IFERROR(100/'Skjema total MA'!C53*C53,0)</f>
        <v>14.174245383725914</v>
      </c>
      <c r="F53" s="162"/>
      <c r="G53" s="33"/>
      <c r="H53" s="162"/>
      <c r="I53" s="162"/>
      <c r="J53" s="33"/>
      <c r="K53" s="33"/>
      <c r="L53" s="176"/>
      <c r="M53" s="176"/>
      <c r="N53" s="165"/>
      <c r="O53" s="165"/>
    </row>
    <row r="54" spans="1:15" s="3" customFormat="1" ht="15.75" x14ac:dyDescent="0.2">
      <c r="A54" s="38" t="s">
        <v>476</v>
      </c>
      <c r="B54" s="316">
        <v>9737.027</v>
      </c>
      <c r="C54" s="317">
        <v>6453.3969999999999</v>
      </c>
      <c r="D54" s="274">
        <f t="shared" si="0"/>
        <v>-33.700000000000003</v>
      </c>
      <c r="E54" s="27">
        <f>IFERROR(100/'Skjema total MA'!C54*C54,0)</f>
        <v>14.174245383725914</v>
      </c>
      <c r="F54" s="162"/>
      <c r="G54" s="33"/>
      <c r="H54" s="162"/>
      <c r="I54" s="162"/>
      <c r="J54" s="33"/>
      <c r="K54" s="33"/>
      <c r="L54" s="176"/>
      <c r="M54" s="176"/>
      <c r="N54" s="165"/>
      <c r="O54" s="165"/>
    </row>
    <row r="55" spans="1:15" s="3" customFormat="1" ht="15.75" x14ac:dyDescent="0.2">
      <c r="A55" s="38" t="s">
        <v>477</v>
      </c>
      <c r="B55" s="316">
        <v>2182.9</v>
      </c>
      <c r="C55" s="317">
        <v>0</v>
      </c>
      <c r="D55" s="274">
        <f t="shared" si="0"/>
        <v>-100</v>
      </c>
      <c r="E55" s="27">
        <f>IFERROR(100/'Skjema total MA'!C55*C55,0)</f>
        <v>0</v>
      </c>
      <c r="F55" s="162"/>
      <c r="G55" s="33"/>
      <c r="H55" s="162"/>
      <c r="I55" s="162"/>
      <c r="J55" s="33"/>
      <c r="K55" s="33"/>
      <c r="L55" s="176"/>
      <c r="M55" s="176"/>
      <c r="N55" s="165"/>
      <c r="O55" s="165"/>
    </row>
    <row r="56" spans="1:15" s="3" customFormat="1" ht="15.75" x14ac:dyDescent="0.2">
      <c r="A56" s="39" t="s">
        <v>490</v>
      </c>
      <c r="B56" s="346">
        <f>SUM(B57:B58)</f>
        <v>7938.57</v>
      </c>
      <c r="C56" s="347">
        <f>SUM(C57:C58)</f>
        <v>15179.314</v>
      </c>
      <c r="D56" s="464">
        <f t="shared" si="0"/>
        <v>91.2</v>
      </c>
      <c r="E56" s="11">
        <f>IFERROR(100/'Skjema total MA'!C56*C56,0)</f>
        <v>36.122213204745776</v>
      </c>
      <c r="F56" s="162"/>
      <c r="G56" s="33"/>
      <c r="H56" s="162"/>
      <c r="I56" s="162"/>
      <c r="J56" s="33"/>
      <c r="K56" s="33"/>
      <c r="L56" s="176"/>
      <c r="M56" s="176"/>
      <c r="N56" s="165"/>
      <c r="O56" s="165"/>
    </row>
    <row r="57" spans="1:15" s="3" customFormat="1" ht="15.75" x14ac:dyDescent="0.2">
      <c r="A57" s="38" t="s">
        <v>476</v>
      </c>
      <c r="B57" s="316">
        <v>7938.57</v>
      </c>
      <c r="C57" s="317">
        <v>15179.314</v>
      </c>
      <c r="D57" s="274">
        <f t="shared" si="0"/>
        <v>91.2</v>
      </c>
      <c r="E57" s="27">
        <f>IFERROR(100/'Skjema total MA'!C57*C57,0)</f>
        <v>36.122213204745776</v>
      </c>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334"/>
      <c r="F62" s="756"/>
      <c r="G62" s="756"/>
      <c r="H62" s="756"/>
      <c r="I62" s="334"/>
      <c r="J62" s="756"/>
      <c r="K62" s="756"/>
      <c r="L62" s="756"/>
      <c r="M62" s="334"/>
    </row>
    <row r="63" spans="1:15" x14ac:dyDescent="0.2">
      <c r="A63" s="161"/>
      <c r="B63" s="752" t="s">
        <v>0</v>
      </c>
      <c r="C63" s="753"/>
      <c r="D63" s="754"/>
      <c r="E63" s="335"/>
      <c r="F63" s="753" t="s">
        <v>1</v>
      </c>
      <c r="G63" s="753"/>
      <c r="H63" s="753"/>
      <c r="I63" s="339"/>
      <c r="J63" s="752" t="s">
        <v>2</v>
      </c>
      <c r="K63" s="753"/>
      <c r="L63" s="753"/>
      <c r="M63" s="339"/>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c r="C66" s="387"/>
      <c r="D66" s="384"/>
      <c r="E66" s="11"/>
      <c r="F66" s="386"/>
      <c r="G66" s="386"/>
      <c r="H66" s="384"/>
      <c r="I66" s="11"/>
      <c r="J66" s="345"/>
      <c r="K66" s="352"/>
      <c r="L66" s="464"/>
      <c r="M66" s="11"/>
    </row>
    <row r="67" spans="1:15" x14ac:dyDescent="0.2">
      <c r="A67" s="21" t="s">
        <v>9</v>
      </c>
      <c r="B67" s="44"/>
      <c r="C67" s="162"/>
      <c r="D67" s="183"/>
      <c r="E67" s="27"/>
      <c r="F67" s="250"/>
      <c r="G67" s="162"/>
      <c r="H67" s="183"/>
      <c r="I67" s="27"/>
      <c r="J67" s="322"/>
      <c r="K67" s="44"/>
      <c r="L67" s="274"/>
      <c r="M67" s="27"/>
    </row>
    <row r="68" spans="1:15" x14ac:dyDescent="0.2">
      <c r="A68" s="21" t="s">
        <v>10</v>
      </c>
      <c r="B68" s="327"/>
      <c r="C68" s="328"/>
      <c r="D68" s="183"/>
      <c r="E68" s="27"/>
      <c r="F68" s="327"/>
      <c r="G68" s="328"/>
      <c r="H68" s="183"/>
      <c r="I68" s="27"/>
      <c r="J68" s="322"/>
      <c r="K68" s="44"/>
      <c r="L68" s="274"/>
      <c r="M68" s="27"/>
    </row>
    <row r="69" spans="1:15" ht="15.75" x14ac:dyDescent="0.2">
      <c r="A69" s="729" t="s">
        <v>478</v>
      </c>
      <c r="B69" s="316"/>
      <c r="C69" s="316"/>
      <c r="D69" s="183"/>
      <c r="E69" s="453"/>
      <c r="F69" s="316"/>
      <c r="G69" s="316"/>
      <c r="H69" s="183"/>
      <c r="I69" s="453"/>
      <c r="J69" s="325"/>
      <c r="K69" s="325"/>
      <c r="L69" s="183"/>
      <c r="M69" s="23"/>
    </row>
    <row r="70" spans="1:15" x14ac:dyDescent="0.2">
      <c r="A70" s="729" t="s">
        <v>12</v>
      </c>
      <c r="B70" s="329"/>
      <c r="C70" s="330"/>
      <c r="D70" s="183"/>
      <c r="E70" s="453"/>
      <c r="F70" s="316"/>
      <c r="G70" s="316"/>
      <c r="H70" s="183"/>
      <c r="I70" s="453"/>
      <c r="J70" s="325"/>
      <c r="K70" s="325"/>
      <c r="L70" s="183"/>
      <c r="M70" s="23"/>
    </row>
    <row r="71" spans="1:15" x14ac:dyDescent="0.2">
      <c r="A71" s="729" t="s">
        <v>13</v>
      </c>
      <c r="B71" s="251"/>
      <c r="C71" s="324"/>
      <c r="D71" s="183"/>
      <c r="E71" s="453"/>
      <c r="F71" s="316"/>
      <c r="G71" s="316"/>
      <c r="H71" s="183"/>
      <c r="I71" s="453"/>
      <c r="J71" s="325"/>
      <c r="K71" s="325"/>
      <c r="L71" s="183"/>
      <c r="M71" s="23"/>
    </row>
    <row r="72" spans="1:15" ht="15.75" x14ac:dyDescent="0.2">
      <c r="A72" s="729" t="s">
        <v>479</v>
      </c>
      <c r="B72" s="316"/>
      <c r="C72" s="316"/>
      <c r="D72" s="183"/>
      <c r="E72" s="453"/>
      <c r="F72" s="316"/>
      <c r="G72" s="316"/>
      <c r="H72" s="183"/>
      <c r="I72" s="453"/>
      <c r="J72" s="325"/>
      <c r="K72" s="325"/>
      <c r="L72" s="183"/>
      <c r="M72" s="23"/>
    </row>
    <row r="73" spans="1:15" x14ac:dyDescent="0.2">
      <c r="A73" s="729" t="s">
        <v>12</v>
      </c>
      <c r="B73" s="251"/>
      <c r="C73" s="324"/>
      <c r="D73" s="183"/>
      <c r="E73" s="453"/>
      <c r="F73" s="316"/>
      <c r="G73" s="316"/>
      <c r="H73" s="183"/>
      <c r="I73" s="453"/>
      <c r="J73" s="325"/>
      <c r="K73" s="325"/>
      <c r="L73" s="183"/>
      <c r="M73" s="23"/>
    </row>
    <row r="74" spans="1:15" s="3" customFormat="1" x14ac:dyDescent="0.2">
      <c r="A74" s="729" t="s">
        <v>13</v>
      </c>
      <c r="B74" s="251"/>
      <c r="C74" s="324"/>
      <c r="D74" s="183"/>
      <c r="E74" s="453"/>
      <c r="F74" s="316"/>
      <c r="G74" s="316"/>
      <c r="H74" s="183"/>
      <c r="I74" s="453"/>
      <c r="J74" s="325"/>
      <c r="K74" s="325"/>
      <c r="L74" s="183"/>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c r="C77" s="250"/>
      <c r="D77" s="183"/>
      <c r="E77" s="27"/>
      <c r="F77" s="250"/>
      <c r="G77" s="162"/>
      <c r="H77" s="183"/>
      <c r="I77" s="27"/>
      <c r="J77" s="322"/>
      <c r="K77" s="44"/>
      <c r="L77" s="274"/>
      <c r="M77" s="27"/>
    </row>
    <row r="78" spans="1:15" x14ac:dyDescent="0.2">
      <c r="A78" s="21" t="s">
        <v>9</v>
      </c>
      <c r="B78" s="250"/>
      <c r="C78" s="162"/>
      <c r="D78" s="183"/>
      <c r="E78" s="27"/>
      <c r="F78" s="250"/>
      <c r="G78" s="162"/>
      <c r="H78" s="183"/>
      <c r="I78" s="27"/>
      <c r="J78" s="322"/>
      <c r="K78" s="44"/>
      <c r="L78" s="274"/>
      <c r="M78" s="27"/>
    </row>
    <row r="79" spans="1:15" x14ac:dyDescent="0.2">
      <c r="A79" s="21" t="s">
        <v>10</v>
      </c>
      <c r="B79" s="327"/>
      <c r="C79" s="328"/>
      <c r="D79" s="183"/>
      <c r="E79" s="27"/>
      <c r="F79" s="327"/>
      <c r="G79" s="328"/>
      <c r="H79" s="183"/>
      <c r="I79" s="27"/>
      <c r="J79" s="322"/>
      <c r="K79" s="44"/>
      <c r="L79" s="274"/>
      <c r="M79" s="27"/>
    </row>
    <row r="80" spans="1:15" ht="15.75" x14ac:dyDescent="0.2">
      <c r="A80" s="729" t="s">
        <v>478</v>
      </c>
      <c r="B80" s="316"/>
      <c r="C80" s="316"/>
      <c r="D80" s="183"/>
      <c r="E80" s="453"/>
      <c r="F80" s="316"/>
      <c r="G80" s="316"/>
      <c r="H80" s="183"/>
      <c r="I80" s="453"/>
      <c r="J80" s="325"/>
      <c r="K80" s="325"/>
      <c r="L80" s="183"/>
      <c r="M80" s="23"/>
    </row>
    <row r="81" spans="1:13" x14ac:dyDescent="0.2">
      <c r="A81" s="729" t="s">
        <v>12</v>
      </c>
      <c r="B81" s="251"/>
      <c r="C81" s="324"/>
      <c r="D81" s="183"/>
      <c r="E81" s="453"/>
      <c r="F81" s="316"/>
      <c r="G81" s="316"/>
      <c r="H81" s="183"/>
      <c r="I81" s="453"/>
      <c r="J81" s="325"/>
      <c r="K81" s="325"/>
      <c r="L81" s="183"/>
      <c r="M81" s="23"/>
    </row>
    <row r="82" spans="1:13" x14ac:dyDescent="0.2">
      <c r="A82" s="729" t="s">
        <v>13</v>
      </c>
      <c r="B82" s="251"/>
      <c r="C82" s="324"/>
      <c r="D82" s="183"/>
      <c r="E82" s="453"/>
      <c r="F82" s="316"/>
      <c r="G82" s="316"/>
      <c r="H82" s="183"/>
      <c r="I82" s="453"/>
      <c r="J82" s="325"/>
      <c r="K82" s="325"/>
      <c r="L82" s="183"/>
      <c r="M82" s="23"/>
    </row>
    <row r="83" spans="1:13" ht="15.75" x14ac:dyDescent="0.2">
      <c r="A83" s="729" t="s">
        <v>479</v>
      </c>
      <c r="B83" s="316"/>
      <c r="C83" s="316"/>
      <c r="D83" s="183"/>
      <c r="E83" s="453"/>
      <c r="F83" s="316"/>
      <c r="G83" s="316"/>
      <c r="H83" s="183"/>
      <c r="I83" s="453"/>
      <c r="J83" s="325"/>
      <c r="K83" s="325"/>
      <c r="L83" s="183"/>
      <c r="M83" s="23"/>
    </row>
    <row r="84" spans="1:13" x14ac:dyDescent="0.2">
      <c r="A84" s="729" t="s">
        <v>12</v>
      </c>
      <c r="B84" s="251"/>
      <c r="C84" s="324"/>
      <c r="D84" s="183"/>
      <c r="E84" s="453"/>
      <c r="F84" s="316"/>
      <c r="G84" s="316"/>
      <c r="H84" s="183"/>
      <c r="I84" s="453"/>
      <c r="J84" s="325"/>
      <c r="K84" s="325"/>
      <c r="L84" s="183"/>
      <c r="M84" s="23"/>
    </row>
    <row r="85" spans="1:13" x14ac:dyDescent="0.2">
      <c r="A85" s="729" t="s">
        <v>13</v>
      </c>
      <c r="B85" s="251"/>
      <c r="C85" s="324"/>
      <c r="D85" s="183"/>
      <c r="E85" s="453"/>
      <c r="F85" s="316"/>
      <c r="G85" s="316"/>
      <c r="H85" s="183"/>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c r="C87" s="387"/>
      <c r="D87" s="188"/>
      <c r="E87" s="11"/>
      <c r="F87" s="386"/>
      <c r="G87" s="386"/>
      <c r="H87" s="188"/>
      <c r="I87" s="11"/>
      <c r="J87" s="345"/>
      <c r="K87" s="252"/>
      <c r="L87" s="464"/>
      <c r="M87" s="11"/>
    </row>
    <row r="88" spans="1:13" x14ac:dyDescent="0.2">
      <c r="A88" s="21" t="s">
        <v>9</v>
      </c>
      <c r="B88" s="250"/>
      <c r="C88" s="162"/>
      <c r="D88" s="183"/>
      <c r="E88" s="27"/>
      <c r="F88" s="250"/>
      <c r="G88" s="162"/>
      <c r="H88" s="183"/>
      <c r="I88" s="27"/>
      <c r="J88" s="322"/>
      <c r="K88" s="44"/>
      <c r="L88" s="274"/>
      <c r="M88" s="27"/>
    </row>
    <row r="89" spans="1:13" x14ac:dyDescent="0.2">
      <c r="A89" s="21" t="s">
        <v>10</v>
      </c>
      <c r="B89" s="250"/>
      <c r="C89" s="162"/>
      <c r="D89" s="183"/>
      <c r="E89" s="27"/>
      <c r="F89" s="250"/>
      <c r="G89" s="162"/>
      <c r="H89" s="183"/>
      <c r="I89" s="27"/>
      <c r="J89" s="322"/>
      <c r="K89" s="44"/>
      <c r="L89" s="274"/>
      <c r="M89" s="27"/>
    </row>
    <row r="90" spans="1:13" ht="15.75" x14ac:dyDescent="0.2">
      <c r="A90" s="729" t="s">
        <v>478</v>
      </c>
      <c r="B90" s="316"/>
      <c r="C90" s="316"/>
      <c r="D90" s="183"/>
      <c r="E90" s="453"/>
      <c r="F90" s="316"/>
      <c r="G90" s="316"/>
      <c r="H90" s="183"/>
      <c r="I90" s="453"/>
      <c r="J90" s="325"/>
      <c r="K90" s="325"/>
      <c r="L90" s="183"/>
      <c r="M90" s="23"/>
    </row>
    <row r="91" spans="1:13" x14ac:dyDescent="0.2">
      <c r="A91" s="729" t="s">
        <v>12</v>
      </c>
      <c r="B91" s="251"/>
      <c r="C91" s="324"/>
      <c r="D91" s="183"/>
      <c r="E91" s="453"/>
      <c r="F91" s="316"/>
      <c r="G91" s="316"/>
      <c r="H91" s="183"/>
      <c r="I91" s="453"/>
      <c r="J91" s="325"/>
      <c r="K91" s="325"/>
      <c r="L91" s="183"/>
      <c r="M91" s="23"/>
    </row>
    <row r="92" spans="1:13" x14ac:dyDescent="0.2">
      <c r="A92" s="729" t="s">
        <v>13</v>
      </c>
      <c r="B92" s="251"/>
      <c r="C92" s="324"/>
      <c r="D92" s="183"/>
      <c r="E92" s="453"/>
      <c r="F92" s="316"/>
      <c r="G92" s="316"/>
      <c r="H92" s="183"/>
      <c r="I92" s="453"/>
      <c r="J92" s="325"/>
      <c r="K92" s="325"/>
      <c r="L92" s="183"/>
      <c r="M92" s="23"/>
    </row>
    <row r="93" spans="1:13" ht="15.75" x14ac:dyDescent="0.2">
      <c r="A93" s="729" t="s">
        <v>479</v>
      </c>
      <c r="B93" s="316"/>
      <c r="C93" s="316"/>
      <c r="D93" s="183"/>
      <c r="E93" s="453"/>
      <c r="F93" s="316"/>
      <c r="G93" s="316"/>
      <c r="H93" s="183"/>
      <c r="I93" s="453"/>
      <c r="J93" s="325"/>
      <c r="K93" s="325"/>
      <c r="L93" s="183"/>
      <c r="M93" s="23"/>
    </row>
    <row r="94" spans="1:13" x14ac:dyDescent="0.2">
      <c r="A94" s="729" t="s">
        <v>12</v>
      </c>
      <c r="B94" s="251"/>
      <c r="C94" s="324"/>
      <c r="D94" s="183"/>
      <c r="E94" s="453"/>
      <c r="F94" s="316"/>
      <c r="G94" s="316"/>
      <c r="H94" s="183"/>
      <c r="I94" s="453"/>
      <c r="J94" s="325"/>
      <c r="K94" s="325"/>
      <c r="L94" s="183"/>
      <c r="M94" s="23"/>
    </row>
    <row r="95" spans="1:13" x14ac:dyDescent="0.2">
      <c r="A95" s="729" t="s">
        <v>13</v>
      </c>
      <c r="B95" s="251"/>
      <c r="C95" s="324"/>
      <c r="D95" s="183"/>
      <c r="E95" s="453"/>
      <c r="F95" s="316"/>
      <c r="G95" s="316"/>
      <c r="H95" s="183"/>
      <c r="I95" s="453"/>
      <c r="J95" s="325"/>
      <c r="K95" s="325"/>
      <c r="L95" s="183"/>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c r="C98" s="250"/>
      <c r="D98" s="183"/>
      <c r="E98" s="27"/>
      <c r="F98" s="327"/>
      <c r="G98" s="327"/>
      <c r="H98" s="183"/>
      <c r="I98" s="27"/>
      <c r="J98" s="322"/>
      <c r="K98" s="44"/>
      <c r="L98" s="274"/>
      <c r="M98" s="27"/>
    </row>
    <row r="99" spans="1:13" x14ac:dyDescent="0.2">
      <c r="A99" s="21" t="s">
        <v>9</v>
      </c>
      <c r="B99" s="327"/>
      <c r="C99" s="328"/>
      <c r="D99" s="183"/>
      <c r="E99" s="27"/>
      <c r="F99" s="250"/>
      <c r="G99" s="162"/>
      <c r="H99" s="183"/>
      <c r="I99" s="27"/>
      <c r="J99" s="322"/>
      <c r="K99" s="44"/>
      <c r="L99" s="274"/>
      <c r="M99" s="27"/>
    </row>
    <row r="100" spans="1:13" x14ac:dyDescent="0.2">
      <c r="A100" s="21" t="s">
        <v>10</v>
      </c>
      <c r="B100" s="327"/>
      <c r="C100" s="328"/>
      <c r="D100" s="183"/>
      <c r="E100" s="27"/>
      <c r="F100" s="250"/>
      <c r="G100" s="250"/>
      <c r="H100" s="183"/>
      <c r="I100" s="27"/>
      <c r="J100" s="322"/>
      <c r="K100" s="44"/>
      <c r="L100" s="274"/>
      <c r="M100" s="27"/>
    </row>
    <row r="101" spans="1:13" ht="15.75" x14ac:dyDescent="0.2">
      <c r="A101" s="729" t="s">
        <v>478</v>
      </c>
      <c r="B101" s="316"/>
      <c r="C101" s="316"/>
      <c r="D101" s="183"/>
      <c r="E101" s="453"/>
      <c r="F101" s="316"/>
      <c r="G101" s="316"/>
      <c r="H101" s="183"/>
      <c r="I101" s="453"/>
      <c r="J101" s="325"/>
      <c r="K101" s="325"/>
      <c r="L101" s="183"/>
      <c r="M101" s="23"/>
    </row>
    <row r="102" spans="1:13" x14ac:dyDescent="0.2">
      <c r="A102" s="729" t="s">
        <v>12</v>
      </c>
      <c r="B102" s="251"/>
      <c r="C102" s="324"/>
      <c r="D102" s="183"/>
      <c r="E102" s="453"/>
      <c r="F102" s="316"/>
      <c r="G102" s="316"/>
      <c r="H102" s="183"/>
      <c r="I102" s="453"/>
      <c r="J102" s="325"/>
      <c r="K102" s="325"/>
      <c r="L102" s="183"/>
      <c r="M102" s="23"/>
    </row>
    <row r="103" spans="1:13" x14ac:dyDescent="0.2">
      <c r="A103" s="729" t="s">
        <v>13</v>
      </c>
      <c r="B103" s="251"/>
      <c r="C103" s="324"/>
      <c r="D103" s="183"/>
      <c r="E103" s="453"/>
      <c r="F103" s="316"/>
      <c r="G103" s="316"/>
      <c r="H103" s="183"/>
      <c r="I103" s="453"/>
      <c r="J103" s="325"/>
      <c r="K103" s="325"/>
      <c r="L103" s="183"/>
      <c r="M103" s="23"/>
    </row>
    <row r="104" spans="1:13" ht="15.75" x14ac:dyDescent="0.2">
      <c r="A104" s="729" t="s">
        <v>479</v>
      </c>
      <c r="B104" s="316"/>
      <c r="C104" s="316"/>
      <c r="D104" s="183"/>
      <c r="E104" s="453"/>
      <c r="F104" s="316"/>
      <c r="G104" s="316"/>
      <c r="H104" s="183"/>
      <c r="I104" s="453"/>
      <c r="J104" s="325"/>
      <c r="K104" s="325"/>
      <c r="L104" s="183"/>
      <c r="M104" s="23"/>
    </row>
    <row r="105" spans="1:13" x14ac:dyDescent="0.2">
      <c r="A105" s="729" t="s">
        <v>12</v>
      </c>
      <c r="B105" s="251"/>
      <c r="C105" s="324"/>
      <c r="D105" s="183"/>
      <c r="E105" s="453"/>
      <c r="F105" s="316"/>
      <c r="G105" s="316"/>
      <c r="H105" s="183"/>
      <c r="I105" s="453"/>
      <c r="J105" s="325"/>
      <c r="K105" s="325"/>
      <c r="L105" s="183"/>
      <c r="M105" s="23"/>
    </row>
    <row r="106" spans="1:13" x14ac:dyDescent="0.2">
      <c r="A106" s="729" t="s">
        <v>13</v>
      </c>
      <c r="B106" s="251"/>
      <c r="C106" s="324"/>
      <c r="D106" s="183"/>
      <c r="E106" s="453"/>
      <c r="F106" s="316"/>
      <c r="G106" s="316"/>
      <c r="H106" s="183"/>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c r="C108" s="250"/>
      <c r="D108" s="183"/>
      <c r="E108" s="27"/>
      <c r="F108" s="250"/>
      <c r="G108" s="250"/>
      <c r="H108" s="183"/>
      <c r="I108" s="27"/>
      <c r="J108" s="322"/>
      <c r="K108" s="44"/>
      <c r="L108" s="274"/>
      <c r="M108" s="27"/>
    </row>
    <row r="109" spans="1:13" ht="15.75" x14ac:dyDescent="0.2">
      <c r="A109" s="21" t="s">
        <v>483</v>
      </c>
      <c r="B109" s="250"/>
      <c r="C109" s="250"/>
      <c r="D109" s="183"/>
      <c r="E109" s="27"/>
      <c r="F109" s="250"/>
      <c r="G109" s="250"/>
      <c r="H109" s="183"/>
      <c r="I109" s="27"/>
      <c r="J109" s="322"/>
      <c r="K109" s="44"/>
      <c r="L109" s="274"/>
      <c r="M109" s="27"/>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c r="C111" s="176"/>
      <c r="D111" s="188"/>
      <c r="E111" s="11"/>
      <c r="F111" s="344"/>
      <c r="G111" s="176"/>
      <c r="H111" s="188"/>
      <c r="I111" s="11"/>
      <c r="J111" s="345"/>
      <c r="K111" s="252"/>
      <c r="L111" s="464"/>
      <c r="M111" s="11"/>
    </row>
    <row r="112" spans="1:13" x14ac:dyDescent="0.2">
      <c r="A112" s="21" t="s">
        <v>9</v>
      </c>
      <c r="B112" s="250"/>
      <c r="C112" s="162"/>
      <c r="D112" s="183"/>
      <c r="E112" s="27"/>
      <c r="F112" s="250"/>
      <c r="G112" s="162"/>
      <c r="H112" s="183"/>
      <c r="I112" s="27"/>
      <c r="J112" s="322"/>
      <c r="K112" s="44"/>
      <c r="L112" s="274"/>
      <c r="M112" s="27"/>
    </row>
    <row r="113" spans="1:14" x14ac:dyDescent="0.2">
      <c r="A113" s="21" t="s">
        <v>10</v>
      </c>
      <c r="B113" s="250"/>
      <c r="C113" s="162"/>
      <c r="D113" s="183"/>
      <c r="E113" s="27"/>
      <c r="F113" s="250"/>
      <c r="G113" s="162"/>
      <c r="H113" s="183"/>
      <c r="I113" s="27"/>
      <c r="J113" s="322"/>
      <c r="K113" s="44"/>
      <c r="L113" s="274"/>
      <c r="M113" s="27"/>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c r="C116" s="250"/>
      <c r="D116" s="183"/>
      <c r="E116" s="27"/>
      <c r="F116" s="250"/>
      <c r="G116" s="250"/>
      <c r="H116" s="183"/>
      <c r="I116" s="27"/>
      <c r="J116" s="322"/>
      <c r="K116" s="44"/>
      <c r="L116" s="274"/>
      <c r="M116" s="27"/>
    </row>
    <row r="117" spans="1:14" ht="15.75" x14ac:dyDescent="0.2">
      <c r="A117" s="21" t="s">
        <v>483</v>
      </c>
      <c r="B117" s="250"/>
      <c r="C117" s="250"/>
      <c r="D117" s="183"/>
      <c r="E117" s="27"/>
      <c r="F117" s="250"/>
      <c r="G117" s="250"/>
      <c r="H117" s="183"/>
      <c r="I117" s="27"/>
      <c r="J117" s="322"/>
      <c r="K117" s="44"/>
      <c r="L117" s="274"/>
      <c r="M117" s="27"/>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c r="C119" s="176"/>
      <c r="D119" s="188"/>
      <c r="E119" s="11"/>
      <c r="F119" s="344"/>
      <c r="G119" s="176"/>
      <c r="H119" s="188"/>
      <c r="I119" s="11"/>
      <c r="J119" s="345"/>
      <c r="K119" s="252"/>
      <c r="L119" s="464"/>
      <c r="M119" s="11"/>
    </row>
    <row r="120" spans="1:14" x14ac:dyDescent="0.2">
      <c r="A120" s="21" t="s">
        <v>9</v>
      </c>
      <c r="B120" s="250"/>
      <c r="C120" s="162"/>
      <c r="D120" s="183"/>
      <c r="E120" s="27"/>
      <c r="F120" s="250"/>
      <c r="G120" s="162"/>
      <c r="H120" s="183"/>
      <c r="I120" s="27"/>
      <c r="J120" s="322"/>
      <c r="K120" s="44"/>
      <c r="L120" s="274"/>
      <c r="M120" s="27"/>
    </row>
    <row r="121" spans="1:14" x14ac:dyDescent="0.2">
      <c r="A121" s="21" t="s">
        <v>10</v>
      </c>
      <c r="B121" s="250"/>
      <c r="C121" s="162"/>
      <c r="D121" s="183"/>
      <c r="E121" s="27"/>
      <c r="F121" s="250"/>
      <c r="G121" s="162"/>
      <c r="H121" s="183"/>
      <c r="I121" s="27"/>
      <c r="J121" s="322"/>
      <c r="K121" s="44"/>
      <c r="L121" s="274"/>
      <c r="M121" s="27"/>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c r="G124" s="250"/>
      <c r="H124" s="183"/>
      <c r="I124" s="27"/>
      <c r="J124" s="322"/>
      <c r="K124" s="44"/>
      <c r="L124" s="274"/>
      <c r="M124" s="27"/>
    </row>
    <row r="125" spans="1:14" ht="15.75" x14ac:dyDescent="0.2">
      <c r="A125" s="21" t="s">
        <v>483</v>
      </c>
      <c r="B125" s="250"/>
      <c r="C125" s="250"/>
      <c r="D125" s="183"/>
      <c r="E125" s="27"/>
      <c r="F125" s="250"/>
      <c r="G125" s="250"/>
      <c r="H125" s="183"/>
      <c r="I125" s="27"/>
      <c r="J125" s="322"/>
      <c r="K125" s="44"/>
      <c r="L125" s="274"/>
      <c r="M125" s="27"/>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334"/>
      <c r="F130" s="756"/>
      <c r="G130" s="756"/>
      <c r="H130" s="756"/>
      <c r="I130" s="334"/>
      <c r="J130" s="756"/>
      <c r="K130" s="756"/>
      <c r="L130" s="756"/>
      <c r="M130" s="334"/>
    </row>
    <row r="131" spans="1:15" s="3" customFormat="1" x14ac:dyDescent="0.2">
      <c r="A131" s="161"/>
      <c r="B131" s="752" t="s">
        <v>0</v>
      </c>
      <c r="C131" s="753"/>
      <c r="D131" s="753"/>
      <c r="E131" s="336"/>
      <c r="F131" s="752" t="s">
        <v>1</v>
      </c>
      <c r="G131" s="753"/>
      <c r="H131" s="753"/>
      <c r="I131" s="339"/>
      <c r="J131" s="752" t="s">
        <v>2</v>
      </c>
      <c r="K131" s="753"/>
      <c r="L131" s="753"/>
      <c r="M131" s="339"/>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3" priority="123">
      <formula>kvartal &lt; 4</formula>
    </cfRule>
  </conditionalFormatting>
  <conditionalFormatting sqref="B69">
    <cfRule type="expression" dxfId="82" priority="91">
      <formula>kvartal &lt; 4</formula>
    </cfRule>
  </conditionalFormatting>
  <conditionalFormatting sqref="C69">
    <cfRule type="expression" dxfId="81" priority="90">
      <formula>kvartal &lt; 4</formula>
    </cfRule>
  </conditionalFormatting>
  <conditionalFormatting sqref="B72">
    <cfRule type="expression" dxfId="80" priority="89">
      <formula>kvartal &lt; 4</formula>
    </cfRule>
  </conditionalFormatting>
  <conditionalFormatting sqref="C72">
    <cfRule type="expression" dxfId="79" priority="88">
      <formula>kvartal &lt; 4</formula>
    </cfRule>
  </conditionalFormatting>
  <conditionalFormatting sqref="B80">
    <cfRule type="expression" dxfId="78" priority="87">
      <formula>kvartal &lt; 4</formula>
    </cfRule>
  </conditionalFormatting>
  <conditionalFormatting sqref="C80">
    <cfRule type="expression" dxfId="77" priority="86">
      <formula>kvartal &lt; 4</formula>
    </cfRule>
  </conditionalFormatting>
  <conditionalFormatting sqref="B83">
    <cfRule type="expression" dxfId="76" priority="85">
      <formula>kvartal &lt; 4</formula>
    </cfRule>
  </conditionalFormatting>
  <conditionalFormatting sqref="C83">
    <cfRule type="expression" dxfId="75" priority="84">
      <formula>kvartal &lt; 4</formula>
    </cfRule>
  </conditionalFormatting>
  <conditionalFormatting sqref="B90">
    <cfRule type="expression" dxfId="74" priority="75">
      <formula>kvartal &lt; 4</formula>
    </cfRule>
  </conditionalFormatting>
  <conditionalFormatting sqref="C90">
    <cfRule type="expression" dxfId="73" priority="74">
      <formula>kvartal &lt; 4</formula>
    </cfRule>
  </conditionalFormatting>
  <conditionalFormatting sqref="B93">
    <cfRule type="expression" dxfId="72" priority="73">
      <formula>kvartal &lt; 4</formula>
    </cfRule>
  </conditionalFormatting>
  <conditionalFormatting sqref="C93">
    <cfRule type="expression" dxfId="71" priority="72">
      <formula>kvartal &lt; 4</formula>
    </cfRule>
  </conditionalFormatting>
  <conditionalFormatting sqref="B101">
    <cfRule type="expression" dxfId="70" priority="71">
      <formula>kvartal &lt; 4</formula>
    </cfRule>
  </conditionalFormatting>
  <conditionalFormatting sqref="C101">
    <cfRule type="expression" dxfId="69" priority="70">
      <formula>kvartal &lt; 4</formula>
    </cfRule>
  </conditionalFormatting>
  <conditionalFormatting sqref="B104">
    <cfRule type="expression" dxfId="68" priority="69">
      <formula>kvartal &lt; 4</formula>
    </cfRule>
  </conditionalFormatting>
  <conditionalFormatting sqref="C104">
    <cfRule type="expression" dxfId="67" priority="68">
      <formula>kvartal &lt; 4</formula>
    </cfRule>
  </conditionalFormatting>
  <conditionalFormatting sqref="B115">
    <cfRule type="expression" dxfId="66" priority="67">
      <formula>kvartal &lt; 4</formula>
    </cfRule>
  </conditionalFormatting>
  <conditionalFormatting sqref="C115">
    <cfRule type="expression" dxfId="65" priority="66">
      <formula>kvartal &lt; 4</formula>
    </cfRule>
  </conditionalFormatting>
  <conditionalFormatting sqref="B123">
    <cfRule type="expression" dxfId="64" priority="65">
      <formula>kvartal &lt; 4</formula>
    </cfRule>
  </conditionalFormatting>
  <conditionalFormatting sqref="C123">
    <cfRule type="expression" dxfId="63" priority="64">
      <formula>kvartal &lt; 4</formula>
    </cfRule>
  </conditionalFormatting>
  <conditionalFormatting sqref="F70">
    <cfRule type="expression" dxfId="62" priority="63">
      <formula>kvartal &lt; 4</formula>
    </cfRule>
  </conditionalFormatting>
  <conditionalFormatting sqref="G70">
    <cfRule type="expression" dxfId="61" priority="62">
      <formula>kvartal &lt; 4</formula>
    </cfRule>
  </conditionalFormatting>
  <conditionalFormatting sqref="F71:G71">
    <cfRule type="expression" dxfId="60" priority="61">
      <formula>kvartal &lt; 4</formula>
    </cfRule>
  </conditionalFormatting>
  <conditionalFormatting sqref="F73:G74">
    <cfRule type="expression" dxfId="59" priority="60">
      <formula>kvartal &lt; 4</formula>
    </cfRule>
  </conditionalFormatting>
  <conditionalFormatting sqref="F81:G82">
    <cfRule type="expression" dxfId="58" priority="59">
      <formula>kvartal &lt; 4</formula>
    </cfRule>
  </conditionalFormatting>
  <conditionalFormatting sqref="F84:G85">
    <cfRule type="expression" dxfId="57" priority="58">
      <formula>kvartal &lt; 4</formula>
    </cfRule>
  </conditionalFormatting>
  <conditionalFormatting sqref="F91:G92">
    <cfRule type="expression" dxfId="56" priority="53">
      <formula>kvartal &lt; 4</formula>
    </cfRule>
  </conditionalFormatting>
  <conditionalFormatting sqref="F94:G95">
    <cfRule type="expression" dxfId="55" priority="52">
      <formula>kvartal &lt; 4</formula>
    </cfRule>
  </conditionalFormatting>
  <conditionalFormatting sqref="F102:G103">
    <cfRule type="expression" dxfId="54" priority="51">
      <formula>kvartal &lt; 4</formula>
    </cfRule>
  </conditionalFormatting>
  <conditionalFormatting sqref="F105:G106">
    <cfRule type="expression" dxfId="53" priority="50">
      <formula>kvartal &lt; 4</formula>
    </cfRule>
  </conditionalFormatting>
  <conditionalFormatting sqref="F115">
    <cfRule type="expression" dxfId="52" priority="49">
      <formula>kvartal &lt; 4</formula>
    </cfRule>
  </conditionalFormatting>
  <conditionalFormatting sqref="G115">
    <cfRule type="expression" dxfId="51" priority="48">
      <formula>kvartal &lt; 4</formula>
    </cfRule>
  </conditionalFormatting>
  <conditionalFormatting sqref="F123:G123">
    <cfRule type="expression" dxfId="50" priority="47">
      <formula>kvartal &lt; 4</formula>
    </cfRule>
  </conditionalFormatting>
  <conditionalFormatting sqref="F69:G69">
    <cfRule type="expression" dxfId="49" priority="46">
      <formula>kvartal &lt; 4</formula>
    </cfRule>
  </conditionalFormatting>
  <conditionalFormatting sqref="F72:G72">
    <cfRule type="expression" dxfId="48" priority="45">
      <formula>kvartal &lt; 4</formula>
    </cfRule>
  </conditionalFormatting>
  <conditionalFormatting sqref="F80:G80">
    <cfRule type="expression" dxfId="47" priority="44">
      <formula>kvartal &lt; 4</formula>
    </cfRule>
  </conditionalFormatting>
  <conditionalFormatting sqref="F83:G83">
    <cfRule type="expression" dxfId="46" priority="43">
      <formula>kvartal &lt; 4</formula>
    </cfRule>
  </conditionalFormatting>
  <conditionalFormatting sqref="F90:G90">
    <cfRule type="expression" dxfId="45" priority="37">
      <formula>kvartal &lt; 4</formula>
    </cfRule>
  </conditionalFormatting>
  <conditionalFormatting sqref="F93">
    <cfRule type="expression" dxfId="44" priority="36">
      <formula>kvartal &lt; 4</formula>
    </cfRule>
  </conditionalFormatting>
  <conditionalFormatting sqref="G93">
    <cfRule type="expression" dxfId="43" priority="35">
      <formula>kvartal &lt; 4</formula>
    </cfRule>
  </conditionalFormatting>
  <conditionalFormatting sqref="F101">
    <cfRule type="expression" dxfId="42" priority="34">
      <formula>kvartal &lt; 4</formula>
    </cfRule>
  </conditionalFormatting>
  <conditionalFormatting sqref="G101">
    <cfRule type="expression" dxfId="41" priority="33">
      <formula>kvartal &lt; 4</formula>
    </cfRule>
  </conditionalFormatting>
  <conditionalFormatting sqref="G104">
    <cfRule type="expression" dxfId="40" priority="32">
      <formula>kvartal &lt; 4</formula>
    </cfRule>
  </conditionalFormatting>
  <conditionalFormatting sqref="F104">
    <cfRule type="expression" dxfId="39" priority="31">
      <formula>kvartal &lt; 4</formula>
    </cfRule>
  </conditionalFormatting>
  <conditionalFormatting sqref="J69:K73">
    <cfRule type="expression" dxfId="38" priority="30">
      <formula>kvartal &lt; 4</formula>
    </cfRule>
  </conditionalFormatting>
  <conditionalFormatting sqref="J74:K74">
    <cfRule type="expression" dxfId="37" priority="29">
      <formula>kvartal &lt; 4</formula>
    </cfRule>
  </conditionalFormatting>
  <conditionalFormatting sqref="J80:K85">
    <cfRule type="expression" dxfId="36" priority="28">
      <formula>kvartal &lt; 4</formula>
    </cfRule>
  </conditionalFormatting>
  <conditionalFormatting sqref="J90:K95">
    <cfRule type="expression" dxfId="35" priority="25">
      <formula>kvartal &lt; 4</formula>
    </cfRule>
  </conditionalFormatting>
  <conditionalFormatting sqref="J101:K106">
    <cfRule type="expression" dxfId="34" priority="24">
      <formula>kvartal &lt; 4</formula>
    </cfRule>
  </conditionalFormatting>
  <conditionalFormatting sqref="J115:K115">
    <cfRule type="expression" dxfId="33" priority="23">
      <formula>kvartal &lt; 4</formula>
    </cfRule>
  </conditionalFormatting>
  <conditionalFormatting sqref="J123:K123">
    <cfRule type="expression" dxfId="32" priority="22">
      <formula>kvartal &lt; 4</formula>
    </cfRule>
  </conditionalFormatting>
  <conditionalFormatting sqref="A50:A52">
    <cfRule type="expression" dxfId="31" priority="18">
      <formula>kvartal &lt; 4</formula>
    </cfRule>
  </conditionalFormatting>
  <conditionalFormatting sqref="A69:A74">
    <cfRule type="expression" dxfId="30" priority="6">
      <formula>kvartal &lt; 4</formula>
    </cfRule>
  </conditionalFormatting>
  <conditionalFormatting sqref="A115">
    <cfRule type="expression" dxfId="29" priority="5">
      <formula>kvartal &lt; 4</formula>
    </cfRule>
  </conditionalFormatting>
  <conditionalFormatting sqref="A123">
    <cfRule type="expression" dxfId="28" priority="4">
      <formula>kvartal &lt; 4</formula>
    </cfRule>
  </conditionalFormatting>
  <conditionalFormatting sqref="A80:A85">
    <cfRule type="expression" dxfId="27" priority="3">
      <formula>kvartal &lt; 4</formula>
    </cfRule>
  </conditionalFormatting>
  <conditionalFormatting sqref="A90:A95">
    <cfRule type="expression" dxfId="26" priority="2">
      <formula>kvartal &lt; 4</formula>
    </cfRule>
  </conditionalFormatting>
  <conditionalFormatting sqref="A101:A106">
    <cfRule type="expression" dxfId="25"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180"/>
  <sheetViews>
    <sheetView showGridLines="0" showZeros="0" topLeftCell="A28"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53</v>
      </c>
    </row>
    <row r="2" spans="1:15" x14ac:dyDescent="0.3">
      <c r="A2" s="75"/>
      <c r="B2" s="74"/>
      <c r="C2" s="74"/>
      <c r="D2" s="74"/>
      <c r="E2" s="74"/>
      <c r="F2" s="74"/>
      <c r="G2" s="74"/>
      <c r="H2" s="74"/>
      <c r="I2" s="74"/>
      <c r="J2" s="74"/>
      <c r="K2" s="74"/>
      <c r="O2" s="74"/>
    </row>
    <row r="3" spans="1:15" x14ac:dyDescent="0.3">
      <c r="A3" s="75" t="s">
        <v>33</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tr">
        <f>"Figur 1  Brutto forfalt premie livprodukter  -  produkter uten investeringsvalg pr. "&amp;Dag&amp;".0"&amp;Måned&amp;"."</f>
        <v>Figur 1  Brutto forfalt premie livprodukter  -  produkter uten investeringsvalg pr. 31.03.</v>
      </c>
      <c r="B5" s="74"/>
      <c r="C5" s="74"/>
      <c r="D5" s="74"/>
      <c r="E5" s="74"/>
      <c r="F5" s="74"/>
      <c r="G5" s="74"/>
      <c r="H5" s="74"/>
      <c r="I5" s="79"/>
      <c r="J5" s="74"/>
      <c r="K5" s="74"/>
      <c r="O5" s="74"/>
    </row>
    <row r="6" spans="1:15" x14ac:dyDescent="0.3">
      <c r="A6" s="74"/>
      <c r="B6" s="74"/>
      <c r="C6" s="74"/>
      <c r="D6" s="74"/>
      <c r="E6" s="74"/>
      <c r="F6" s="74"/>
      <c r="G6" s="74"/>
      <c r="H6" s="74"/>
      <c r="I6" s="74"/>
      <c r="J6" s="74"/>
      <c r="K6" s="74"/>
      <c r="L6" s="74" t="s">
        <v>54</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2017</v>
      </c>
      <c r="N8" s="74">
        <v>2018</v>
      </c>
      <c r="O8" s="74"/>
    </row>
    <row r="9" spans="1:15" x14ac:dyDescent="0.3">
      <c r="A9" s="74"/>
      <c r="B9" s="74"/>
      <c r="C9" s="74"/>
      <c r="D9" s="74"/>
      <c r="E9" s="74"/>
      <c r="F9" s="74"/>
      <c r="G9" s="74"/>
      <c r="H9" s="74"/>
      <c r="I9" s="74"/>
      <c r="J9" s="74"/>
      <c r="K9" s="74"/>
      <c r="L9" s="74" t="s">
        <v>55</v>
      </c>
      <c r="M9" s="77">
        <f>'Tabel 1.1'!B9</f>
        <v>0</v>
      </c>
      <c r="N9" s="77">
        <f>'Tabel 1.1'!C9</f>
        <v>0</v>
      </c>
      <c r="O9" s="74"/>
    </row>
    <row r="10" spans="1:15" x14ac:dyDescent="0.3">
      <c r="A10" s="74"/>
      <c r="B10" s="74"/>
      <c r="C10" s="74"/>
      <c r="D10" s="74"/>
      <c r="E10" s="74"/>
      <c r="F10" s="74"/>
      <c r="G10" s="74"/>
      <c r="H10" s="74"/>
      <c r="I10" s="74"/>
      <c r="J10" s="74"/>
      <c r="K10" s="74"/>
      <c r="L10" s="74" t="s">
        <v>56</v>
      </c>
      <c r="M10" s="77">
        <f>'Tabel 1.1'!B10</f>
        <v>101335.864</v>
      </c>
      <c r="N10" s="77">
        <f>'Tabel 1.1'!C10</f>
        <v>105522.829</v>
      </c>
      <c r="O10" s="74"/>
    </row>
    <row r="11" spans="1:15" x14ac:dyDescent="0.3">
      <c r="A11" s="74"/>
      <c r="B11" s="74"/>
      <c r="C11" s="74"/>
      <c r="D11" s="74"/>
      <c r="E11" s="74"/>
      <c r="F11" s="74"/>
      <c r="G11" s="74"/>
      <c r="H11" s="74"/>
      <c r="I11" s="74"/>
      <c r="J11" s="74"/>
      <c r="K11" s="74"/>
      <c r="L11" s="74" t="s">
        <v>57</v>
      </c>
      <c r="M11" s="77">
        <f>'Tabel 1.1'!B11</f>
        <v>2121279</v>
      </c>
      <c r="N11" s="77">
        <f>'Tabel 1.1'!C11</f>
        <v>1773028</v>
      </c>
      <c r="O11" s="74"/>
    </row>
    <row r="12" spans="1:15" x14ac:dyDescent="0.3">
      <c r="A12" s="74"/>
      <c r="B12" s="74"/>
      <c r="C12" s="74"/>
      <c r="D12" s="74"/>
      <c r="E12" s="74"/>
      <c r="F12" s="74"/>
      <c r="G12" s="74"/>
      <c r="H12" s="74"/>
      <c r="I12" s="74"/>
      <c r="J12" s="74"/>
      <c r="K12" s="74"/>
      <c r="L12" s="74" t="s">
        <v>58</v>
      </c>
      <c r="M12" s="77">
        <f>'Tabel 1.1'!B12</f>
        <v>58168</v>
      </c>
      <c r="N12" s="77">
        <f>'Tabel 1.1'!C12</f>
        <v>66623</v>
      </c>
      <c r="O12" s="74"/>
    </row>
    <row r="13" spans="1:15" x14ac:dyDescent="0.3">
      <c r="A13" s="74"/>
      <c r="B13" s="74"/>
      <c r="C13" s="74"/>
      <c r="D13" s="74"/>
      <c r="E13" s="74"/>
      <c r="F13" s="74"/>
      <c r="G13" s="74"/>
      <c r="H13" s="74"/>
      <c r="I13" s="74"/>
      <c r="J13" s="74"/>
      <c r="K13" s="74"/>
      <c r="L13" s="74" t="s">
        <v>59</v>
      </c>
      <c r="M13" s="77">
        <f>'Tabel 1.1'!B13</f>
        <v>487767</v>
      </c>
      <c r="N13" s="77">
        <f>'Tabel 1.1'!C13</f>
        <v>518678</v>
      </c>
      <c r="O13" s="74"/>
    </row>
    <row r="14" spans="1:15" x14ac:dyDescent="0.3">
      <c r="A14" s="74"/>
      <c r="B14" s="74"/>
      <c r="C14" s="74"/>
      <c r="D14" s="74"/>
      <c r="E14" s="74"/>
      <c r="F14" s="74"/>
      <c r="G14" s="74"/>
      <c r="H14" s="74"/>
      <c r="I14" s="74"/>
      <c r="J14" s="74"/>
      <c r="K14" s="74"/>
      <c r="L14" s="74" t="s">
        <v>60</v>
      </c>
      <c r="M14" s="77">
        <f>'Tabel 1.1'!B14</f>
        <v>4414</v>
      </c>
      <c r="N14" s="77">
        <f>'Tabel 1.1'!C14</f>
        <v>4814</v>
      </c>
      <c r="O14" s="74"/>
    </row>
    <row r="15" spans="1:15" x14ac:dyDescent="0.3">
      <c r="A15" s="74"/>
      <c r="B15" s="74"/>
      <c r="C15" s="74"/>
      <c r="D15" s="74"/>
      <c r="E15" s="74"/>
      <c r="F15" s="74"/>
      <c r="G15" s="74"/>
      <c r="H15" s="74"/>
      <c r="I15" s="74"/>
      <c r="J15" s="74"/>
      <c r="K15" s="74"/>
      <c r="L15" s="74" t="s">
        <v>61</v>
      </c>
      <c r="M15" s="77">
        <f>'Tabel 1.1'!B15</f>
        <v>1033220</v>
      </c>
      <c r="N15" s="77">
        <f>'Tabel 1.1'!C15</f>
        <v>1052245</v>
      </c>
      <c r="O15" s="74"/>
    </row>
    <row r="16" spans="1:15" x14ac:dyDescent="0.3">
      <c r="A16" s="74"/>
      <c r="B16" s="74"/>
      <c r="C16" s="74"/>
      <c r="D16" s="74"/>
      <c r="E16" s="74"/>
      <c r="F16" s="74"/>
      <c r="G16" s="74"/>
      <c r="H16" s="74"/>
      <c r="I16" s="74"/>
      <c r="J16" s="74"/>
      <c r="K16" s="74"/>
      <c r="L16" s="74" t="s">
        <v>62</v>
      </c>
      <c r="M16" s="77">
        <f>'Tabel 1.1'!B16</f>
        <v>155987</v>
      </c>
      <c r="N16" s="77">
        <f>'Tabel 1.1'!C16</f>
        <v>178625</v>
      </c>
      <c r="O16" s="74"/>
    </row>
    <row r="17" spans="1:15" x14ac:dyDescent="0.3">
      <c r="A17" s="74"/>
      <c r="B17" s="74"/>
      <c r="C17" s="74"/>
      <c r="D17" s="74"/>
      <c r="E17" s="74"/>
      <c r="F17" s="74"/>
      <c r="G17" s="74"/>
      <c r="H17" s="74"/>
      <c r="I17" s="74"/>
      <c r="J17" s="74"/>
      <c r="K17" s="74"/>
      <c r="L17" s="74" t="s">
        <v>63</v>
      </c>
      <c r="M17" s="77">
        <f>'Tabel 1.1'!B17</f>
        <v>11269</v>
      </c>
      <c r="N17" s="77">
        <f>'Tabel 1.1'!C17</f>
        <v>10248</v>
      </c>
      <c r="O17" s="74"/>
    </row>
    <row r="18" spans="1:15" x14ac:dyDescent="0.3">
      <c r="A18" s="74"/>
      <c r="B18" s="74"/>
      <c r="C18" s="74"/>
      <c r="D18" s="74"/>
      <c r="E18" s="74"/>
      <c r="F18" s="74"/>
      <c r="G18" s="74"/>
      <c r="H18" s="74"/>
      <c r="I18" s="74"/>
      <c r="J18" s="74"/>
      <c r="K18" s="74"/>
      <c r="L18" s="74" t="s">
        <v>64</v>
      </c>
      <c r="M18" s="77">
        <f>'Tabel 1.1'!B18</f>
        <v>171195.791</v>
      </c>
      <c r="N18" s="77">
        <f>'Tabel 1.1'!C18</f>
        <v>153678.71638</v>
      </c>
      <c r="O18" s="74"/>
    </row>
    <row r="19" spans="1:15" x14ac:dyDescent="0.3">
      <c r="A19" s="74"/>
      <c r="B19" s="74"/>
      <c r="C19" s="74"/>
      <c r="D19" s="74"/>
      <c r="E19" s="74"/>
      <c r="F19" s="74"/>
      <c r="G19" s="74"/>
      <c r="H19" s="74"/>
      <c r="I19" s="74"/>
      <c r="J19" s="74"/>
      <c r="K19" s="74"/>
      <c r="L19" s="74" t="s">
        <v>65</v>
      </c>
      <c r="M19" s="77">
        <f>'Tabel 1.1'!B19</f>
        <v>6288898.7351200003</v>
      </c>
      <c r="N19" s="77">
        <f>'Tabel 1.1'!C19</f>
        <v>6307422.4361200007</v>
      </c>
      <c r="O19" s="74"/>
    </row>
    <row r="20" spans="1:15" x14ac:dyDescent="0.3">
      <c r="A20" s="74"/>
      <c r="B20" s="74"/>
      <c r="C20" s="74"/>
      <c r="D20" s="74"/>
      <c r="E20" s="74"/>
      <c r="F20" s="74"/>
      <c r="G20" s="74"/>
      <c r="H20" s="74"/>
      <c r="I20" s="74"/>
      <c r="J20" s="74"/>
      <c r="K20" s="74"/>
      <c r="L20" s="74" t="s">
        <v>66</v>
      </c>
      <c r="M20" s="77">
        <f>'Tabel 1.1'!B20</f>
        <v>21438</v>
      </c>
      <c r="N20" s="77">
        <f>'Tabel 1.1'!C20</f>
        <v>20618</v>
      </c>
      <c r="O20" s="74"/>
    </row>
    <row r="21" spans="1:15" x14ac:dyDescent="0.3">
      <c r="A21" s="74"/>
      <c r="B21" s="74"/>
      <c r="C21" s="74"/>
      <c r="D21" s="74"/>
      <c r="E21" s="74"/>
      <c r="F21" s="74"/>
      <c r="G21" s="74"/>
      <c r="H21" s="74"/>
      <c r="I21" s="74"/>
      <c r="J21" s="74"/>
      <c r="K21" s="74"/>
      <c r="L21" s="74" t="s">
        <v>67</v>
      </c>
      <c r="M21" s="77">
        <f>'Tabel 1.1'!B21</f>
        <v>117684.757</v>
      </c>
      <c r="N21" s="77">
        <f>'Tabel 1.1'!C21</f>
        <v>107643.077</v>
      </c>
      <c r="O21" s="74"/>
    </row>
    <row r="22" spans="1:15" x14ac:dyDescent="0.3">
      <c r="A22" s="74"/>
      <c r="B22" s="74"/>
      <c r="C22" s="74"/>
      <c r="D22" s="74"/>
      <c r="E22" s="74"/>
      <c r="F22" s="74"/>
      <c r="G22" s="74"/>
      <c r="H22" s="74"/>
      <c r="I22" s="74"/>
      <c r="J22" s="74"/>
      <c r="K22" s="74"/>
      <c r="L22" s="74" t="s">
        <v>68</v>
      </c>
      <c r="M22" s="77">
        <f>'Tabel 1.1'!B22</f>
        <v>19934</v>
      </c>
      <c r="N22" s="77">
        <f>'Tabel 1.1'!C22</f>
        <v>21888.014999999999</v>
      </c>
      <c r="O22" s="74"/>
    </row>
    <row r="23" spans="1:15" x14ac:dyDescent="0.3">
      <c r="A23" s="74"/>
      <c r="B23" s="74"/>
      <c r="C23" s="74"/>
      <c r="D23" s="74"/>
      <c r="E23" s="74"/>
      <c r="F23" s="74"/>
      <c r="G23" s="74"/>
      <c r="H23" s="74"/>
      <c r="I23" s="74"/>
      <c r="J23" s="74"/>
      <c r="K23" s="74"/>
      <c r="L23" s="74" t="s">
        <v>69</v>
      </c>
      <c r="M23" s="77">
        <f>'Tabel 1.1'!B23</f>
        <v>2312</v>
      </c>
      <c r="N23" s="77">
        <f>'Tabel 1.1'!C23</f>
        <v>620</v>
      </c>
      <c r="O23" s="74"/>
    </row>
    <row r="24" spans="1:15" x14ac:dyDescent="0.3">
      <c r="A24" s="74"/>
      <c r="B24" s="74"/>
      <c r="C24" s="74"/>
      <c r="D24" s="74"/>
      <c r="E24" s="74"/>
      <c r="F24" s="74"/>
      <c r="G24" s="74"/>
      <c r="H24" s="74"/>
      <c r="I24" s="74"/>
      <c r="J24" s="74"/>
      <c r="K24" s="74"/>
      <c r="L24" s="74" t="s">
        <v>70</v>
      </c>
      <c r="M24" s="77">
        <f>'Tabel 1.1'!B24</f>
        <v>817756.21181999997</v>
      </c>
      <c r="N24" s="77">
        <f>'Tabel 1.1'!C24</f>
        <v>665744.15912939585</v>
      </c>
      <c r="O24" s="74"/>
    </row>
    <row r="25" spans="1:15" x14ac:dyDescent="0.3">
      <c r="A25" s="74"/>
      <c r="B25" s="74"/>
      <c r="C25" s="74"/>
      <c r="D25" s="74"/>
      <c r="E25" s="74"/>
      <c r="F25" s="74"/>
      <c r="G25" s="74"/>
      <c r="H25" s="74"/>
      <c r="I25" s="74"/>
      <c r="J25" s="74"/>
      <c r="K25" s="74"/>
      <c r="L25" s="74" t="s">
        <v>71</v>
      </c>
      <c r="M25" s="77">
        <f>'Tabel 1.1'!B25</f>
        <v>785297</v>
      </c>
      <c r="N25" s="77">
        <f>'Tabel 1.1'!C25</f>
        <v>725316</v>
      </c>
      <c r="O25" s="74"/>
    </row>
    <row r="26" spans="1:15" x14ac:dyDescent="0.3">
      <c r="A26" s="74"/>
      <c r="B26" s="74"/>
      <c r="C26" s="74"/>
      <c r="D26" s="74"/>
      <c r="E26" s="74"/>
      <c r="F26" s="74"/>
      <c r="G26" s="74"/>
      <c r="H26" s="74"/>
      <c r="I26" s="74"/>
      <c r="J26" s="74"/>
      <c r="K26" s="74"/>
      <c r="L26" s="74" t="s">
        <v>72</v>
      </c>
      <c r="M26" s="77">
        <f>'Tabel 1.1'!B26</f>
        <v>782973.22236999997</v>
      </c>
      <c r="N26" s="77">
        <f>'Tabel 1.1'!C26</f>
        <v>816522.19760999992</v>
      </c>
      <c r="O26" s="74"/>
    </row>
    <row r="27" spans="1:15" x14ac:dyDescent="0.3">
      <c r="A27" s="74"/>
      <c r="B27" s="74"/>
      <c r="C27" s="74"/>
      <c r="D27" s="74"/>
      <c r="E27" s="74"/>
      <c r="F27" s="74"/>
      <c r="G27" s="74"/>
      <c r="H27" s="74"/>
      <c r="I27" s="74"/>
      <c r="J27" s="74"/>
      <c r="K27" s="74"/>
      <c r="L27" s="74" t="s">
        <v>73</v>
      </c>
      <c r="M27" s="77">
        <f>'Tabel 1.1'!B27</f>
        <v>2413053.41</v>
      </c>
      <c r="N27" s="77">
        <f>'Tabel 1.1'!C27</f>
        <v>2307542.6269999999</v>
      </c>
    </row>
    <row r="28" spans="1:15" x14ac:dyDescent="0.3">
      <c r="A28" s="74"/>
      <c r="B28" s="74"/>
      <c r="C28" s="74"/>
      <c r="D28" s="74"/>
      <c r="E28" s="74"/>
      <c r="F28" s="74"/>
      <c r="G28" s="74"/>
      <c r="H28" s="74"/>
      <c r="I28" s="74"/>
      <c r="J28" s="74"/>
      <c r="K28" s="74"/>
      <c r="L28" s="74" t="s">
        <v>74</v>
      </c>
      <c r="M28" s="77">
        <f>'Tabel 1.1'!B28</f>
        <v>0</v>
      </c>
      <c r="N28" s="77">
        <f>'Tabel 1.1'!C28</f>
        <v>0</v>
      </c>
    </row>
    <row r="29" spans="1:15" x14ac:dyDescent="0.3">
      <c r="A29" s="74"/>
      <c r="B29" s="74"/>
      <c r="C29" s="74"/>
      <c r="D29" s="74"/>
      <c r="E29" s="74"/>
      <c r="F29" s="74"/>
      <c r="G29" s="74"/>
      <c r="H29" s="74"/>
      <c r="I29" s="74"/>
      <c r="J29" s="74"/>
      <c r="K29" s="74"/>
      <c r="L29" s="74" t="s">
        <v>75</v>
      </c>
      <c r="M29" s="77">
        <f>'Tabel 1.1'!B29</f>
        <v>424578.353</v>
      </c>
      <c r="N29" s="77">
        <f>'Tabel 1.1'!C29</f>
        <v>417186</v>
      </c>
    </row>
    <row r="30" spans="1:15" x14ac:dyDescent="0.3">
      <c r="A30" s="75" t="str">
        <f>"Figur 2  Brutto forfalt premie livprodukter  -  produkter med investeringsvalg pr. "&amp;Dag&amp;".0"&amp;Måned&amp;"."</f>
        <v>Figur 2  Brutto forfalt premie livprodukter  -  produkter med investeringsvalg pr. 31.03.</v>
      </c>
      <c r="B30" s="74"/>
      <c r="C30" s="74"/>
      <c r="D30" s="74"/>
      <c r="E30" s="74"/>
      <c r="F30" s="74"/>
      <c r="G30" s="74"/>
      <c r="H30" s="74"/>
      <c r="I30" s="79"/>
      <c r="J30" s="74"/>
      <c r="K30" s="74"/>
    </row>
    <row r="31" spans="1:15" x14ac:dyDescent="0.3">
      <c r="B31" s="74"/>
      <c r="C31" s="74"/>
      <c r="D31" s="74"/>
      <c r="E31" s="74"/>
      <c r="F31" s="74"/>
      <c r="G31" s="74"/>
      <c r="H31" s="74"/>
      <c r="I31" s="74"/>
      <c r="J31" s="74"/>
      <c r="K31" s="74"/>
    </row>
    <row r="32" spans="1:15" x14ac:dyDescent="0.3">
      <c r="B32" s="74"/>
      <c r="C32" s="74"/>
      <c r="D32" s="74"/>
      <c r="E32" s="74"/>
      <c r="F32" s="74"/>
      <c r="G32" s="74"/>
      <c r="H32" s="74"/>
      <c r="I32" s="74"/>
      <c r="J32" s="74"/>
      <c r="K32" s="74"/>
    </row>
    <row r="33" spans="1:15" x14ac:dyDescent="0.3">
      <c r="A33" s="74"/>
      <c r="B33" s="74"/>
      <c r="C33" s="74"/>
      <c r="D33" s="74"/>
      <c r="E33" s="74"/>
      <c r="F33" s="74"/>
      <c r="G33" s="74"/>
      <c r="H33" s="74"/>
      <c r="I33" s="74"/>
      <c r="J33" s="74"/>
      <c r="K33" s="74"/>
      <c r="L33" s="74" t="s">
        <v>54</v>
      </c>
    </row>
    <row r="34" spans="1:15" x14ac:dyDescent="0.3">
      <c r="A34" s="74"/>
      <c r="B34" s="74"/>
      <c r="C34" s="74"/>
      <c r="D34" s="74"/>
      <c r="E34" s="74"/>
      <c r="F34" s="74"/>
      <c r="G34" s="74"/>
      <c r="H34" s="74"/>
      <c r="I34" s="74"/>
      <c r="J34" s="74"/>
      <c r="K34" s="74"/>
      <c r="L34" s="74" t="s">
        <v>1</v>
      </c>
    </row>
    <row r="35" spans="1:15" x14ac:dyDescent="0.3">
      <c r="A35" s="74"/>
      <c r="B35" s="74"/>
      <c r="C35" s="74"/>
      <c r="D35" s="74"/>
      <c r="E35" s="74"/>
      <c r="F35" s="74"/>
      <c r="G35" s="74"/>
      <c r="H35" s="74"/>
      <c r="I35" s="74"/>
      <c r="J35" s="74"/>
      <c r="K35" s="74"/>
      <c r="M35" s="74">
        <v>2017</v>
      </c>
      <c r="N35" s="74">
        <v>2018</v>
      </c>
    </row>
    <row r="36" spans="1:15" x14ac:dyDescent="0.3">
      <c r="A36" s="74"/>
      <c r="B36" s="74"/>
      <c r="C36" s="74"/>
      <c r="D36" s="74"/>
      <c r="E36" s="74"/>
      <c r="F36" s="74"/>
      <c r="G36" s="74"/>
      <c r="H36" s="74"/>
      <c r="I36" s="74"/>
      <c r="J36" s="74"/>
      <c r="K36" s="74"/>
      <c r="L36" s="79" t="s">
        <v>56</v>
      </c>
      <c r="M36" s="78">
        <f>'Tabel 1.1'!B33</f>
        <v>481311.815</v>
      </c>
      <c r="N36" s="78">
        <f>'Tabel 1.1'!C33</f>
        <v>512553.30499999999</v>
      </c>
    </row>
    <row r="37" spans="1:15" x14ac:dyDescent="0.3">
      <c r="A37" s="74"/>
      <c r="B37" s="74"/>
      <c r="C37" s="74"/>
      <c r="D37" s="74"/>
      <c r="E37" s="74"/>
      <c r="F37" s="74"/>
      <c r="G37" s="74"/>
      <c r="H37" s="74"/>
      <c r="I37" s="74"/>
      <c r="J37" s="74"/>
      <c r="K37" s="74"/>
      <c r="L37" s="74" t="s">
        <v>57</v>
      </c>
      <c r="M37" s="78">
        <f>'Tabel 1.1'!B34</f>
        <v>2020493</v>
      </c>
      <c r="N37" s="78">
        <f>'Tabel 1.1'!C34</f>
        <v>1933331</v>
      </c>
    </row>
    <row r="38" spans="1:15" x14ac:dyDescent="0.3">
      <c r="A38" s="74"/>
      <c r="B38" s="74"/>
      <c r="C38" s="74"/>
      <c r="D38" s="74"/>
      <c r="E38" s="74"/>
      <c r="F38" s="74"/>
      <c r="G38" s="74"/>
      <c r="H38" s="74"/>
      <c r="I38" s="74"/>
      <c r="J38" s="74"/>
      <c r="K38" s="74"/>
      <c r="L38" s="74" t="s">
        <v>59</v>
      </c>
      <c r="M38" s="78">
        <f>'Tabel 1.1'!B35</f>
        <v>83001</v>
      </c>
      <c r="N38" s="78">
        <f>'Tabel 1.1'!C35</f>
        <v>88637</v>
      </c>
    </row>
    <row r="39" spans="1:15" x14ac:dyDescent="0.3">
      <c r="A39" s="74"/>
      <c r="B39" s="74"/>
      <c r="C39" s="74"/>
      <c r="D39" s="74"/>
      <c r="E39" s="74"/>
      <c r="F39" s="74"/>
      <c r="G39" s="74"/>
      <c r="H39" s="74"/>
      <c r="I39" s="74"/>
      <c r="J39" s="74"/>
      <c r="K39" s="74"/>
      <c r="L39" s="79" t="s">
        <v>62</v>
      </c>
      <c r="M39" s="78">
        <f>'Tabel 1.1'!B36</f>
        <v>601986</v>
      </c>
      <c r="N39" s="78">
        <f>'Tabel 1.1'!C36</f>
        <v>681493</v>
      </c>
    </row>
    <row r="40" spans="1:15" x14ac:dyDescent="0.3">
      <c r="A40" s="74"/>
      <c r="B40" s="74"/>
      <c r="C40" s="74"/>
      <c r="D40" s="74"/>
      <c r="E40" s="74"/>
      <c r="F40" s="74"/>
      <c r="G40" s="74"/>
      <c r="H40" s="74"/>
      <c r="I40" s="74"/>
      <c r="J40" s="74"/>
      <c r="K40" s="74"/>
      <c r="L40" s="74" t="s">
        <v>65</v>
      </c>
      <c r="M40" s="78">
        <f>'Tabel 1.1'!B37</f>
        <v>17027.863000000001</v>
      </c>
      <c r="N40" s="78">
        <f>'Tabel 1.1'!C37</f>
        <v>20875.777999999998</v>
      </c>
      <c r="O40" s="74"/>
    </row>
    <row r="41" spans="1:15" x14ac:dyDescent="0.3">
      <c r="A41" s="74"/>
      <c r="B41" s="74"/>
      <c r="C41" s="74"/>
      <c r="D41" s="74"/>
      <c r="E41" s="74"/>
      <c r="F41" s="74"/>
      <c r="G41" s="74"/>
      <c r="H41" s="74"/>
      <c r="I41" s="74"/>
      <c r="J41" s="74"/>
      <c r="K41" s="74"/>
      <c r="L41" s="79" t="s">
        <v>66</v>
      </c>
      <c r="M41" s="78">
        <f>'Tabel 1.1'!B38</f>
        <v>89510</v>
      </c>
      <c r="N41" s="78">
        <f>'Tabel 1.1'!C38</f>
        <v>108569</v>
      </c>
      <c r="O41" s="74"/>
    </row>
    <row r="42" spans="1:15" x14ac:dyDescent="0.3">
      <c r="A42" s="74"/>
      <c r="B42" s="74"/>
      <c r="C42" s="74"/>
      <c r="D42" s="74"/>
      <c r="E42" s="74"/>
      <c r="F42" s="74"/>
      <c r="G42" s="74"/>
      <c r="H42" s="74"/>
      <c r="I42" s="74"/>
      <c r="J42" s="74"/>
      <c r="K42" s="74"/>
      <c r="L42" s="79" t="s">
        <v>70</v>
      </c>
      <c r="M42" s="78">
        <f>'Tabel 1.1'!B39</f>
        <v>2401470.4565099999</v>
      </c>
      <c r="N42" s="78">
        <f>'Tabel 1.1'!C39</f>
        <v>2294973.0361000001</v>
      </c>
      <c r="O42" s="74"/>
    </row>
    <row r="43" spans="1:15" x14ac:dyDescent="0.3">
      <c r="A43" s="74"/>
      <c r="B43" s="74"/>
      <c r="C43" s="74"/>
      <c r="D43" s="74"/>
      <c r="E43" s="74"/>
      <c r="F43" s="74"/>
      <c r="G43" s="74"/>
      <c r="H43" s="74"/>
      <c r="I43" s="74"/>
      <c r="J43" s="74"/>
      <c r="K43" s="74"/>
      <c r="L43" s="79" t="s">
        <v>76</v>
      </c>
      <c r="M43" s="78">
        <f>'Tabel 1.1'!B40</f>
        <v>33664</v>
      </c>
      <c r="N43" s="78">
        <f>'Tabel 1.1'!C40</f>
        <v>42877</v>
      </c>
      <c r="O43" s="74"/>
    </row>
    <row r="44" spans="1:15" x14ac:dyDescent="0.3">
      <c r="A44" s="74"/>
      <c r="B44" s="74"/>
      <c r="C44" s="74"/>
      <c r="D44" s="74"/>
      <c r="E44" s="74"/>
      <c r="F44" s="74"/>
      <c r="G44" s="74"/>
      <c r="H44" s="74"/>
      <c r="I44" s="74"/>
      <c r="J44" s="74"/>
      <c r="K44" s="74"/>
      <c r="L44" s="79" t="s">
        <v>72</v>
      </c>
      <c r="M44" s="78">
        <f>'Tabel 1.1'!B41</f>
        <v>697464.44410999992</v>
      </c>
      <c r="N44" s="78">
        <f>'Tabel 1.1'!C41</f>
        <v>912443.09380000003</v>
      </c>
      <c r="O44" s="74"/>
    </row>
    <row r="45" spans="1:15" x14ac:dyDescent="0.3">
      <c r="A45" s="74"/>
      <c r="B45" s="74"/>
      <c r="C45" s="74"/>
      <c r="D45" s="74"/>
      <c r="E45" s="74"/>
      <c r="F45" s="74"/>
      <c r="G45" s="74"/>
      <c r="H45" s="74"/>
      <c r="I45" s="74"/>
      <c r="J45" s="74"/>
      <c r="K45" s="74"/>
      <c r="L45" s="79" t="s">
        <v>77</v>
      </c>
      <c r="M45" s="78">
        <f>'Tabel 1.1'!B42</f>
        <v>2537946.216</v>
      </c>
      <c r="N45" s="78">
        <f>'Tabel 1.1'!C42</f>
        <v>2667749.4759999998</v>
      </c>
      <c r="O45" s="74"/>
    </row>
    <row r="46" spans="1:15" x14ac:dyDescent="0.3">
      <c r="A46" s="74"/>
      <c r="B46" s="74"/>
      <c r="C46" s="74"/>
      <c r="D46" s="74"/>
      <c r="E46" s="74"/>
      <c r="F46" s="74"/>
      <c r="G46" s="74"/>
      <c r="H46" s="74"/>
      <c r="I46" s="74"/>
      <c r="J46" s="74"/>
      <c r="K46" s="74"/>
      <c r="L46" s="79"/>
      <c r="M46" s="78"/>
      <c r="N46" s="78"/>
      <c r="O46" s="74"/>
    </row>
    <row r="47" spans="1:15" x14ac:dyDescent="0.3">
      <c r="A47" s="74"/>
      <c r="B47" s="74"/>
      <c r="C47" s="74"/>
      <c r="D47" s="74"/>
      <c r="E47" s="74"/>
      <c r="F47" s="74"/>
      <c r="G47" s="74"/>
      <c r="H47" s="74"/>
      <c r="I47" s="74"/>
      <c r="J47" s="74"/>
      <c r="K47" s="74"/>
      <c r="M47" s="77"/>
      <c r="N47" s="77"/>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tr">
        <f>"Figur 3  Forsikringsforpliktelser i livsforsikring  -  produkter uten investeringsvalg pr. "&amp;Dag&amp;".0"&amp;Måned&amp;"."</f>
        <v>Figur 3  Forsikringsforpliktelser i livsforsikring  -  produkter uten investeringsvalg pr. 31.03.</v>
      </c>
      <c r="B56" s="74"/>
      <c r="C56" s="74"/>
      <c r="D56" s="74"/>
      <c r="E56" s="74"/>
      <c r="F56" s="74"/>
      <c r="G56" s="74"/>
      <c r="H56" s="74"/>
      <c r="I56" s="79"/>
      <c r="J56" s="74"/>
      <c r="K56" s="74"/>
      <c r="L56" s="74" t="s">
        <v>78</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v>2017</v>
      </c>
      <c r="N58" s="74">
        <v>2018</v>
      </c>
      <c r="O58" s="74"/>
    </row>
    <row r="59" spans="1:15" x14ac:dyDescent="0.3">
      <c r="A59" s="74"/>
      <c r="B59" s="74"/>
      <c r="C59" s="74"/>
      <c r="D59" s="74"/>
      <c r="E59" s="74"/>
      <c r="F59" s="74"/>
      <c r="G59" s="74"/>
      <c r="H59" s="74"/>
      <c r="I59" s="74"/>
      <c r="J59" s="74"/>
      <c r="K59" s="74"/>
      <c r="L59" s="74" t="s">
        <v>56</v>
      </c>
      <c r="M59" s="77">
        <f>'Tabel 1.1'!G10</f>
        <v>982925.81900000002</v>
      </c>
      <c r="N59" s="77">
        <f>'Tabel 1.1'!H10</f>
        <v>1056297.5660000001</v>
      </c>
      <c r="O59" s="74"/>
    </row>
    <row r="60" spans="1:15" x14ac:dyDescent="0.3">
      <c r="A60" s="74"/>
      <c r="B60" s="74"/>
      <c r="C60" s="74"/>
      <c r="D60" s="74"/>
      <c r="E60" s="74"/>
      <c r="F60" s="74"/>
      <c r="G60" s="74"/>
      <c r="H60" s="74"/>
      <c r="I60" s="74"/>
      <c r="J60" s="74"/>
      <c r="K60" s="74"/>
      <c r="L60" s="74" t="s">
        <v>57</v>
      </c>
      <c r="M60" s="77">
        <f>'Tabel 1.1'!G11</f>
        <v>203821446</v>
      </c>
      <c r="N60" s="77">
        <f>'Tabel 1.1'!H11</f>
        <v>203084238.5</v>
      </c>
      <c r="O60" s="74"/>
    </row>
    <row r="61" spans="1:15" x14ac:dyDescent="0.3">
      <c r="A61" s="74"/>
      <c r="B61" s="74"/>
      <c r="C61" s="74"/>
      <c r="D61" s="74"/>
      <c r="E61" s="74"/>
      <c r="F61" s="74"/>
      <c r="G61" s="74"/>
      <c r="H61" s="74"/>
      <c r="I61" s="74"/>
      <c r="J61" s="74"/>
      <c r="K61" s="74"/>
      <c r="L61" s="74" t="s">
        <v>58</v>
      </c>
      <c r="M61" s="77">
        <f>'Tabel 1.1'!G12</f>
        <v>0</v>
      </c>
      <c r="N61" s="77">
        <f>'Tabel 1.1'!H12</f>
        <v>0</v>
      </c>
      <c r="O61" s="74"/>
    </row>
    <row r="62" spans="1:15" x14ac:dyDescent="0.3">
      <c r="A62" s="74"/>
      <c r="B62" s="74"/>
      <c r="C62" s="74"/>
      <c r="D62" s="74"/>
      <c r="E62" s="74"/>
      <c r="F62" s="74"/>
      <c r="G62" s="74"/>
      <c r="H62" s="74"/>
      <c r="I62" s="74"/>
      <c r="J62" s="74"/>
      <c r="K62" s="74"/>
      <c r="L62" s="74" t="s">
        <v>59</v>
      </c>
      <c r="M62" s="77">
        <f>'Tabel 1.1'!G13</f>
        <v>1045718</v>
      </c>
      <c r="N62" s="77">
        <f>'Tabel 1.1'!H13</f>
        <v>1166853</v>
      </c>
      <c r="O62" s="74"/>
    </row>
    <row r="63" spans="1:15" x14ac:dyDescent="0.3">
      <c r="A63" s="74"/>
      <c r="B63" s="74"/>
      <c r="C63" s="74"/>
      <c r="D63" s="74"/>
      <c r="E63" s="74"/>
      <c r="F63" s="74"/>
      <c r="G63" s="74"/>
      <c r="H63" s="74"/>
      <c r="I63" s="74"/>
      <c r="J63" s="74"/>
      <c r="K63" s="74"/>
      <c r="L63" s="74" t="s">
        <v>61</v>
      </c>
      <c r="M63" s="77">
        <f>'Tabel 1.1'!G14</f>
        <v>0</v>
      </c>
      <c r="N63" s="77">
        <f>'Tabel 1.1'!H14</f>
        <v>0</v>
      </c>
      <c r="O63" s="74"/>
    </row>
    <row r="64" spans="1:15" x14ac:dyDescent="0.3">
      <c r="A64" s="74"/>
      <c r="B64" s="74"/>
      <c r="C64" s="74"/>
      <c r="D64" s="74"/>
      <c r="E64" s="74"/>
      <c r="F64" s="74"/>
      <c r="G64" s="74"/>
      <c r="H64" s="74"/>
      <c r="I64" s="74"/>
      <c r="J64" s="74"/>
      <c r="K64" s="74"/>
      <c r="L64" s="74" t="s">
        <v>62</v>
      </c>
      <c r="M64" s="77">
        <f>'Tabel 1.1'!G16</f>
        <v>5573380</v>
      </c>
      <c r="N64" s="77">
        <f>'Tabel 1.1'!H16</f>
        <v>6138522</v>
      </c>
      <c r="O64" s="74"/>
    </row>
    <row r="65" spans="1:15" x14ac:dyDescent="0.3">
      <c r="A65" s="74"/>
      <c r="B65" s="74"/>
      <c r="C65" s="74"/>
      <c r="D65" s="74"/>
      <c r="E65" s="74"/>
      <c r="F65" s="74"/>
      <c r="G65" s="74"/>
      <c r="H65" s="74"/>
      <c r="I65" s="74"/>
      <c r="J65" s="74"/>
      <c r="K65" s="74"/>
      <c r="L65" s="74" t="s">
        <v>63</v>
      </c>
      <c r="M65" s="77">
        <f>'Tabel 1.1'!G17</f>
        <v>27115</v>
      </c>
      <c r="N65" s="77">
        <f>'Tabel 1.1'!H17</f>
        <v>23193</v>
      </c>
      <c r="O65" s="74"/>
    </row>
    <row r="66" spans="1:15" x14ac:dyDescent="0.3">
      <c r="A66" s="74"/>
      <c r="B66" s="74"/>
      <c r="C66" s="74"/>
      <c r="D66" s="74"/>
      <c r="E66" s="74"/>
      <c r="F66" s="74"/>
      <c r="G66" s="74"/>
      <c r="H66" s="74"/>
      <c r="I66" s="74"/>
      <c r="J66" s="74"/>
      <c r="K66" s="74"/>
      <c r="L66" s="74" t="s">
        <v>64</v>
      </c>
      <c r="M66" s="77">
        <f>'Tabel 1.1'!G18</f>
        <v>0</v>
      </c>
      <c r="N66" s="77">
        <f>'Tabel 1.1'!H18</f>
        <v>0</v>
      </c>
      <c r="O66" s="74"/>
    </row>
    <row r="67" spans="1:15" x14ac:dyDescent="0.3">
      <c r="A67" s="74"/>
      <c r="B67" s="74"/>
      <c r="C67" s="74"/>
      <c r="D67" s="74"/>
      <c r="E67" s="74"/>
      <c r="F67" s="74"/>
      <c r="G67" s="74"/>
      <c r="H67" s="74"/>
      <c r="I67" s="74"/>
      <c r="J67" s="74"/>
      <c r="K67" s="74"/>
      <c r="L67" s="74" t="s">
        <v>65</v>
      </c>
      <c r="M67" s="77">
        <f>'Tabel 1.1'!G19</f>
        <v>425409512.87142003</v>
      </c>
      <c r="N67" s="77">
        <f>'Tabel 1.1'!H19</f>
        <v>450711574.44376999</v>
      </c>
      <c r="O67" s="74"/>
    </row>
    <row r="68" spans="1:15" x14ac:dyDescent="0.3">
      <c r="A68" s="74"/>
      <c r="B68" s="74"/>
      <c r="C68" s="74"/>
      <c r="D68" s="74"/>
      <c r="E68" s="74"/>
      <c r="F68" s="74"/>
      <c r="G68" s="74"/>
      <c r="H68" s="74"/>
      <c r="I68" s="74"/>
      <c r="J68" s="74"/>
      <c r="K68" s="74"/>
      <c r="L68" s="74" t="s">
        <v>66</v>
      </c>
      <c r="M68" s="77">
        <f>'Tabel 1.1'!G20</f>
        <v>1459120</v>
      </c>
      <c r="N68" s="77">
        <f>'Tabel 1.1'!H20</f>
        <v>1517090</v>
      </c>
      <c r="O68" s="74"/>
    </row>
    <row r="69" spans="1:15" x14ac:dyDescent="0.3">
      <c r="A69" s="74"/>
      <c r="B69" s="74"/>
      <c r="C69" s="74"/>
      <c r="D69" s="74"/>
      <c r="E69" s="74"/>
      <c r="F69" s="74"/>
      <c r="G69" s="74"/>
      <c r="H69" s="74"/>
      <c r="I69" s="74"/>
      <c r="J69" s="74"/>
      <c r="K69" s="74"/>
      <c r="L69" s="74" t="s">
        <v>70</v>
      </c>
      <c r="M69" s="77">
        <f>'Tabel 1.1'!G24</f>
        <v>49076949.99999997</v>
      </c>
      <c r="N69" s="77">
        <f>'Tabel 1.1'!H24</f>
        <v>49831728.590089791</v>
      </c>
      <c r="O69" s="74"/>
    </row>
    <row r="70" spans="1:15" x14ac:dyDescent="0.3">
      <c r="A70" s="74"/>
      <c r="B70" s="74"/>
      <c r="C70" s="74"/>
      <c r="D70" s="74"/>
      <c r="E70" s="74"/>
      <c r="F70" s="74"/>
      <c r="G70" s="74"/>
      <c r="H70" s="74"/>
      <c r="I70" s="74"/>
      <c r="J70" s="74"/>
      <c r="K70" s="74"/>
      <c r="L70" s="74" t="s">
        <v>71</v>
      </c>
      <c r="M70" s="77">
        <f>'Tabel 1.1'!G25</f>
        <v>66115112</v>
      </c>
      <c r="N70" s="77">
        <f>'Tabel 1.1'!H25</f>
        <v>71272663</v>
      </c>
      <c r="O70" s="74"/>
    </row>
    <row r="71" spans="1:15" x14ac:dyDescent="0.3">
      <c r="A71" s="74"/>
      <c r="B71" s="74"/>
      <c r="C71" s="74"/>
      <c r="D71" s="74"/>
      <c r="E71" s="74"/>
      <c r="F71" s="74"/>
      <c r="G71" s="74"/>
      <c r="H71" s="74"/>
      <c r="I71" s="74"/>
      <c r="J71" s="74"/>
      <c r="K71" s="74"/>
      <c r="L71" s="74" t="s">
        <v>72</v>
      </c>
      <c r="M71" s="77">
        <f>'Tabel 1.1'!G26</f>
        <v>17555674.020039972</v>
      </c>
      <c r="N71" s="77">
        <f>'Tabel 1.1'!H26</f>
        <v>18998939.185520001</v>
      </c>
      <c r="O71" s="74"/>
    </row>
    <row r="72" spans="1:15" x14ac:dyDescent="0.3">
      <c r="A72" s="74"/>
      <c r="B72" s="74"/>
      <c r="C72" s="74"/>
      <c r="D72" s="74"/>
      <c r="E72" s="74"/>
      <c r="F72" s="74"/>
      <c r="G72" s="74"/>
      <c r="H72" s="74"/>
      <c r="I72" s="74"/>
      <c r="J72" s="74"/>
      <c r="K72" s="74"/>
      <c r="L72" s="74" t="s">
        <v>73</v>
      </c>
      <c r="M72" s="77">
        <f>'Tabel 1.1'!G27</f>
        <v>178438668.08399999</v>
      </c>
      <c r="N72" s="77">
        <f>'Tabel 1.1'!H27</f>
        <v>181070508.74600002</v>
      </c>
      <c r="O72" s="74"/>
    </row>
    <row r="73" spans="1:15" x14ac:dyDescent="0.3">
      <c r="A73" s="74"/>
      <c r="B73" s="74"/>
      <c r="C73" s="74"/>
      <c r="D73" s="74"/>
      <c r="E73" s="74"/>
      <c r="F73" s="74"/>
      <c r="G73" s="74"/>
      <c r="H73" s="74"/>
      <c r="I73" s="74"/>
      <c r="J73" s="74"/>
      <c r="K73" s="74"/>
      <c r="O73" s="74"/>
    </row>
    <row r="74" spans="1:15" x14ac:dyDescent="0.3">
      <c r="A74" s="74"/>
      <c r="B74" s="74"/>
      <c r="C74" s="74"/>
      <c r="D74" s="74"/>
      <c r="E74" s="74"/>
      <c r="F74" s="74"/>
      <c r="G74" s="74"/>
      <c r="H74" s="74"/>
      <c r="I74" s="74"/>
      <c r="J74" s="74"/>
      <c r="K74" s="74"/>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4"/>
      <c r="B80" s="74"/>
      <c r="C80" s="74"/>
      <c r="D80" s="74"/>
      <c r="E80" s="74"/>
      <c r="F80" s="74"/>
      <c r="G80" s="74"/>
      <c r="H80" s="74"/>
      <c r="I80" s="74"/>
      <c r="J80" s="74"/>
      <c r="K80" s="74"/>
      <c r="L80" s="74" t="s">
        <v>78</v>
      </c>
      <c r="O80" s="74"/>
    </row>
    <row r="81" spans="1:15" x14ac:dyDescent="0.3">
      <c r="A81" s="75" t="str">
        <f>"Figur 4  Forsikringsforpliktelser i livsforsikring -  produkter med investeringsvalg pr. "&amp;Dag&amp;".0"&amp;Måned&amp;"."</f>
        <v>Figur 4  Forsikringsforpliktelser i livsforsikring -  produkter med investeringsvalg pr. 31.03.</v>
      </c>
      <c r="B81" s="74"/>
      <c r="C81" s="74"/>
      <c r="D81" s="74"/>
      <c r="E81" s="74"/>
      <c r="F81" s="74"/>
      <c r="G81" s="74"/>
      <c r="H81" s="74"/>
      <c r="I81" s="79"/>
      <c r="J81" s="74"/>
      <c r="K81" s="74"/>
      <c r="L81" s="74" t="s">
        <v>1</v>
      </c>
      <c r="O81" s="74"/>
    </row>
    <row r="82" spans="1:15" x14ac:dyDescent="0.3">
      <c r="B82" s="74"/>
      <c r="C82" s="74"/>
      <c r="D82" s="74"/>
      <c r="E82" s="74"/>
      <c r="F82" s="74"/>
      <c r="G82" s="74"/>
      <c r="H82" s="74"/>
      <c r="I82" s="74"/>
      <c r="J82" s="74"/>
      <c r="K82" s="74"/>
      <c r="M82" s="74">
        <v>2017</v>
      </c>
      <c r="N82" s="74">
        <v>2018</v>
      </c>
      <c r="O82" s="74"/>
    </row>
    <row r="83" spans="1:15" x14ac:dyDescent="0.3">
      <c r="A83" s="74"/>
      <c r="B83" s="74"/>
      <c r="C83" s="74"/>
      <c r="D83" s="74"/>
      <c r="E83" s="74"/>
      <c r="F83" s="74"/>
      <c r="G83" s="74"/>
      <c r="H83" s="74"/>
      <c r="I83" s="74"/>
      <c r="J83" s="74"/>
      <c r="K83" s="74"/>
      <c r="L83" s="74" t="s">
        <v>56</v>
      </c>
      <c r="M83" s="77">
        <f>'Tabel 1.1'!G33</f>
        <v>14971198.460999999</v>
      </c>
      <c r="N83" s="77">
        <f>'Tabel 1.1'!H33</f>
        <v>16706584.574999999</v>
      </c>
      <c r="O83" s="74"/>
    </row>
    <row r="84" spans="1:15" x14ac:dyDescent="0.3">
      <c r="A84" s="74"/>
      <c r="B84" s="74"/>
      <c r="C84" s="74"/>
      <c r="D84" s="74"/>
      <c r="E84" s="74"/>
      <c r="F84" s="74"/>
      <c r="G84" s="74"/>
      <c r="H84" s="74"/>
      <c r="I84" s="74"/>
      <c r="J84" s="74"/>
      <c r="K84" s="74"/>
      <c r="L84" s="74" t="s">
        <v>57</v>
      </c>
      <c r="M84" s="77">
        <f>'Tabel 1.1'!G34</f>
        <v>64688136</v>
      </c>
      <c r="N84" s="77">
        <f>'Tabel 1.1'!H34</f>
        <v>74630254</v>
      </c>
      <c r="O84" s="74"/>
    </row>
    <row r="85" spans="1:15" x14ac:dyDescent="0.3">
      <c r="A85" s="74"/>
      <c r="B85" s="74"/>
      <c r="C85" s="74"/>
      <c r="D85" s="74"/>
      <c r="E85" s="74"/>
      <c r="F85" s="74"/>
      <c r="G85" s="74"/>
      <c r="H85" s="74"/>
      <c r="I85" s="74"/>
      <c r="J85" s="74"/>
      <c r="K85" s="74"/>
      <c r="L85" s="74" t="s">
        <v>59</v>
      </c>
      <c r="M85" s="77">
        <f>'Tabel 1.1'!G35</f>
        <v>2825243</v>
      </c>
      <c r="N85" s="77">
        <f>'Tabel 1.1'!H35</f>
        <v>3185848</v>
      </c>
      <c r="O85" s="74"/>
    </row>
    <row r="86" spans="1:15" x14ac:dyDescent="0.3">
      <c r="B86" s="74"/>
      <c r="C86" s="74"/>
      <c r="D86" s="74"/>
      <c r="E86" s="74"/>
      <c r="F86" s="74"/>
      <c r="G86" s="74"/>
      <c r="H86" s="74"/>
      <c r="I86" s="74"/>
      <c r="J86" s="74"/>
      <c r="K86" s="74"/>
      <c r="L86" s="79" t="s">
        <v>62</v>
      </c>
      <c r="M86" s="77">
        <f>'Tabel 1.1'!G36</f>
        <v>19415872</v>
      </c>
      <c r="N86" s="77">
        <f>'Tabel 1.1'!H36</f>
        <v>22784107</v>
      </c>
      <c r="O86" s="74"/>
    </row>
    <row r="87" spans="1:15" x14ac:dyDescent="0.3">
      <c r="B87" s="74"/>
      <c r="C87" s="74"/>
      <c r="D87" s="74"/>
      <c r="E87" s="74"/>
      <c r="F87" s="74"/>
      <c r="G87" s="74"/>
      <c r="H87" s="74"/>
      <c r="I87" s="74"/>
      <c r="J87" s="74"/>
      <c r="K87" s="74"/>
      <c r="L87" s="74" t="s">
        <v>65</v>
      </c>
      <c r="M87" s="77">
        <f>'Tabel 1.1'!G37</f>
        <v>2241526.4711500001</v>
      </c>
      <c r="N87" s="77">
        <f>'Tabel 1.1'!H37</f>
        <v>2344983.7411500001</v>
      </c>
      <c r="O87" s="74"/>
    </row>
    <row r="88" spans="1:15" x14ac:dyDescent="0.3">
      <c r="B88" s="74"/>
      <c r="C88" s="74"/>
      <c r="D88" s="74"/>
      <c r="E88" s="74"/>
      <c r="F88" s="74"/>
      <c r="G88" s="74"/>
      <c r="H88" s="74"/>
      <c r="I88" s="74"/>
      <c r="J88" s="74"/>
      <c r="K88" s="74"/>
      <c r="L88" s="74" t="s">
        <v>66</v>
      </c>
      <c r="M88" s="77">
        <f>'Tabel 1.1'!G38</f>
        <v>1965832</v>
      </c>
      <c r="N88" s="77">
        <f>'Tabel 1.1'!H38</f>
        <v>2816074</v>
      </c>
      <c r="O88" s="74"/>
    </row>
    <row r="89" spans="1:15" x14ac:dyDescent="0.3">
      <c r="B89" s="74"/>
      <c r="C89" s="74"/>
      <c r="D89" s="74"/>
      <c r="E89" s="74"/>
      <c r="F89" s="74"/>
      <c r="G89" s="74"/>
      <c r="H89" s="74"/>
      <c r="I89" s="74"/>
      <c r="J89" s="74"/>
      <c r="K89" s="74"/>
      <c r="L89" s="74" t="s">
        <v>70</v>
      </c>
      <c r="M89" s="77">
        <f>'Tabel 1.1'!G39</f>
        <v>50143350</v>
      </c>
      <c r="N89" s="77">
        <f>'Tabel 1.1'!H39</f>
        <v>58443269.995210707</v>
      </c>
      <c r="O89" s="74"/>
    </row>
    <row r="90" spans="1:15" x14ac:dyDescent="0.3">
      <c r="B90" s="74"/>
      <c r="C90" s="74"/>
      <c r="D90" s="74"/>
      <c r="E90" s="74"/>
      <c r="F90" s="74"/>
      <c r="G90" s="74"/>
      <c r="H90" s="74"/>
      <c r="I90" s="74"/>
      <c r="J90" s="74"/>
      <c r="K90" s="74"/>
      <c r="L90" s="74" t="s">
        <v>76</v>
      </c>
      <c r="M90" s="77">
        <f>'Tabel 1.1'!G40</f>
        <v>1836877</v>
      </c>
      <c r="N90" s="77">
        <f>'Tabel 1.1'!H40</f>
        <v>2055445</v>
      </c>
      <c r="O90" s="74"/>
    </row>
    <row r="91" spans="1:15" x14ac:dyDescent="0.3">
      <c r="B91" s="74"/>
      <c r="C91" s="74"/>
      <c r="D91" s="74"/>
      <c r="E91" s="74"/>
      <c r="F91" s="74"/>
      <c r="G91" s="74"/>
      <c r="H91" s="74"/>
      <c r="I91" s="74"/>
      <c r="J91" s="74"/>
      <c r="K91" s="74"/>
      <c r="L91" s="74" t="s">
        <v>72</v>
      </c>
      <c r="M91" s="77">
        <f>'Tabel 1.1'!G41</f>
        <v>20880311.99315</v>
      </c>
      <c r="N91" s="77">
        <f>'Tabel 1.1'!H41</f>
        <v>26221241.436800003</v>
      </c>
      <c r="O91" s="74"/>
    </row>
    <row r="92" spans="1:15" x14ac:dyDescent="0.3">
      <c r="A92" s="74"/>
      <c r="B92" s="74"/>
      <c r="C92" s="74"/>
      <c r="D92" s="74"/>
      <c r="E92" s="74"/>
      <c r="F92" s="74"/>
      <c r="G92" s="74"/>
      <c r="H92" s="74"/>
      <c r="I92" s="74"/>
      <c r="J92" s="74"/>
      <c r="K92" s="74"/>
      <c r="L92" s="74" t="s">
        <v>77</v>
      </c>
      <c r="M92" s="77">
        <f>'Tabel 1.1'!G42</f>
        <v>67802748.372999996</v>
      </c>
      <c r="N92" s="77">
        <f>'Tabel 1.1'!H42</f>
        <v>89292605.564999998</v>
      </c>
      <c r="O92" s="74"/>
    </row>
    <row r="93" spans="1:15" x14ac:dyDescent="0.3">
      <c r="A93" s="74"/>
      <c r="B93" s="74"/>
      <c r="C93" s="74"/>
      <c r="D93" s="74"/>
      <c r="E93" s="74"/>
      <c r="F93" s="74"/>
      <c r="G93" s="74"/>
      <c r="H93" s="74"/>
      <c r="I93" s="74"/>
      <c r="J93" s="74"/>
      <c r="K93" s="74"/>
      <c r="M93" s="77"/>
      <c r="O93" s="74"/>
    </row>
    <row r="94" spans="1:15" ht="18.75" customHeight="1" x14ac:dyDescent="0.3">
      <c r="A94" s="74"/>
      <c r="B94" s="74"/>
      <c r="C94" s="74"/>
      <c r="D94" s="74"/>
      <c r="E94" s="74"/>
      <c r="F94" s="74"/>
      <c r="G94" s="74"/>
      <c r="H94" s="74"/>
      <c r="I94" s="74"/>
      <c r="J94" s="74"/>
      <c r="K94" s="74"/>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row>
    <row r="98" spans="1:17" ht="18.75" customHeight="1" x14ac:dyDescent="0.3">
      <c r="A98" s="74"/>
      <c r="B98" s="74"/>
      <c r="C98" s="74"/>
      <c r="D98" s="74"/>
      <c r="E98" s="74"/>
      <c r="F98" s="74"/>
      <c r="G98" s="74"/>
      <c r="H98" s="74"/>
      <c r="I98" s="74"/>
      <c r="J98" s="74"/>
      <c r="K98" s="74"/>
      <c r="O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4"/>
      <c r="B106" s="74"/>
      <c r="C106" s="74"/>
      <c r="D106" s="74"/>
      <c r="E106" s="74"/>
      <c r="F106" s="74"/>
      <c r="G106" s="74"/>
      <c r="H106" s="74"/>
      <c r="I106" s="74"/>
      <c r="J106" s="74"/>
      <c r="K106" s="74"/>
      <c r="L106" s="74" t="s">
        <v>79</v>
      </c>
      <c r="O106" s="74"/>
      <c r="Q106" s="74"/>
    </row>
    <row r="107" spans="1:17" ht="18.75" customHeight="1" x14ac:dyDescent="0.3">
      <c r="A107" s="74"/>
      <c r="B107" s="74"/>
      <c r="C107" s="74"/>
      <c r="D107" s="74"/>
      <c r="E107" s="74"/>
      <c r="F107" s="74"/>
      <c r="G107" s="74"/>
      <c r="H107" s="74"/>
      <c r="I107" s="74"/>
      <c r="J107" s="74"/>
      <c r="K107" s="74"/>
      <c r="L107" s="74" t="s">
        <v>0</v>
      </c>
      <c r="O107" s="74"/>
      <c r="Q107" s="74"/>
    </row>
    <row r="108" spans="1:17" ht="18.75" customHeight="1" x14ac:dyDescent="0.3">
      <c r="A108" s="75" t="str">
        <f>"Figur 5  Netto tilflytting livprodukter  -  produkter uten investeringsvalg pr. "&amp;Dag&amp;".0"&amp;Måned&amp;"."</f>
        <v>Figur 5  Netto tilflytting livprodukter  -  produkter uten investeringsvalg pr. 31.03.</v>
      </c>
      <c r="B108" s="74"/>
      <c r="C108" s="74"/>
      <c r="D108" s="74"/>
      <c r="E108" s="74"/>
      <c r="F108" s="74"/>
      <c r="G108" s="74"/>
      <c r="H108" s="79"/>
      <c r="I108" s="74"/>
      <c r="J108" s="74"/>
      <c r="K108" s="74"/>
      <c r="M108" s="74">
        <v>2017</v>
      </c>
      <c r="N108" s="74">
        <v>2018</v>
      </c>
      <c r="O108" s="74"/>
      <c r="Q108" s="74"/>
    </row>
    <row r="109" spans="1:17" ht="18.75" customHeight="1" x14ac:dyDescent="0.3">
      <c r="A109" s="74"/>
      <c r="B109" s="74"/>
      <c r="C109" s="74"/>
      <c r="D109" s="74"/>
      <c r="E109" s="74"/>
      <c r="F109" s="74"/>
      <c r="G109" s="74"/>
      <c r="H109" s="74"/>
      <c r="I109" s="74"/>
      <c r="J109" s="74"/>
      <c r="K109" s="74"/>
      <c r="L109" s="74" t="s">
        <v>56</v>
      </c>
      <c r="M109"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3232.74</v>
      </c>
      <c r="N109"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1918.3780000000006</v>
      </c>
      <c r="O109" s="74"/>
      <c r="Q109" s="74"/>
    </row>
    <row r="110" spans="1:17" ht="18.75" customHeight="1" x14ac:dyDescent="0.3">
      <c r="A110" s="74"/>
      <c r="B110" s="74"/>
      <c r="C110" s="74"/>
      <c r="D110" s="74"/>
      <c r="E110" s="74"/>
      <c r="F110" s="74"/>
      <c r="G110" s="74"/>
      <c r="H110" s="74"/>
      <c r="I110" s="74"/>
      <c r="J110" s="74"/>
      <c r="K110" s="74"/>
      <c r="L110" s="74" t="s">
        <v>57</v>
      </c>
      <c r="M110" s="77">
        <f>'DNB Livsforsikring'!B11-'DNB Livsforsikring'!B12+'DNB Livsforsikring'!B34-'DNB Livsforsikring'!B35+'DNB Livsforsikring'!B38-'DNB Livsforsikring'!B39+'DNB Livsforsikring'!B111-'DNB Livsforsikring'!B119+'DNB Livsforsikring'!B136-'DNB Livsforsikring'!B137</f>
        <v>217490</v>
      </c>
      <c r="N110" s="77">
        <f>'DNB Livsforsikring'!C11-'DNB Livsforsikring'!C12+'DNB Livsforsikring'!C34-'DNB Livsforsikring'!C35+'DNB Livsforsikring'!C38-'DNB Livsforsikring'!C39+'DNB Livsforsikring'!C111-'DNB Livsforsikring'!C119+'DNB Livsforsikring'!C136-'DNB Livsforsikring'!C137</f>
        <v>33099</v>
      </c>
      <c r="O110" s="74"/>
      <c r="Q110" s="74"/>
    </row>
    <row r="111" spans="1:17" ht="18.75" customHeight="1" x14ac:dyDescent="0.3">
      <c r="A111" s="74"/>
      <c r="B111" s="74"/>
      <c r="C111" s="74"/>
      <c r="D111" s="74"/>
      <c r="E111" s="74"/>
      <c r="F111" s="74"/>
      <c r="G111" s="74"/>
      <c r="H111" s="74"/>
      <c r="I111" s="74"/>
      <c r="J111" s="74"/>
      <c r="K111" s="74"/>
      <c r="L111" s="79" t="s">
        <v>62</v>
      </c>
      <c r="M111" s="77">
        <f>'Gjensidige Pensjon'!B11-'Gjensidige Pensjon'!B12+'Gjensidige Pensjon'!B34-'Gjensidige Pensjon'!B35+'Gjensidige Pensjon'!B38-'Gjensidige Pensjon'!B39+'Gjensidige Pensjon'!B111-'Gjensidige Pensjon'!B119+'Gjensidige Pensjon'!B136-'Gjensidige Pensjon'!B137</f>
        <v>20501</v>
      </c>
      <c r="N111" s="77">
        <f>'Gjensidige Pensjon'!C11-'Gjensidige Pensjon'!C12+'Gjensidige Pensjon'!C34-'Gjensidige Pensjon'!C35+'Gjensidige Pensjon'!C38-'Gjensidige Pensjon'!C39+'Gjensidige Pensjon'!C111-'Gjensidige Pensjon'!C119+'Gjensidige Pensjon'!C136-'Gjensidige Pensjon'!C137</f>
        <v>8758</v>
      </c>
      <c r="O111" s="74"/>
      <c r="Q111" s="74"/>
    </row>
    <row r="112" spans="1:17" ht="18.75" customHeight="1" x14ac:dyDescent="0.3">
      <c r="A112" s="74"/>
      <c r="B112" s="74"/>
      <c r="C112" s="74"/>
      <c r="D112" s="74"/>
      <c r="E112" s="74"/>
      <c r="F112" s="74"/>
      <c r="G112" s="74"/>
      <c r="H112" s="74"/>
      <c r="I112" s="74"/>
      <c r="J112" s="74"/>
      <c r="K112" s="74"/>
      <c r="L112" s="79" t="s">
        <v>65</v>
      </c>
      <c r="M112" s="77">
        <f>KLP!B11-KLP!B12+KLP!B34-KLP!B35+KLP!B38-KLP!B39+KLP!B111-KLP!B119+KLP!B136-KLP!B137</f>
        <v>-36647.545000000013</v>
      </c>
      <c r="N112" s="77">
        <f>KLP!C11-KLP!C12+KLP!C34-KLP!C35+KLP!C38-KLP!C39+KLP!C111-KLP!C119+KLP!C136-KLP!C137</f>
        <v>-418198.02100000001</v>
      </c>
      <c r="O112" s="74"/>
      <c r="Q112" s="74"/>
    </row>
    <row r="113" spans="1:17" ht="18.75" customHeight="1" x14ac:dyDescent="0.3">
      <c r="A113" s="74"/>
      <c r="B113" s="74"/>
      <c r="C113" s="74"/>
      <c r="D113" s="74"/>
      <c r="E113" s="74"/>
      <c r="F113" s="74"/>
      <c r="G113" s="74"/>
      <c r="H113" s="74"/>
      <c r="I113" s="74"/>
      <c r="J113" s="74"/>
      <c r="K113" s="74"/>
      <c r="L113" s="79" t="s">
        <v>66</v>
      </c>
      <c r="M113" s="77">
        <f>'KLP Bedriftspensjon AS'!B11-'KLP Bedriftspensjon AS'!B12+'KLP Bedriftspensjon AS'!B34-'KLP Bedriftspensjon AS'!B35+'KLP Bedriftspensjon AS'!B38-'KLP Bedriftspensjon AS'!B39+'KLP Bedriftspensjon AS'!B111-'KLP Bedriftspensjon AS'!B119+'KLP Bedriftspensjon AS'!B136-'KLP Bedriftspensjon AS'!B137</f>
        <v>-11503</v>
      </c>
      <c r="N113" s="77">
        <f>'KLP Bedriftspensjon AS'!C11-'KLP Bedriftspensjon AS'!C12+'KLP Bedriftspensjon AS'!C34-'KLP Bedriftspensjon AS'!C35+'KLP Bedriftspensjon AS'!C38-'KLP Bedriftspensjon AS'!C39+'KLP Bedriftspensjon AS'!C111-'KLP Bedriftspensjon AS'!C119+'KLP Bedriftspensjon AS'!C136-'KLP Bedriftspensjon AS'!C137</f>
        <v>163</v>
      </c>
      <c r="O113" s="74"/>
      <c r="Q113" s="74"/>
    </row>
    <row r="114" spans="1:17" ht="18.75" customHeight="1" x14ac:dyDescent="0.3">
      <c r="A114" s="74"/>
      <c r="B114" s="74"/>
      <c r="C114" s="74"/>
      <c r="D114" s="74"/>
      <c r="E114" s="74"/>
      <c r="F114" s="74"/>
      <c r="G114" s="74"/>
      <c r="H114" s="74"/>
      <c r="I114" s="74"/>
      <c r="J114" s="74"/>
      <c r="K114" s="74"/>
      <c r="L114" s="74" t="s">
        <v>70</v>
      </c>
      <c r="M114" s="77">
        <f>'Nordea Liv '!B11-'Nordea Liv '!B12+'Nordea Liv '!B34-'Nordea Liv '!B35+'Nordea Liv '!B38-'Nordea Liv '!B39+'Nordea Liv '!B111-'Nordea Liv '!B119+'Nordea Liv '!B136-'Nordea Liv '!B137</f>
        <v>-87133.885309999998</v>
      </c>
      <c r="N114" s="77">
        <f>'Nordea Liv '!C11-'Nordea Liv '!C12+'Nordea Liv '!C34-'Nordea Liv '!C35+'Nordea Liv '!C38-'Nordea Liv '!C39+'Nordea Liv '!C111-'Nordea Liv '!C119+'Nordea Liv '!C136-'Nordea Liv '!C137</f>
        <v>-45945.832359999702</v>
      </c>
      <c r="O114" s="74"/>
      <c r="Q114" s="74"/>
    </row>
    <row r="115" spans="1:17" ht="18.75" customHeight="1" x14ac:dyDescent="0.3">
      <c r="A115" s="74"/>
      <c r="B115" s="74"/>
      <c r="C115" s="74"/>
      <c r="D115" s="74"/>
      <c r="E115" s="74"/>
      <c r="F115" s="74"/>
      <c r="G115" s="74"/>
      <c r="H115" s="74"/>
      <c r="I115" s="74"/>
      <c r="J115" s="74"/>
      <c r="K115" s="74"/>
      <c r="L115" s="74" t="s">
        <v>72</v>
      </c>
      <c r="M115" s="77">
        <f>'Sparebank 1'!B11-'Sparebank 1'!B12+'Sparebank 1'!B34-'Sparebank 1'!B35+'Sparebank 1'!B38-'Sparebank 1'!B39+'Sparebank 1'!B111-'Sparebank 1'!B119+'Sparebank 1'!B136-'Sparebank 1'!B137</f>
        <v>8216.899809999999</v>
      </c>
      <c r="N115" s="77">
        <f>'Sparebank 1'!C11-'Sparebank 1'!C12+'Sparebank 1'!C34-'Sparebank 1'!C35+'Sparebank 1'!C38-'Sparebank 1'!C39+'Sparebank 1'!C111-'Sparebank 1'!C119+'Sparebank 1'!C136-'Sparebank 1'!C137</f>
        <v>14295.352540000002</v>
      </c>
      <c r="O115" s="74"/>
      <c r="Q115" s="74"/>
    </row>
    <row r="116" spans="1:17" ht="18.75" customHeight="1" x14ac:dyDescent="0.3">
      <c r="A116" s="74"/>
      <c r="B116" s="74"/>
      <c r="C116" s="74"/>
      <c r="D116" s="74"/>
      <c r="E116" s="74"/>
      <c r="F116" s="74"/>
      <c r="G116" s="74"/>
      <c r="H116" s="74"/>
      <c r="I116" s="74"/>
      <c r="J116" s="74"/>
      <c r="K116" s="74"/>
      <c r="L116" s="74" t="s">
        <v>73</v>
      </c>
      <c r="M116"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-251182.72399999999</v>
      </c>
      <c r="N116"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-35442.452000000005</v>
      </c>
      <c r="O116" s="74"/>
      <c r="Q116" s="74"/>
    </row>
    <row r="117" spans="1:17" ht="18.75" customHeight="1" x14ac:dyDescent="0.3">
      <c r="A117" s="74"/>
      <c r="B117" s="74"/>
      <c r="C117" s="74"/>
      <c r="D117" s="74"/>
      <c r="E117" s="74"/>
      <c r="F117" s="74"/>
      <c r="G117" s="74"/>
      <c r="H117" s="74"/>
      <c r="I117" s="74"/>
      <c r="J117" s="74"/>
      <c r="K117" s="74"/>
      <c r="M117" s="77"/>
      <c r="N117" s="77"/>
      <c r="O117" s="74"/>
      <c r="Q117" s="74"/>
    </row>
    <row r="118" spans="1:17" ht="18.75" customHeight="1" x14ac:dyDescent="0.3">
      <c r="A118" s="74"/>
      <c r="B118" s="74"/>
      <c r="C118" s="74"/>
      <c r="D118" s="74"/>
      <c r="E118" s="74"/>
      <c r="F118" s="74"/>
      <c r="G118" s="74"/>
      <c r="H118" s="74"/>
      <c r="I118" s="74"/>
      <c r="J118" s="74"/>
      <c r="K118" s="74"/>
      <c r="M118" s="77"/>
      <c r="N118" s="77"/>
      <c r="O118" s="74"/>
      <c r="Q118" s="74"/>
    </row>
    <row r="119" spans="1:17" ht="18.75" customHeight="1" x14ac:dyDescent="0.3">
      <c r="A119" s="74"/>
      <c r="B119" s="74"/>
      <c r="C119" s="74"/>
      <c r="D119" s="74"/>
      <c r="E119" s="74"/>
      <c r="F119" s="74"/>
      <c r="G119" s="74"/>
      <c r="H119" s="74"/>
      <c r="I119" s="74"/>
      <c r="J119" s="74"/>
      <c r="K119" s="74"/>
      <c r="M119" s="77"/>
      <c r="N119" s="77"/>
      <c r="O119" s="74"/>
      <c r="Q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ht="18.75" customHeight="1" x14ac:dyDescent="0.3">
      <c r="A123" s="74"/>
      <c r="B123" s="74"/>
      <c r="C123" s="74"/>
      <c r="D123" s="74"/>
      <c r="E123" s="74"/>
      <c r="F123" s="74"/>
      <c r="G123" s="74"/>
      <c r="H123" s="74"/>
      <c r="I123" s="74"/>
      <c r="J123" s="74"/>
      <c r="K123" s="74"/>
      <c r="M123" s="77"/>
      <c r="N123" s="77"/>
      <c r="O123" s="74"/>
    </row>
    <row r="124" spans="1:17" ht="18.75" customHeight="1" x14ac:dyDescent="0.3">
      <c r="A124" s="74"/>
      <c r="B124" s="74"/>
      <c r="C124" s="74"/>
      <c r="D124" s="74"/>
      <c r="E124" s="74"/>
      <c r="F124" s="74"/>
      <c r="G124" s="74"/>
      <c r="H124" s="74"/>
      <c r="I124" s="74"/>
      <c r="J124" s="74"/>
      <c r="K124" s="74"/>
      <c r="M124" s="77"/>
      <c r="N124" s="77"/>
      <c r="O124" s="74"/>
    </row>
    <row r="125" spans="1:17" ht="18.75" customHeight="1" x14ac:dyDescent="0.3">
      <c r="A125" s="74"/>
      <c r="B125" s="74"/>
      <c r="C125" s="74"/>
      <c r="D125" s="74"/>
      <c r="E125" s="74"/>
      <c r="F125" s="74"/>
      <c r="G125" s="74"/>
      <c r="H125" s="74"/>
      <c r="I125" s="74"/>
      <c r="J125" s="74"/>
      <c r="K125" s="74"/>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4"/>
      <c r="B130" s="74"/>
      <c r="C130" s="74"/>
      <c r="D130" s="74"/>
      <c r="E130" s="74"/>
      <c r="F130" s="74"/>
      <c r="G130" s="74"/>
      <c r="H130" s="74"/>
      <c r="I130" s="74"/>
      <c r="J130" s="74"/>
      <c r="K130" s="74"/>
      <c r="O130" s="74"/>
    </row>
    <row r="131" spans="1:15" x14ac:dyDescent="0.3">
      <c r="A131" s="74"/>
      <c r="B131" s="74"/>
      <c r="C131" s="74"/>
      <c r="D131" s="74"/>
      <c r="E131" s="74"/>
      <c r="F131" s="74"/>
      <c r="G131" s="74"/>
      <c r="H131" s="74"/>
      <c r="I131" s="74"/>
      <c r="J131" s="74"/>
      <c r="K131" s="74"/>
      <c r="L131" s="74" t="s">
        <v>80</v>
      </c>
      <c r="O131" s="74"/>
    </row>
    <row r="132" spans="1:15" x14ac:dyDescent="0.3">
      <c r="A132" s="74"/>
      <c r="B132" s="74"/>
      <c r="C132" s="74"/>
      <c r="D132" s="74"/>
      <c r="E132" s="74"/>
      <c r="F132" s="74"/>
      <c r="G132" s="74"/>
      <c r="H132" s="74"/>
      <c r="I132" s="74"/>
      <c r="J132" s="74"/>
      <c r="K132" s="74"/>
      <c r="L132" s="74" t="s">
        <v>1</v>
      </c>
      <c r="O132" s="74"/>
    </row>
    <row r="133" spans="1:15" x14ac:dyDescent="0.3">
      <c r="A133" s="75" t="str">
        <f>"Figur 6  Netto tilflytting livprodukter  -  produkter med investeringsvalg pr. "&amp;Dag&amp;".0"&amp;Måned&amp;"."</f>
        <v>Figur 6  Netto tilflytting livprodukter  -  produkter med investeringsvalg pr. 31.03.</v>
      </c>
      <c r="B133" s="74"/>
      <c r="C133" s="74"/>
      <c r="D133" s="74"/>
      <c r="E133" s="74"/>
      <c r="F133" s="74"/>
      <c r="G133" s="74"/>
      <c r="H133" s="79"/>
      <c r="I133" s="74"/>
      <c r="J133" s="74"/>
      <c r="K133" s="74"/>
      <c r="M133" s="74">
        <v>2017</v>
      </c>
      <c r="N133" s="74">
        <v>2018</v>
      </c>
      <c r="O133" s="74"/>
    </row>
    <row r="134" spans="1:15" x14ac:dyDescent="0.3">
      <c r="B134" s="74"/>
      <c r="C134" s="74"/>
      <c r="D134" s="74"/>
      <c r="E134" s="74"/>
      <c r="F134" s="74"/>
      <c r="G134" s="74"/>
      <c r="H134" s="74"/>
      <c r="I134" s="74"/>
      <c r="J134" s="74"/>
      <c r="K134" s="74"/>
      <c r="L134" s="74" t="s">
        <v>56</v>
      </c>
      <c r="M134"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146462.12900000002</v>
      </c>
      <c r="N134"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-62184.46100000001</v>
      </c>
      <c r="O134" s="74"/>
    </row>
    <row r="135" spans="1:15" x14ac:dyDescent="0.3">
      <c r="A135" s="74"/>
      <c r="B135" s="74"/>
      <c r="C135" s="74"/>
      <c r="D135" s="74"/>
      <c r="E135" s="74"/>
      <c r="F135" s="74"/>
      <c r="G135" s="74"/>
      <c r="H135" s="74"/>
      <c r="I135" s="74"/>
      <c r="J135" s="74"/>
      <c r="K135" s="74"/>
      <c r="L135" s="74" t="s">
        <v>57</v>
      </c>
      <c r="M135" s="77">
        <f>'DNB Livsforsikring'!F11-'DNB Livsforsikring'!F12+'DNB Livsforsikring'!F34-'DNB Livsforsikring'!F35+'DNB Livsforsikring'!F38-'DNB Livsforsikring'!F39+'DNB Livsforsikring'!F111-'DNB Livsforsikring'!F119+'DNB Livsforsikring'!F136-'DNB Livsforsikring'!F137</f>
        <v>1318704</v>
      </c>
      <c r="N135" s="77">
        <f>'DNB Livsforsikring'!G11-'DNB Livsforsikring'!G12+'DNB Livsforsikring'!G34-'DNB Livsforsikring'!G35+'DNB Livsforsikring'!G38-'DNB Livsforsikring'!G39+'DNB Livsforsikring'!G111-'DNB Livsforsikring'!G119+'DNB Livsforsikring'!G136-'DNB Livsforsikring'!G137</f>
        <v>-846689</v>
      </c>
      <c r="O135" s="74"/>
    </row>
    <row r="136" spans="1:15" x14ac:dyDescent="0.3">
      <c r="A136" s="74"/>
      <c r="B136" s="74"/>
      <c r="C136" s="74"/>
      <c r="D136" s="74"/>
      <c r="E136" s="74"/>
      <c r="F136" s="74"/>
      <c r="G136" s="74"/>
      <c r="H136" s="74"/>
      <c r="I136" s="74"/>
      <c r="J136" s="74"/>
      <c r="K136" s="74"/>
      <c r="L136" s="74" t="s">
        <v>59</v>
      </c>
      <c r="M136" s="77">
        <f>'Frende Livsforsikring'!F11-'Frende Livsforsikring'!F12+'Frende Livsforsikring'!F34-'Frende Livsforsikring'!F35+'Frende Livsforsikring'!F38-'Frende Livsforsikring'!F39+'Frende Livsforsikring'!F111-'Frende Livsforsikring'!F119+'Frende Livsforsikring'!F136-'Frende Livsforsikring'!F137</f>
        <v>-12006</v>
      </c>
      <c r="N136" s="77">
        <f>'Frende Livsforsikring'!G11-'Frende Livsforsikring'!G12+'Frende Livsforsikring'!G34-'Frende Livsforsikring'!G35+'Frende Livsforsikring'!G38-'Frende Livsforsikring'!G39+'Frende Livsforsikring'!G111-'Frende Livsforsikring'!G119+'Frende Livsforsikring'!G136-'Frende Livsforsikring'!G137</f>
        <v>-35262.409</v>
      </c>
      <c r="O136" s="74"/>
    </row>
    <row r="137" spans="1:15" x14ac:dyDescent="0.3">
      <c r="A137" s="74"/>
      <c r="B137" s="74"/>
      <c r="C137" s="74"/>
      <c r="D137" s="74"/>
      <c r="E137" s="74"/>
      <c r="F137" s="74"/>
      <c r="G137" s="74"/>
      <c r="H137" s="74"/>
      <c r="I137" s="74"/>
      <c r="J137" s="74"/>
      <c r="K137" s="74"/>
      <c r="L137" s="79" t="s">
        <v>62</v>
      </c>
      <c r="M137" s="77">
        <f>'Gjensidige Pensjon'!F11-'Gjensidige Pensjon'!F12+'Gjensidige Pensjon'!F34-'Gjensidige Pensjon'!F35+'Gjensidige Pensjon'!F38-'Gjensidige Pensjon'!F39+'Gjensidige Pensjon'!F111-'Gjensidige Pensjon'!F119+'Gjensidige Pensjon'!F136-'Gjensidige Pensjon'!F137</f>
        <v>588342</v>
      </c>
      <c r="N137" s="77">
        <f>'Gjensidige Pensjon'!G11-'Gjensidige Pensjon'!G12+'Gjensidige Pensjon'!G34-'Gjensidige Pensjon'!G35+'Gjensidige Pensjon'!G38-'Gjensidige Pensjon'!G39+'Gjensidige Pensjon'!G111-'Gjensidige Pensjon'!G119+'Gjensidige Pensjon'!G136-'Gjensidige Pensjon'!G137</f>
        <v>136390</v>
      </c>
      <c r="O137" s="74"/>
    </row>
    <row r="138" spans="1:15" x14ac:dyDescent="0.3">
      <c r="A138" s="74"/>
      <c r="B138" s="74"/>
      <c r="C138" s="74"/>
      <c r="D138" s="74"/>
      <c r="E138" s="74"/>
      <c r="F138" s="74"/>
      <c r="G138" s="74"/>
      <c r="H138" s="74"/>
      <c r="I138" s="74"/>
      <c r="J138" s="74"/>
      <c r="K138" s="74"/>
      <c r="L138" s="74" t="s">
        <v>66</v>
      </c>
      <c r="M138" s="77">
        <f>'KLP Bedriftspensjon AS'!F11-'KLP Bedriftspensjon AS'!F12+'KLP Bedriftspensjon AS'!F34-'KLP Bedriftspensjon AS'!F35+'KLP Bedriftspensjon AS'!F38-'KLP Bedriftspensjon AS'!F39+'KLP Bedriftspensjon AS'!F111-'KLP Bedriftspensjon AS'!F119+'KLP Bedriftspensjon AS'!F136-'KLP Bedriftspensjon AS'!F137</f>
        <v>171225</v>
      </c>
      <c r="N138" s="77">
        <f>'KLP Bedriftspensjon AS'!G11-'KLP Bedriftspensjon AS'!G12+'KLP Bedriftspensjon AS'!G34-'KLP Bedriftspensjon AS'!G35+'KLP Bedriftspensjon AS'!G38-'KLP Bedriftspensjon AS'!G39+'KLP Bedriftspensjon AS'!G111-'KLP Bedriftspensjon AS'!G119+'KLP Bedriftspensjon AS'!G136-'KLP Bedriftspensjon AS'!G137</f>
        <v>98497</v>
      </c>
      <c r="O138" s="74"/>
    </row>
    <row r="139" spans="1:15" x14ac:dyDescent="0.3">
      <c r="A139" s="74"/>
      <c r="B139" s="74"/>
      <c r="C139" s="74"/>
      <c r="D139" s="74"/>
      <c r="E139" s="74"/>
      <c r="F139" s="74"/>
      <c r="G139" s="74"/>
      <c r="H139" s="74"/>
      <c r="I139" s="74"/>
      <c r="J139" s="74"/>
      <c r="K139" s="74"/>
      <c r="L139" s="74" t="s">
        <v>70</v>
      </c>
      <c r="M139" s="77">
        <f>'Nordea Liv '!F11-'Nordea Liv '!F12+'Nordea Liv '!F34-'Nordea Liv '!F35+'Nordea Liv '!F38-'Nordea Liv '!F39+'Nordea Liv '!F111-'Nordea Liv '!F119+'Nordea Liv '!F136-'Nordea Liv '!F137</f>
        <v>-576666.1409</v>
      </c>
      <c r="N139" s="77">
        <f>'Nordea Liv '!G11-'Nordea Liv '!G12+'Nordea Liv '!G34-'Nordea Liv '!G35+'Nordea Liv '!G38-'Nordea Liv '!G39+'Nordea Liv '!G111-'Nordea Liv '!G119+'Nordea Liv '!G136-'Nordea Liv '!G137</f>
        <v>-60654.12293000007</v>
      </c>
      <c r="O139" s="74"/>
    </row>
    <row r="140" spans="1:15" x14ac:dyDescent="0.3">
      <c r="A140" s="74"/>
      <c r="B140" s="74"/>
      <c r="C140" s="74"/>
      <c r="D140" s="74"/>
      <c r="E140" s="74"/>
      <c r="F140" s="74"/>
      <c r="G140" s="74"/>
      <c r="H140" s="74"/>
      <c r="I140" s="74"/>
      <c r="J140" s="74"/>
      <c r="K140" s="74"/>
      <c r="L140" s="74" t="s">
        <v>76</v>
      </c>
      <c r="M140" s="77">
        <f>'SHB Liv'!F11-'SHB Liv'!F12+'SHB Liv'!F34-'SHB Liv'!F35+'SHB Liv'!F38-'SHB Liv'!F39+'SHB Liv'!F111-'SHB Liv'!F119+'SHB Liv'!F136-'SHB Liv'!F137</f>
        <v>13253</v>
      </c>
      <c r="N140" s="77">
        <f>'SHB Liv'!G11-'SHB Liv'!G12+'SHB Liv'!G34-'SHB Liv'!G35+'SHB Liv'!G38-'SHB Liv'!G39+'SHB Liv'!G111-'SHB Liv'!G119+'SHB Liv'!G136-'SHB Liv'!G137</f>
        <v>41666</v>
      </c>
      <c r="O140" s="74"/>
    </row>
    <row r="141" spans="1:15" x14ac:dyDescent="0.3">
      <c r="A141" s="74"/>
      <c r="B141" s="74"/>
      <c r="C141" s="74"/>
      <c r="D141" s="74"/>
      <c r="E141" s="74"/>
      <c r="F141" s="74"/>
      <c r="G141" s="74"/>
      <c r="H141" s="74"/>
      <c r="I141" s="74"/>
      <c r="J141" s="74"/>
      <c r="K141" s="74"/>
      <c r="L141" s="74" t="s">
        <v>72</v>
      </c>
      <c r="M141" s="77">
        <f>'Sparebank 1'!F11-'Sparebank 1'!F12+'Sparebank 1'!F34-'Sparebank 1'!F35+'Sparebank 1'!F38-'Sparebank 1'!F39+'Sparebank 1'!F111-'Sparebank 1'!F119+'Sparebank 1'!F136-'Sparebank 1'!F137</f>
        <v>308703.2453200001</v>
      </c>
      <c r="N141" s="77">
        <f>'Sparebank 1'!G11-'Sparebank 1'!G12+'Sparebank 1'!G34-'Sparebank 1'!G35+'Sparebank 1'!G38-'Sparebank 1'!G39+'Sparebank 1'!G111-'Sparebank 1'!G119+'Sparebank 1'!G136-'Sparebank 1'!G137</f>
        <v>977355.9649599999</v>
      </c>
      <c r="O141" s="74"/>
    </row>
    <row r="142" spans="1:15" x14ac:dyDescent="0.3">
      <c r="A142" s="74"/>
      <c r="B142" s="74"/>
      <c r="C142" s="74"/>
      <c r="D142" s="74"/>
      <c r="E142" s="74"/>
      <c r="F142" s="74"/>
      <c r="G142" s="74"/>
      <c r="H142" s="74"/>
      <c r="I142" s="74"/>
      <c r="J142" s="74"/>
      <c r="K142" s="74"/>
      <c r="L142" s="74" t="s">
        <v>77</v>
      </c>
      <c r="M142"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-1926593.0959999999</v>
      </c>
      <c r="N142"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-498335.65299999993</v>
      </c>
      <c r="O142" s="74"/>
    </row>
    <row r="143" spans="1:15" x14ac:dyDescent="0.3">
      <c r="A143" s="74"/>
      <c r="B143" s="74"/>
      <c r="C143" s="74"/>
      <c r="D143" s="74"/>
      <c r="E143" s="74"/>
      <c r="F143" s="74"/>
      <c r="G143" s="74"/>
      <c r="H143" s="74"/>
      <c r="I143" s="74"/>
      <c r="J143" s="74"/>
      <c r="K143" s="74"/>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A154" s="74"/>
      <c r="B154" s="74"/>
      <c r="C154" s="74"/>
      <c r="D154" s="74"/>
      <c r="E154" s="74"/>
      <c r="F154" s="74"/>
      <c r="G154" s="74"/>
      <c r="H154" s="74"/>
      <c r="I154" s="74"/>
      <c r="J154" s="74"/>
      <c r="K154" s="74"/>
      <c r="O154" s="74"/>
    </row>
    <row r="155" spans="1:15" x14ac:dyDescent="0.3">
      <c r="A155" s="74"/>
      <c r="B155" s="74"/>
      <c r="C155" s="74"/>
      <c r="D155" s="74"/>
      <c r="E155" s="74"/>
      <c r="F155" s="74"/>
      <c r="G155" s="74"/>
      <c r="H155" s="74"/>
      <c r="I155" s="74"/>
      <c r="J155" s="74"/>
      <c r="K155" s="74"/>
      <c r="O155" s="74"/>
    </row>
    <row r="156" spans="1:15" x14ac:dyDescent="0.3">
      <c r="A156" s="74"/>
      <c r="B156" s="74"/>
      <c r="C156" s="74"/>
      <c r="D156" s="74"/>
      <c r="E156" s="74"/>
      <c r="F156" s="74"/>
      <c r="G156" s="74"/>
      <c r="H156" s="74"/>
      <c r="I156" s="74"/>
      <c r="J156" s="74"/>
      <c r="K156" s="74"/>
      <c r="O156" s="74"/>
    </row>
    <row r="157" spans="1:15" x14ac:dyDescent="0.3">
      <c r="A157" s="74"/>
      <c r="B157" s="74"/>
      <c r="C157" s="74"/>
      <c r="D157" s="74"/>
      <c r="E157" s="74"/>
      <c r="F157" s="74"/>
      <c r="G157" s="74"/>
      <c r="H157" s="74"/>
      <c r="I157" s="74"/>
      <c r="J157" s="74"/>
      <c r="K157" s="74"/>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O170" s="74"/>
    </row>
    <row r="171" spans="1:15" x14ac:dyDescent="0.3">
      <c r="O171" s="74"/>
    </row>
    <row r="172" spans="1:15" x14ac:dyDescent="0.3">
      <c r="O172" s="74"/>
    </row>
    <row r="173" spans="1:15" x14ac:dyDescent="0.3">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row r="177" spans="1:15" x14ac:dyDescent="0.3">
      <c r="A177" s="74"/>
      <c r="B177" s="74"/>
      <c r="C177" s="74"/>
      <c r="D177" s="74"/>
      <c r="E177" s="74"/>
      <c r="F177" s="74"/>
      <c r="G177" s="74"/>
      <c r="H177" s="74"/>
      <c r="I177" s="74"/>
      <c r="J177" s="74"/>
      <c r="K177" s="74"/>
      <c r="O177" s="74"/>
    </row>
    <row r="178" spans="1:15" x14ac:dyDescent="0.3">
      <c r="A178" s="74"/>
      <c r="B178" s="74"/>
      <c r="C178" s="74"/>
      <c r="D178" s="74"/>
      <c r="E178" s="74"/>
      <c r="F178" s="74"/>
      <c r="G178" s="74"/>
      <c r="H178" s="74"/>
      <c r="I178" s="74"/>
      <c r="J178" s="74"/>
      <c r="K178" s="74"/>
      <c r="O178" s="74"/>
    </row>
    <row r="179" spans="1:15" x14ac:dyDescent="0.3">
      <c r="A179" s="74"/>
      <c r="B179" s="74"/>
      <c r="C179" s="74"/>
      <c r="D179" s="74"/>
      <c r="E179" s="74"/>
      <c r="F179" s="74"/>
      <c r="G179" s="74"/>
      <c r="H179" s="74"/>
      <c r="I179" s="74"/>
      <c r="J179" s="74"/>
      <c r="K179" s="74"/>
      <c r="O179" s="74"/>
    </row>
    <row r="180" spans="1:15" x14ac:dyDescent="0.3">
      <c r="A180" s="74"/>
      <c r="B180" s="74"/>
      <c r="C180" s="74"/>
      <c r="D180" s="74"/>
      <c r="E180" s="74"/>
      <c r="F180" s="74"/>
      <c r="G180" s="74"/>
      <c r="H180" s="74"/>
      <c r="I180" s="74"/>
      <c r="J180" s="74"/>
      <c r="K180" s="74"/>
      <c r="O180" s="74"/>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3"/>
  <sheetViews>
    <sheetView showGridLines="0" zoomScale="60" zoomScaleNormal="60" workbookViewId="0">
      <pane xSplit="1" ySplit="8" topLeftCell="B9" activePane="bottomRight" state="frozen"/>
      <selection activeCell="G106" sqref="G106:G107"/>
      <selection pane="topRight" activeCell="G106" sqref="G106:G107"/>
      <selection pane="bottomLeft" activeCell="G106" sqref="G106:G107"/>
      <selection pane="bottomRight"/>
    </sheetView>
  </sheetViews>
  <sheetFormatPr baseColWidth="10" defaultColWidth="11.42578125" defaultRowHeight="12.75" x14ac:dyDescent="0.2"/>
  <cols>
    <col min="1" max="1" width="90" style="566" customWidth="1"/>
    <col min="2" max="43" width="11.7109375" style="566" customWidth="1"/>
    <col min="44" max="16384" width="11.42578125" style="566"/>
  </cols>
  <sheetData>
    <row r="1" spans="1:43" ht="20.25" x14ac:dyDescent="0.3">
      <c r="A1" s="563" t="s">
        <v>375</v>
      </c>
      <c r="B1" s="564" t="s">
        <v>53</v>
      </c>
      <c r="C1" s="565"/>
      <c r="D1" s="565"/>
      <c r="E1" s="565"/>
      <c r="F1" s="565"/>
      <c r="G1" s="565"/>
      <c r="H1" s="565"/>
      <c r="I1" s="565"/>
      <c r="J1" s="565"/>
    </row>
    <row r="2" spans="1:43" ht="20.25" x14ac:dyDescent="0.3">
      <c r="A2" s="563" t="s">
        <v>346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row>
    <row r="3" spans="1:43" ht="18.75" x14ac:dyDescent="0.3">
      <c r="A3" s="568" t="s">
        <v>376</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row>
    <row r="4" spans="1:43" ht="18.75" customHeight="1" x14ac:dyDescent="0.25">
      <c r="A4" s="570" t="s">
        <v>248</v>
      </c>
      <c r="B4" s="571"/>
      <c r="C4" s="571"/>
      <c r="D4" s="572"/>
      <c r="E4" s="573"/>
      <c r="F4" s="571"/>
      <c r="G4" s="572"/>
      <c r="H4" s="573"/>
      <c r="I4" s="571"/>
      <c r="J4" s="572"/>
      <c r="K4" s="574"/>
      <c r="L4" s="574"/>
      <c r="M4" s="574"/>
      <c r="N4" s="575"/>
      <c r="O4" s="574"/>
      <c r="P4" s="576"/>
      <c r="Q4" s="575"/>
      <c r="R4" s="574"/>
      <c r="S4" s="576"/>
      <c r="T4" s="575"/>
      <c r="U4" s="574"/>
      <c r="V4" s="576"/>
      <c r="W4" s="575"/>
      <c r="X4" s="574"/>
      <c r="Y4" s="576"/>
      <c r="Z4" s="575"/>
      <c r="AA4" s="574"/>
      <c r="AB4" s="576"/>
      <c r="AC4" s="575"/>
      <c r="AD4" s="574"/>
      <c r="AE4" s="576"/>
      <c r="AF4" s="575"/>
      <c r="AG4" s="574"/>
      <c r="AH4" s="576"/>
      <c r="AI4" s="575"/>
      <c r="AJ4" s="574"/>
      <c r="AK4" s="576"/>
      <c r="AL4" s="577"/>
      <c r="AM4" s="578"/>
      <c r="AN4" s="579"/>
      <c r="AO4" s="575"/>
      <c r="AP4" s="574"/>
      <c r="AQ4" s="580"/>
    </row>
    <row r="5" spans="1:43" ht="18.75" customHeight="1" x14ac:dyDescent="0.3">
      <c r="A5" s="581" t="s">
        <v>109</v>
      </c>
      <c r="B5" s="762" t="s">
        <v>264</v>
      </c>
      <c r="C5" s="763"/>
      <c r="D5" s="764"/>
      <c r="E5" s="762" t="s">
        <v>265</v>
      </c>
      <c r="F5" s="763"/>
      <c r="G5" s="764"/>
      <c r="H5" s="762" t="s">
        <v>266</v>
      </c>
      <c r="I5" s="763"/>
      <c r="J5" s="764"/>
      <c r="K5" s="762" t="s">
        <v>267</v>
      </c>
      <c r="L5" s="763"/>
      <c r="M5" s="764"/>
      <c r="N5" s="762" t="s">
        <v>268</v>
      </c>
      <c r="O5" s="763"/>
      <c r="P5" s="764"/>
      <c r="Q5" s="762"/>
      <c r="R5" s="763"/>
      <c r="S5" s="764"/>
      <c r="T5" s="762" t="s">
        <v>65</v>
      </c>
      <c r="U5" s="763"/>
      <c r="V5" s="764"/>
      <c r="W5" s="582"/>
      <c r="X5" s="583"/>
      <c r="Y5" s="584"/>
      <c r="Z5" s="762" t="s">
        <v>269</v>
      </c>
      <c r="AA5" s="763"/>
      <c r="AB5" s="764"/>
      <c r="AC5" s="582"/>
      <c r="AD5" s="583"/>
      <c r="AE5" s="584"/>
      <c r="AF5" s="762"/>
      <c r="AG5" s="763"/>
      <c r="AH5" s="764"/>
      <c r="AI5" s="762" t="s">
        <v>77</v>
      </c>
      <c r="AJ5" s="763"/>
      <c r="AK5" s="764"/>
      <c r="AL5" s="759" t="s">
        <v>2</v>
      </c>
      <c r="AM5" s="760"/>
      <c r="AN5" s="761"/>
      <c r="AO5" s="762" t="s">
        <v>377</v>
      </c>
      <c r="AP5" s="763"/>
      <c r="AQ5" s="764"/>
    </row>
    <row r="6" spans="1:43" ht="21" customHeight="1" x14ac:dyDescent="0.3">
      <c r="A6" s="585"/>
      <c r="B6" s="765" t="s">
        <v>270</v>
      </c>
      <c r="C6" s="766"/>
      <c r="D6" s="767"/>
      <c r="E6" s="765" t="s">
        <v>271</v>
      </c>
      <c r="F6" s="766"/>
      <c r="G6" s="767"/>
      <c r="H6" s="765" t="s">
        <v>271</v>
      </c>
      <c r="I6" s="766"/>
      <c r="J6" s="767"/>
      <c r="K6" s="765" t="s">
        <v>272</v>
      </c>
      <c r="L6" s="766"/>
      <c r="M6" s="767"/>
      <c r="N6" s="765" t="s">
        <v>96</v>
      </c>
      <c r="O6" s="766"/>
      <c r="P6" s="767"/>
      <c r="Q6" s="765" t="s">
        <v>65</v>
      </c>
      <c r="R6" s="766"/>
      <c r="S6" s="767"/>
      <c r="T6" s="765" t="s">
        <v>273</v>
      </c>
      <c r="U6" s="766"/>
      <c r="V6" s="767"/>
      <c r="W6" s="765" t="s">
        <v>70</v>
      </c>
      <c r="X6" s="766"/>
      <c r="Y6" s="767"/>
      <c r="Z6" s="765" t="s">
        <v>270</v>
      </c>
      <c r="AA6" s="766"/>
      <c r="AB6" s="767"/>
      <c r="AC6" s="765" t="s">
        <v>76</v>
      </c>
      <c r="AD6" s="766"/>
      <c r="AE6" s="767"/>
      <c r="AF6" s="765" t="s">
        <v>72</v>
      </c>
      <c r="AG6" s="766"/>
      <c r="AH6" s="767"/>
      <c r="AI6" s="765" t="s">
        <v>271</v>
      </c>
      <c r="AJ6" s="766"/>
      <c r="AK6" s="767"/>
      <c r="AL6" s="768" t="s">
        <v>378</v>
      </c>
      <c r="AM6" s="769"/>
      <c r="AN6" s="770"/>
      <c r="AO6" s="765" t="s">
        <v>379</v>
      </c>
      <c r="AP6" s="766"/>
      <c r="AQ6" s="767"/>
    </row>
    <row r="7" spans="1:43" ht="18.75" customHeight="1" x14ac:dyDescent="0.3">
      <c r="A7" s="585"/>
      <c r="B7" s="585"/>
      <c r="C7" s="585"/>
      <c r="D7" s="586" t="s">
        <v>85</v>
      </c>
      <c r="E7" s="585"/>
      <c r="F7" s="585"/>
      <c r="G7" s="586" t="s">
        <v>85</v>
      </c>
      <c r="H7" s="585"/>
      <c r="I7" s="585"/>
      <c r="J7" s="586" t="s">
        <v>85</v>
      </c>
      <c r="K7" s="585"/>
      <c r="L7" s="585"/>
      <c r="M7" s="586" t="s">
        <v>85</v>
      </c>
      <c r="N7" s="585"/>
      <c r="O7" s="585"/>
      <c r="P7" s="586" t="s">
        <v>85</v>
      </c>
      <c r="Q7" s="585"/>
      <c r="R7" s="585"/>
      <c r="S7" s="586" t="s">
        <v>85</v>
      </c>
      <c r="T7" s="585"/>
      <c r="U7" s="585"/>
      <c r="V7" s="586" t="s">
        <v>85</v>
      </c>
      <c r="W7" s="585"/>
      <c r="X7" s="585"/>
      <c r="Y7" s="586" t="s">
        <v>85</v>
      </c>
      <c r="Z7" s="585"/>
      <c r="AA7" s="585"/>
      <c r="AB7" s="586" t="s">
        <v>85</v>
      </c>
      <c r="AC7" s="585"/>
      <c r="AD7" s="585"/>
      <c r="AE7" s="586" t="s">
        <v>85</v>
      </c>
      <c r="AF7" s="585"/>
      <c r="AG7" s="585"/>
      <c r="AH7" s="586" t="s">
        <v>85</v>
      </c>
      <c r="AI7" s="585"/>
      <c r="AJ7" s="585"/>
      <c r="AK7" s="586" t="s">
        <v>85</v>
      </c>
      <c r="AL7" s="585"/>
      <c r="AM7" s="585"/>
      <c r="AN7" s="586" t="s">
        <v>85</v>
      </c>
      <c r="AO7" s="585"/>
      <c r="AP7" s="585"/>
      <c r="AQ7" s="586" t="s">
        <v>85</v>
      </c>
    </row>
    <row r="8" spans="1:43" ht="18.75" customHeight="1" x14ac:dyDescent="0.25">
      <c r="A8" s="587" t="s">
        <v>380</v>
      </c>
      <c r="B8" s="588">
        <v>2017</v>
      </c>
      <c r="C8" s="588">
        <v>2018</v>
      </c>
      <c r="D8" s="589" t="s">
        <v>87</v>
      </c>
      <c r="E8" s="588">
        <v>2017</v>
      </c>
      <c r="F8" s="588">
        <v>2018</v>
      </c>
      <c r="G8" s="589" t="s">
        <v>87</v>
      </c>
      <c r="H8" s="588">
        <v>2017</v>
      </c>
      <c r="I8" s="588">
        <v>2018</v>
      </c>
      <c r="J8" s="589" t="s">
        <v>87</v>
      </c>
      <c r="K8" s="588">
        <v>2017</v>
      </c>
      <c r="L8" s="588">
        <v>2018</v>
      </c>
      <c r="M8" s="589" t="s">
        <v>87</v>
      </c>
      <c r="N8" s="588">
        <v>2017</v>
      </c>
      <c r="O8" s="588">
        <v>2018</v>
      </c>
      <c r="P8" s="589" t="s">
        <v>87</v>
      </c>
      <c r="Q8" s="588">
        <v>2017</v>
      </c>
      <c r="R8" s="588">
        <v>2018</v>
      </c>
      <c r="S8" s="589" t="s">
        <v>87</v>
      </c>
      <c r="T8" s="588">
        <v>2017</v>
      </c>
      <c r="U8" s="588">
        <v>2018</v>
      </c>
      <c r="V8" s="589" t="s">
        <v>87</v>
      </c>
      <c r="W8" s="588">
        <v>2017</v>
      </c>
      <c r="X8" s="588">
        <v>2018</v>
      </c>
      <c r="Y8" s="589" t="s">
        <v>87</v>
      </c>
      <c r="Z8" s="588">
        <v>2017</v>
      </c>
      <c r="AA8" s="588">
        <v>2018</v>
      </c>
      <c r="AB8" s="589" t="s">
        <v>87</v>
      </c>
      <c r="AC8" s="588">
        <v>2017</v>
      </c>
      <c r="AD8" s="588">
        <v>2018</v>
      </c>
      <c r="AE8" s="589" t="s">
        <v>87</v>
      </c>
      <c r="AF8" s="588">
        <v>2017</v>
      </c>
      <c r="AG8" s="588">
        <v>2018</v>
      </c>
      <c r="AH8" s="589" t="s">
        <v>87</v>
      </c>
      <c r="AI8" s="588">
        <v>2017</v>
      </c>
      <c r="AJ8" s="588">
        <v>2018</v>
      </c>
      <c r="AK8" s="589" t="s">
        <v>87</v>
      </c>
      <c r="AL8" s="588">
        <v>2017</v>
      </c>
      <c r="AM8" s="588">
        <v>2018</v>
      </c>
      <c r="AN8" s="589" t="s">
        <v>87</v>
      </c>
      <c r="AO8" s="588">
        <v>2017</v>
      </c>
      <c r="AP8" s="588">
        <v>2018</v>
      </c>
      <c r="AQ8" s="589" t="s">
        <v>87</v>
      </c>
    </row>
    <row r="9" spans="1:43" ht="18.75" customHeight="1" x14ac:dyDescent="0.3">
      <c r="A9" s="585" t="s">
        <v>381</v>
      </c>
      <c r="B9" s="590"/>
      <c r="C9" s="591"/>
      <c r="D9" s="592"/>
      <c r="E9" s="590"/>
      <c r="F9" s="591"/>
      <c r="G9" s="592"/>
      <c r="H9" s="590"/>
      <c r="I9" s="591"/>
      <c r="J9" s="592"/>
      <c r="K9" s="590"/>
      <c r="L9" s="591"/>
      <c r="M9" s="591"/>
      <c r="N9" s="593"/>
      <c r="O9" s="481"/>
      <c r="P9" s="592"/>
      <c r="Q9" s="594"/>
      <c r="R9" s="592"/>
      <c r="S9" s="592"/>
      <c r="T9" s="590"/>
      <c r="U9" s="591"/>
      <c r="V9" s="592"/>
      <c r="W9" s="590"/>
      <c r="X9" s="591"/>
      <c r="Y9" s="592"/>
      <c r="Z9" s="594"/>
      <c r="AA9" s="592"/>
      <c r="AB9" s="592"/>
      <c r="AC9" s="590"/>
      <c r="AD9" s="591"/>
      <c r="AE9" s="592"/>
      <c r="AF9" s="590"/>
      <c r="AG9" s="591"/>
      <c r="AH9" s="592"/>
      <c r="AI9" s="590"/>
      <c r="AJ9" s="591"/>
      <c r="AK9" s="592"/>
      <c r="AL9" s="592"/>
      <c r="AM9" s="592"/>
      <c r="AN9" s="592"/>
      <c r="AO9" s="595"/>
      <c r="AP9" s="595"/>
      <c r="AQ9" s="595"/>
    </row>
    <row r="10" spans="1:43" s="567" customFormat="1" ht="18.75" customHeight="1" x14ac:dyDescent="0.3">
      <c r="A10" s="596" t="s">
        <v>382</v>
      </c>
      <c r="B10" s="597"/>
      <c r="C10" s="598"/>
      <c r="D10" s="599"/>
      <c r="E10" s="597"/>
      <c r="F10" s="598"/>
      <c r="G10" s="599"/>
      <c r="H10" s="597"/>
      <c r="I10" s="598"/>
      <c r="J10" s="599"/>
      <c r="K10" s="597"/>
      <c r="L10" s="598"/>
      <c r="M10" s="598"/>
      <c r="N10" s="497"/>
      <c r="O10" s="484"/>
      <c r="P10" s="599"/>
      <c r="Q10" s="600"/>
      <c r="R10" s="599"/>
      <c r="S10" s="599"/>
      <c r="T10" s="597"/>
      <c r="U10" s="598"/>
      <c r="V10" s="599"/>
      <c r="W10" s="597"/>
      <c r="X10" s="598"/>
      <c r="Y10" s="599"/>
      <c r="Z10" s="600"/>
      <c r="AA10" s="599"/>
      <c r="AB10" s="599"/>
      <c r="AC10" s="597"/>
      <c r="AD10" s="598"/>
      <c r="AE10" s="599"/>
      <c r="AF10" s="597"/>
      <c r="AG10" s="598"/>
      <c r="AH10" s="599"/>
      <c r="AI10" s="597"/>
      <c r="AJ10" s="598"/>
      <c r="AK10" s="599"/>
      <c r="AL10" s="599"/>
      <c r="AM10" s="599"/>
      <c r="AN10" s="599"/>
      <c r="AO10" s="601"/>
      <c r="AP10" s="601"/>
      <c r="AQ10" s="601"/>
    </row>
    <row r="11" spans="1:43" s="567" customFormat="1" ht="18.75" customHeight="1" x14ac:dyDescent="0.3">
      <c r="A11" s="596" t="s">
        <v>383</v>
      </c>
      <c r="B11" s="600">
        <v>582.64800000000002</v>
      </c>
      <c r="C11" s="599">
        <f>617.172+0.904</f>
        <v>618.07600000000002</v>
      </c>
      <c r="D11" s="599">
        <f t="shared" ref="D11:D16" si="0">IF(B11=0, "    ---- ", IF(ABS(ROUND(100/B11*C11-100,1))&lt;999,ROUND(100/B11*C11-100,1),IF(ROUND(100/B11*C11-100,1)&gt;999,999,-999)))</f>
        <v>6.1</v>
      </c>
      <c r="E11" s="600">
        <v>4427.3980000000001</v>
      </c>
      <c r="F11" s="599">
        <v>3968.8449999999998</v>
      </c>
      <c r="G11" s="599">
        <f t="shared" ref="G11:G17" si="1">IF(E11=0, "    ---- ", IF(ABS(ROUND(100/E11*F11-100,1))&lt;999,ROUND(100/E11*F11-100,1),IF(ROUND(100/E11*F11-100,1)&gt;999,999,-999)))</f>
        <v>-10.4</v>
      </c>
      <c r="H11" s="600">
        <v>593.779</v>
      </c>
      <c r="I11" s="599">
        <v>634.774</v>
      </c>
      <c r="J11" s="599">
        <f t="shared" ref="J11:J17" si="2">IF(H11=0, "    ---- ", IF(ABS(ROUND(100/H11*I11-100,1))&lt;999,ROUND(100/H11*I11-100,1),IF(ROUND(100/H11*I11-100,1)&gt;999,999,-999)))</f>
        <v>6.9</v>
      </c>
      <c r="K11" s="600">
        <v>757.97199999999998</v>
      </c>
      <c r="L11" s="599">
        <v>860.1</v>
      </c>
      <c r="M11" s="599">
        <f t="shared" ref="M11:M17" si="3">IF(K11=0, "    ---- ", IF(ABS(ROUND(100/K11*L11-100,1))&lt;999,ROUND(100/K11*L11-100,1),IF(ROUND(100/K11*L11-100,1)&gt;999,999,-999)))</f>
        <v>13.5</v>
      </c>
      <c r="N11" s="600">
        <v>11</v>
      </c>
      <c r="O11" s="599">
        <v>10</v>
      </c>
      <c r="P11" s="599">
        <f>IF(N11=0, "    ---- ", IF(ABS(ROUND(100/N11*O11-100,1))&lt;999,ROUND(100/N11*O11-100,1),IF(ROUND(100/N11*O11-100,1)&gt;999,999,-999)))</f>
        <v>-9.1</v>
      </c>
      <c r="Q11" s="600">
        <v>6305.9265981199997</v>
      </c>
      <c r="R11" s="599">
        <v>6328.29821412</v>
      </c>
      <c r="S11" s="599">
        <f t="shared" ref="S11:S17" si="4">IF(Q11=0, "    ---- ", IF(ABS(ROUND(100/Q11*R11-100,1))&lt;999,ROUND(100/Q11*R11-100,1),IF(ROUND(100/Q11*R11-100,1)&gt;999,999,-999)))</f>
        <v>0.4</v>
      </c>
      <c r="T11" s="600">
        <v>110.9</v>
      </c>
      <c r="U11" s="599">
        <v>129.19999999999999</v>
      </c>
      <c r="V11" s="599">
        <f t="shared" ref="V11:V31" si="5">IF(T11=0, "    ---- ", IF(ABS(ROUND(100/T11*U11-100,1))&lt;999,ROUND(100/T11*U11-100,1),IF(ROUND(100/T11*U11-100,1)&gt;999,999,-999)))</f>
        <v>16.5</v>
      </c>
      <c r="W11" s="600">
        <v>3217.1</v>
      </c>
      <c r="X11" s="599">
        <v>2998.4</v>
      </c>
      <c r="Y11" s="599">
        <f t="shared" ref="Y11:Y17" si="6">IF(W11=0, "    ---- ", IF(ABS(ROUND(100/W11*X11-100,1))&lt;999,ROUND(100/W11*X11-100,1),IF(ROUND(100/W11*X11-100,1)&gt;999,999,-999)))</f>
        <v>-6.8</v>
      </c>
      <c r="Z11" s="600">
        <v>806</v>
      </c>
      <c r="AA11" s="599">
        <v>745</v>
      </c>
      <c r="AB11" s="599">
        <f t="shared" ref="AB11:AB17" si="7">IF(Z11=0, "    ---- ", IF(ABS(ROUND(100/Z11*AA11-100,1))&lt;999,ROUND(100/Z11*AA11-100,1),IF(ROUND(100/Z11*AA11-100,1)&gt;999,999,-999)))</f>
        <v>-7.6</v>
      </c>
      <c r="AC11" s="600">
        <v>34</v>
      </c>
      <c r="AD11" s="599">
        <v>42</v>
      </c>
      <c r="AE11" s="599">
        <f t="shared" ref="AE11:AE16" si="8">IF(AC11=0, "    ---- ", IF(ABS(ROUND(100/AC11*AD11-100,1))&lt;999,ROUND(100/AC11*AD11-100,1),IF(ROUND(100/AC11*AD11-100,1)&gt;999,999,-999)))</f>
        <v>23.5</v>
      </c>
      <c r="AF11" s="600">
        <v>1560.6338361099997</v>
      </c>
      <c r="AG11" s="599">
        <v>1814.3265683599993</v>
      </c>
      <c r="AH11" s="599">
        <f t="shared" ref="AH11:AH17" si="9">IF(AF11=0, "    ---- ", IF(ABS(ROUND(100/AF11*AG11-100,1))&lt;999,ROUND(100/AF11*AG11-100,1),IF(ROUND(100/AF11*AG11-100,1)&gt;999,999,-999)))</f>
        <v>16.3</v>
      </c>
      <c r="AI11" s="600">
        <v>5058</v>
      </c>
      <c r="AJ11" s="599">
        <v>5078</v>
      </c>
      <c r="AK11" s="599">
        <f t="shared" ref="AK11:AK17" si="10">IF(AI11=0, "    ---- ", IF(ABS(ROUND(100/AI11*AJ11-100,1))&lt;999,ROUND(100/AI11*AJ11-100,1),IF(ROUND(100/AI11*AJ11-100,1)&gt;999,999,-999)))</f>
        <v>0.4</v>
      </c>
      <c r="AL11" s="599">
        <f>B11+E11+H11+K11+Q11+T11+W11+Z11+AF11+AI11</f>
        <v>23420.357434229998</v>
      </c>
      <c r="AM11" s="599">
        <f>C11+F11+I11+L11+R11+U11+X11+AA11+AG11+AJ11</f>
        <v>23175.019782480002</v>
      </c>
      <c r="AN11" s="599">
        <f t="shared" ref="AN11:AN45" si="11">IF(AL11=0, "    ---- ", IF(ABS(ROUND(100/AL11*AM11-100,1))&lt;999,ROUND(100/AL11*AM11-100,1),IF(ROUND(100/AL11*AM11-100,1)&gt;999,999,-999)))</f>
        <v>-1</v>
      </c>
      <c r="AO11" s="602">
        <f>+B11+E11+H11+K11+N11+Q11+T11+W11+Z11+AC11+AF11+AI11</f>
        <v>23465.357434229998</v>
      </c>
      <c r="AP11" s="602">
        <f>+C11+F11+I11+L11+O11+R11+U11+X11+AA11+AD11+AG11+AJ11</f>
        <v>23227.019782480002</v>
      </c>
      <c r="AQ11" s="599">
        <f t="shared" ref="AQ11:AQ17" si="12">IF(AO11=0, "    ---- ", IF(ABS(ROUND(100/AO11*AP11-100,1))&lt;999,ROUND(100/AO11*AP11-100,1),IF(ROUND(100/AO11*AP11-100,1)&gt;999,999,-999)))</f>
        <v>-1</v>
      </c>
    </row>
    <row r="12" spans="1:43" s="567" customFormat="1" ht="18.75" customHeight="1" x14ac:dyDescent="0.3">
      <c r="A12" s="596" t="s">
        <v>384</v>
      </c>
      <c r="B12" s="600">
        <v>-23.620999999999999</v>
      </c>
      <c r="C12" s="599">
        <v>-22.314</v>
      </c>
      <c r="D12" s="599">
        <f t="shared" si="0"/>
        <v>-5.5</v>
      </c>
      <c r="E12" s="600">
        <v>-134.55000000000001</v>
      </c>
      <c r="F12" s="599">
        <v>-109.68899999999999</v>
      </c>
      <c r="G12" s="599">
        <f t="shared" si="1"/>
        <v>-18.5</v>
      </c>
      <c r="H12" s="600">
        <v>-13.939</v>
      </c>
      <c r="I12" s="599">
        <v>-14.903</v>
      </c>
      <c r="J12" s="599">
        <f t="shared" si="2"/>
        <v>6.9</v>
      </c>
      <c r="K12" s="600">
        <v>-6.8760000000000003</v>
      </c>
      <c r="L12" s="599">
        <v>-6.3</v>
      </c>
      <c r="M12" s="599">
        <f t="shared" si="3"/>
        <v>-8.4</v>
      </c>
      <c r="N12" s="600"/>
      <c r="O12" s="599"/>
      <c r="P12" s="599"/>
      <c r="Q12" s="600"/>
      <c r="R12" s="599"/>
      <c r="S12" s="599"/>
      <c r="T12" s="600"/>
      <c r="U12" s="599"/>
      <c r="V12" s="599"/>
      <c r="W12" s="600">
        <v>-23.8</v>
      </c>
      <c r="X12" s="599">
        <v>-23</v>
      </c>
      <c r="Y12" s="599">
        <f t="shared" si="6"/>
        <v>-3.4</v>
      </c>
      <c r="Z12" s="600"/>
      <c r="AA12" s="599">
        <v>-0.4</v>
      </c>
      <c r="AB12" s="599" t="str">
        <f t="shared" si="7"/>
        <v xml:space="preserve">    ---- </v>
      </c>
      <c r="AC12" s="600"/>
      <c r="AD12" s="599"/>
      <c r="AE12" s="599"/>
      <c r="AF12" s="600">
        <v>-55.12</v>
      </c>
      <c r="AG12" s="599">
        <v>-51.609000000000002</v>
      </c>
      <c r="AH12" s="599">
        <f t="shared" si="9"/>
        <v>-6.4</v>
      </c>
      <c r="AI12" s="600">
        <v>-6</v>
      </c>
      <c r="AJ12" s="599">
        <v>-5</v>
      </c>
      <c r="AK12" s="599">
        <f t="shared" si="10"/>
        <v>-16.7</v>
      </c>
      <c r="AL12" s="599">
        <f t="shared" ref="AL12:AM21" si="13">B12+E12+H12+K12+Q12+T12+W12+Z12+AF12+AI12</f>
        <v>-263.90600000000001</v>
      </c>
      <c r="AM12" s="599">
        <f t="shared" si="13"/>
        <v>-233.215</v>
      </c>
      <c r="AN12" s="599">
        <f t="shared" si="11"/>
        <v>-11.6</v>
      </c>
      <c r="AO12" s="602">
        <f t="shared" ref="AO12:AP21" si="14">+B12+E12+H12+K12+N12+Q12+T12+W12+Z12+AC12+AF12+AI12</f>
        <v>-263.90600000000001</v>
      </c>
      <c r="AP12" s="602">
        <f t="shared" si="14"/>
        <v>-233.215</v>
      </c>
      <c r="AQ12" s="599">
        <f t="shared" si="12"/>
        <v>-11.6</v>
      </c>
    </row>
    <row r="13" spans="1:43" s="567" customFormat="1" ht="18.75" customHeight="1" x14ac:dyDescent="0.3">
      <c r="A13" s="596" t="s">
        <v>385</v>
      </c>
      <c r="B13" s="600">
        <v>341.14100000000002</v>
      </c>
      <c r="C13" s="599">
        <v>233.535</v>
      </c>
      <c r="D13" s="599">
        <f t="shared" si="0"/>
        <v>-31.5</v>
      </c>
      <c r="E13" s="600">
        <v>2080.2719999999999</v>
      </c>
      <c r="F13" s="599">
        <v>1126.3040000000001</v>
      </c>
      <c r="G13" s="599">
        <f t="shared" si="1"/>
        <v>-45.9</v>
      </c>
      <c r="H13" s="600">
        <v>28.914999999999999</v>
      </c>
      <c r="I13" s="599">
        <v>12.609</v>
      </c>
      <c r="J13" s="599">
        <f t="shared" si="2"/>
        <v>-56.4</v>
      </c>
      <c r="K13" s="600">
        <v>952.64099999999996</v>
      </c>
      <c r="L13" s="599">
        <v>531.1</v>
      </c>
      <c r="M13" s="599">
        <f t="shared" si="3"/>
        <v>-44.2</v>
      </c>
      <c r="N13" s="600"/>
      <c r="O13" s="599"/>
      <c r="P13" s="599"/>
      <c r="Q13" s="600">
        <v>176.64058</v>
      </c>
      <c r="R13" s="599">
        <v>5.3019790000000002</v>
      </c>
      <c r="S13" s="599">
        <f t="shared" si="4"/>
        <v>-97</v>
      </c>
      <c r="T13" s="600">
        <v>209.8</v>
      </c>
      <c r="U13" s="599">
        <v>118.4</v>
      </c>
      <c r="V13" s="599">
        <f t="shared" si="5"/>
        <v>-43.6</v>
      </c>
      <c r="W13" s="600">
        <v>437.2</v>
      </c>
      <c r="X13" s="599">
        <v>1319</v>
      </c>
      <c r="Y13" s="599">
        <f t="shared" si="6"/>
        <v>201.7</v>
      </c>
      <c r="Z13" s="600"/>
      <c r="AA13" s="599">
        <v>319</v>
      </c>
      <c r="AB13" s="599" t="str">
        <f t="shared" si="7"/>
        <v xml:space="preserve">    ---- </v>
      </c>
      <c r="AC13" s="600">
        <v>25</v>
      </c>
      <c r="AD13" s="599">
        <v>43</v>
      </c>
      <c r="AE13" s="599">
        <f t="shared" si="8"/>
        <v>72</v>
      </c>
      <c r="AF13" s="600">
        <v>582.23849558000006</v>
      </c>
      <c r="AG13" s="599">
        <v>1133.7787320099999</v>
      </c>
      <c r="AH13" s="599">
        <f t="shared" si="9"/>
        <v>94.7</v>
      </c>
      <c r="AI13" s="600">
        <v>327</v>
      </c>
      <c r="AJ13" s="599">
        <v>483</v>
      </c>
      <c r="AK13" s="599">
        <f t="shared" si="10"/>
        <v>47.7</v>
      </c>
      <c r="AL13" s="599">
        <f t="shared" si="13"/>
        <v>5135.8480755800001</v>
      </c>
      <c r="AM13" s="599">
        <f t="shared" si="13"/>
        <v>5282.0287110099998</v>
      </c>
      <c r="AN13" s="599">
        <f t="shared" si="11"/>
        <v>2.8</v>
      </c>
      <c r="AO13" s="602">
        <f t="shared" si="14"/>
        <v>5160.8480755800001</v>
      </c>
      <c r="AP13" s="602">
        <f t="shared" si="14"/>
        <v>5325.0287110099998</v>
      </c>
      <c r="AQ13" s="599">
        <f t="shared" si="12"/>
        <v>3.2</v>
      </c>
    </row>
    <row r="14" spans="1:43" s="567" customFormat="1" ht="18.75" customHeight="1" x14ac:dyDescent="0.3">
      <c r="A14" s="596" t="s">
        <v>386</v>
      </c>
      <c r="B14" s="603">
        <v>900.16800000000012</v>
      </c>
      <c r="C14" s="604">
        <f>SUM(C11:C13)</f>
        <v>829.29700000000003</v>
      </c>
      <c r="D14" s="599">
        <f t="shared" si="0"/>
        <v>-7.9</v>
      </c>
      <c r="E14" s="597">
        <v>6373.12</v>
      </c>
      <c r="F14" s="598">
        <f>SUM(F11:F13)</f>
        <v>4985.46</v>
      </c>
      <c r="G14" s="599">
        <f t="shared" si="1"/>
        <v>-21.8</v>
      </c>
      <c r="H14" s="597">
        <v>608.755</v>
      </c>
      <c r="I14" s="598">
        <f>SUM(I11:I13)</f>
        <v>632.48</v>
      </c>
      <c r="J14" s="599">
        <f t="shared" si="2"/>
        <v>3.9</v>
      </c>
      <c r="K14" s="597">
        <v>1703.7370000000001</v>
      </c>
      <c r="L14" s="598">
        <f>SUM(L11:L13)</f>
        <v>1384.9</v>
      </c>
      <c r="M14" s="599">
        <f t="shared" si="3"/>
        <v>-18.7</v>
      </c>
      <c r="N14" s="597">
        <v>11</v>
      </c>
      <c r="O14" s="598">
        <f>SUM(O11:O13)</f>
        <v>10</v>
      </c>
      <c r="P14" s="599">
        <f>IF(N14=0, "    ---- ", IF(ABS(ROUND(100/N14*O14-100,1))&lt;999,ROUND(100/N14*O14-100,1),IF(ROUND(100/N14*O14-100,1)&gt;999,999,-999)))</f>
        <v>-9.1</v>
      </c>
      <c r="Q14" s="597">
        <v>6482.5671781199999</v>
      </c>
      <c r="R14" s="598">
        <f>SUM(R11:R13)</f>
        <v>6333.6001931199999</v>
      </c>
      <c r="S14" s="599">
        <f t="shared" si="4"/>
        <v>-2.2999999999999998</v>
      </c>
      <c r="T14" s="597">
        <v>320.70000000000005</v>
      </c>
      <c r="U14" s="598">
        <f>SUM(U11:U13)</f>
        <v>247.6</v>
      </c>
      <c r="V14" s="599">
        <f t="shared" si="5"/>
        <v>-22.8</v>
      </c>
      <c r="W14" s="597">
        <v>3630.4999999999995</v>
      </c>
      <c r="X14" s="598">
        <v>4294.3999999999996</v>
      </c>
      <c r="Y14" s="599">
        <f t="shared" si="6"/>
        <v>18.3</v>
      </c>
      <c r="Z14" s="597">
        <v>806</v>
      </c>
      <c r="AA14" s="598">
        <f>SUM(AA11:AA13)</f>
        <v>1063.5999999999999</v>
      </c>
      <c r="AB14" s="599">
        <f t="shared" si="7"/>
        <v>32</v>
      </c>
      <c r="AC14" s="597">
        <v>59</v>
      </c>
      <c r="AD14" s="598">
        <f>SUM(AD11:AD13)</f>
        <v>85</v>
      </c>
      <c r="AE14" s="599">
        <f t="shared" si="8"/>
        <v>44.1</v>
      </c>
      <c r="AF14" s="597">
        <v>2087.7523316899997</v>
      </c>
      <c r="AG14" s="598">
        <f>SUM(AG11:AG13)</f>
        <v>2896.4963003699995</v>
      </c>
      <c r="AH14" s="599">
        <f t="shared" si="9"/>
        <v>38.700000000000003</v>
      </c>
      <c r="AI14" s="597">
        <v>5379</v>
      </c>
      <c r="AJ14" s="598">
        <f>SUM(AJ11:AJ13)</f>
        <v>5556</v>
      </c>
      <c r="AK14" s="599">
        <f t="shared" si="10"/>
        <v>3.3</v>
      </c>
      <c r="AL14" s="599">
        <f t="shared" si="13"/>
        <v>28292.29950981</v>
      </c>
      <c r="AM14" s="599">
        <f t="shared" si="13"/>
        <v>28223.833493489998</v>
      </c>
      <c r="AN14" s="599">
        <f t="shared" si="11"/>
        <v>-0.2</v>
      </c>
      <c r="AO14" s="602">
        <f t="shared" si="14"/>
        <v>28362.29950981</v>
      </c>
      <c r="AP14" s="602">
        <f t="shared" si="14"/>
        <v>28318.833493489998</v>
      </c>
      <c r="AQ14" s="599">
        <f t="shared" si="12"/>
        <v>-0.2</v>
      </c>
    </row>
    <row r="15" spans="1:43" s="567" customFormat="1" ht="18.75" customHeight="1" x14ac:dyDescent="0.3">
      <c r="A15" s="596" t="s">
        <v>387</v>
      </c>
      <c r="B15" s="605">
        <v>10.303000000000001</v>
      </c>
      <c r="C15" s="606">
        <v>0.30199999999999999</v>
      </c>
      <c r="D15" s="599">
        <f t="shared" si="0"/>
        <v>-97.1</v>
      </c>
      <c r="E15" s="605">
        <v>2740.8389999999999</v>
      </c>
      <c r="F15" s="606">
        <v>1122.9010000000001</v>
      </c>
      <c r="G15" s="599">
        <f t="shared" si="1"/>
        <v>-59</v>
      </c>
      <c r="H15" s="607">
        <v>13.368</v>
      </c>
      <c r="I15" s="608">
        <v>2.1579999999999999</v>
      </c>
      <c r="J15" s="599">
        <f t="shared" si="2"/>
        <v>-83.9</v>
      </c>
      <c r="K15" s="605">
        <v>56.996000000000002</v>
      </c>
      <c r="L15" s="606">
        <v>59</v>
      </c>
      <c r="M15" s="599">
        <f t="shared" si="3"/>
        <v>3.5</v>
      </c>
      <c r="N15" s="609"/>
      <c r="O15" s="610"/>
      <c r="P15" s="599"/>
      <c r="Q15" s="605">
        <v>7687.6370503199996</v>
      </c>
      <c r="R15" s="606">
        <v>-2044.3980332200001</v>
      </c>
      <c r="S15" s="599">
        <f t="shared" si="4"/>
        <v>-126.6</v>
      </c>
      <c r="T15" s="605">
        <v>19.2</v>
      </c>
      <c r="U15" s="606">
        <v>6.1</v>
      </c>
      <c r="V15" s="599">
        <f t="shared" si="5"/>
        <v>-68.2</v>
      </c>
      <c r="W15" s="605">
        <v>585.4</v>
      </c>
      <c r="X15" s="606">
        <v>293</v>
      </c>
      <c r="Y15" s="599">
        <f t="shared" si="6"/>
        <v>-49.9</v>
      </c>
      <c r="Z15" s="605">
        <v>2040</v>
      </c>
      <c r="AA15" s="606">
        <v>483</v>
      </c>
      <c r="AB15" s="599">
        <f t="shared" si="7"/>
        <v>-76.3</v>
      </c>
      <c r="AC15" s="609"/>
      <c r="AD15" s="610"/>
      <c r="AE15" s="599"/>
      <c r="AF15" s="611">
        <v>342.36221196000002</v>
      </c>
      <c r="AG15" s="612">
        <v>7.2930922999999996</v>
      </c>
      <c r="AH15" s="599">
        <f t="shared" si="9"/>
        <v>-97.9</v>
      </c>
      <c r="AI15" s="605">
        <v>2765</v>
      </c>
      <c r="AJ15" s="606">
        <v>438</v>
      </c>
      <c r="AK15" s="599">
        <f t="shared" si="10"/>
        <v>-84.2</v>
      </c>
      <c r="AL15" s="599">
        <f t="shared" si="13"/>
        <v>16261.10526228</v>
      </c>
      <c r="AM15" s="599">
        <f t="shared" si="13"/>
        <v>367.3560590799998</v>
      </c>
      <c r="AN15" s="599">
        <f t="shared" si="11"/>
        <v>-97.7</v>
      </c>
      <c r="AO15" s="602">
        <f t="shared" si="14"/>
        <v>16261.10526228</v>
      </c>
      <c r="AP15" s="602">
        <f t="shared" si="14"/>
        <v>367.3560590799998</v>
      </c>
      <c r="AQ15" s="599">
        <f t="shared" si="12"/>
        <v>-97.7</v>
      </c>
    </row>
    <row r="16" spans="1:43" s="567" customFormat="1" ht="18.75" customHeight="1" x14ac:dyDescent="0.3">
      <c r="A16" s="596" t="s">
        <v>388</v>
      </c>
      <c r="B16" s="605">
        <v>462.31400000000002</v>
      </c>
      <c r="C16" s="606">
        <v>-525.37599999999998</v>
      </c>
      <c r="D16" s="599">
        <f t="shared" si="0"/>
        <v>-213.6</v>
      </c>
      <c r="E16" s="605">
        <v>1578.373</v>
      </c>
      <c r="F16" s="606">
        <v>-1104.521</v>
      </c>
      <c r="G16" s="599">
        <f t="shared" si="1"/>
        <v>-170</v>
      </c>
      <c r="H16" s="607">
        <v>78.066999999999993</v>
      </c>
      <c r="I16" s="608">
        <v>-112.17700000000001</v>
      </c>
      <c r="J16" s="599">
        <f t="shared" si="2"/>
        <v>-243.7</v>
      </c>
      <c r="K16" s="605">
        <v>500.65499999999997</v>
      </c>
      <c r="L16" s="606">
        <v>-598.70000000000005</v>
      </c>
      <c r="M16" s="598">
        <f t="shared" si="3"/>
        <v>-219.6</v>
      </c>
      <c r="N16" s="609"/>
      <c r="O16" s="610"/>
      <c r="P16" s="613"/>
      <c r="Q16" s="605">
        <v>40.23410664</v>
      </c>
      <c r="R16" s="606">
        <v>-21.331661309999998</v>
      </c>
      <c r="S16" s="613">
        <f t="shared" si="4"/>
        <v>-153</v>
      </c>
      <c r="T16" s="605">
        <v>45.8</v>
      </c>
      <c r="U16" s="606">
        <v>-72</v>
      </c>
      <c r="V16" s="613">
        <f t="shared" si="5"/>
        <v>-257.2</v>
      </c>
      <c r="W16" s="605">
        <v>1635.4</v>
      </c>
      <c r="X16" s="606">
        <v>-1636.4</v>
      </c>
      <c r="Y16" s="599">
        <f t="shared" si="6"/>
        <v>-200.1</v>
      </c>
      <c r="Z16" s="605"/>
      <c r="AA16" s="606"/>
      <c r="AB16" s="599"/>
      <c r="AC16" s="609">
        <v>79</v>
      </c>
      <c r="AD16" s="610">
        <v>-73</v>
      </c>
      <c r="AE16" s="599">
        <f t="shared" si="8"/>
        <v>-192.4</v>
      </c>
      <c r="AF16" s="611">
        <v>664.35136140999987</v>
      </c>
      <c r="AG16" s="612">
        <v>-452.24791173</v>
      </c>
      <c r="AH16" s="599">
        <f t="shared" si="9"/>
        <v>-168.1</v>
      </c>
      <c r="AI16" s="605">
        <v>2229</v>
      </c>
      <c r="AJ16" s="606">
        <v>-1359</v>
      </c>
      <c r="AK16" s="599">
        <f t="shared" si="10"/>
        <v>-161</v>
      </c>
      <c r="AL16" s="599">
        <f t="shared" si="13"/>
        <v>7234.1944680500001</v>
      </c>
      <c r="AM16" s="599">
        <f t="shared" si="13"/>
        <v>-5881.7535730400004</v>
      </c>
      <c r="AN16" s="599">
        <f t="shared" si="11"/>
        <v>-181.3</v>
      </c>
      <c r="AO16" s="602">
        <f t="shared" si="14"/>
        <v>7313.1944680500001</v>
      </c>
      <c r="AP16" s="602">
        <f t="shared" si="14"/>
        <v>-5954.7535730400004</v>
      </c>
      <c r="AQ16" s="599">
        <f t="shared" si="12"/>
        <v>-181.4</v>
      </c>
    </row>
    <row r="17" spans="1:43" s="567" customFormat="1" ht="18.75" customHeight="1" x14ac:dyDescent="0.3">
      <c r="A17" s="596" t="s">
        <v>389</v>
      </c>
      <c r="B17" s="605"/>
      <c r="C17" s="606"/>
      <c r="D17" s="599"/>
      <c r="E17" s="605">
        <v>4.484</v>
      </c>
      <c r="F17" s="606">
        <v>4.7670000000000003</v>
      </c>
      <c r="G17" s="599">
        <f t="shared" si="1"/>
        <v>6.3</v>
      </c>
      <c r="H17" s="607">
        <v>2.605</v>
      </c>
      <c r="I17" s="608">
        <v>3.0950000000000002</v>
      </c>
      <c r="J17" s="599">
        <f t="shared" si="2"/>
        <v>18.8</v>
      </c>
      <c r="K17" s="605">
        <v>28.747</v>
      </c>
      <c r="L17" s="606">
        <v>34.5</v>
      </c>
      <c r="M17" s="598">
        <f t="shared" si="3"/>
        <v>20</v>
      </c>
      <c r="N17" s="609"/>
      <c r="O17" s="610"/>
      <c r="P17" s="599"/>
      <c r="Q17" s="605">
        <v>246.03740400000001</v>
      </c>
      <c r="R17" s="606">
        <v>256.157466</v>
      </c>
      <c r="S17" s="599">
        <f t="shared" si="4"/>
        <v>4.0999999999999996</v>
      </c>
      <c r="T17" s="605">
        <v>0.9</v>
      </c>
      <c r="U17" s="606">
        <v>0.8</v>
      </c>
      <c r="V17" s="599">
        <f t="shared" si="5"/>
        <v>-11.1</v>
      </c>
      <c r="W17" s="605">
        <v>38</v>
      </c>
      <c r="X17" s="606">
        <v>34</v>
      </c>
      <c r="Y17" s="599">
        <f t="shared" si="6"/>
        <v>-10.5</v>
      </c>
      <c r="Z17" s="605">
        <v>48</v>
      </c>
      <c r="AA17" s="606">
        <v>52</v>
      </c>
      <c r="AB17" s="599">
        <f t="shared" si="7"/>
        <v>8.3000000000000007</v>
      </c>
      <c r="AC17" s="609"/>
      <c r="AD17" s="610"/>
      <c r="AE17" s="599"/>
      <c r="AF17" s="611">
        <v>30.076281560000005</v>
      </c>
      <c r="AG17" s="612">
        <v>33.565983810000006</v>
      </c>
      <c r="AH17" s="599">
        <f t="shared" si="9"/>
        <v>11.6</v>
      </c>
      <c r="AI17" s="605">
        <v>127</v>
      </c>
      <c r="AJ17" s="606">
        <v>144</v>
      </c>
      <c r="AK17" s="599">
        <f t="shared" si="10"/>
        <v>13.4</v>
      </c>
      <c r="AL17" s="599">
        <f t="shared" si="13"/>
        <v>525.8496855599999</v>
      </c>
      <c r="AM17" s="599">
        <f t="shared" si="13"/>
        <v>562.88544981000007</v>
      </c>
      <c r="AN17" s="599">
        <f t="shared" si="11"/>
        <v>7</v>
      </c>
      <c r="AO17" s="602">
        <f t="shared" si="14"/>
        <v>525.8496855599999</v>
      </c>
      <c r="AP17" s="602">
        <f t="shared" si="14"/>
        <v>562.88544981000007</v>
      </c>
      <c r="AQ17" s="599">
        <f t="shared" si="12"/>
        <v>7</v>
      </c>
    </row>
    <row r="18" spans="1:43" s="567" customFormat="1" ht="18.75" customHeight="1" x14ac:dyDescent="0.3">
      <c r="A18" s="596" t="s">
        <v>390</v>
      </c>
      <c r="B18" s="605"/>
      <c r="C18" s="606"/>
      <c r="D18" s="599"/>
      <c r="E18" s="605"/>
      <c r="F18" s="606"/>
      <c r="G18" s="599"/>
      <c r="H18" s="607"/>
      <c r="I18" s="608"/>
      <c r="J18" s="599"/>
      <c r="K18" s="605"/>
      <c r="L18" s="606"/>
      <c r="M18" s="598"/>
      <c r="N18" s="609"/>
      <c r="O18" s="610"/>
      <c r="P18" s="599"/>
      <c r="Q18" s="605"/>
      <c r="R18" s="606"/>
      <c r="S18" s="599"/>
      <c r="T18" s="605"/>
      <c r="U18" s="606"/>
      <c r="V18" s="599"/>
      <c r="W18" s="614"/>
      <c r="X18" s="615"/>
      <c r="Y18" s="599"/>
      <c r="Z18" s="605"/>
      <c r="AA18" s="606"/>
      <c r="AB18" s="599"/>
      <c r="AC18" s="609"/>
      <c r="AD18" s="610"/>
      <c r="AE18" s="599"/>
      <c r="AF18" s="611"/>
      <c r="AG18" s="612"/>
      <c r="AH18" s="599"/>
      <c r="AI18" s="605"/>
      <c r="AJ18" s="606"/>
      <c r="AK18" s="599"/>
      <c r="AL18" s="599"/>
      <c r="AM18" s="599"/>
      <c r="AN18" s="599"/>
      <c r="AO18" s="616"/>
      <c r="AP18" s="616"/>
      <c r="AQ18" s="601"/>
    </row>
    <row r="19" spans="1:43" s="567" customFormat="1" ht="18.75" customHeight="1" x14ac:dyDescent="0.3">
      <c r="A19" s="596" t="s">
        <v>391</v>
      </c>
      <c r="B19" s="597">
        <v>-132.77599999999998</v>
      </c>
      <c r="C19" s="598">
        <f>-162.844+12.306</f>
        <v>-150.53799999999998</v>
      </c>
      <c r="D19" s="599">
        <f>IF(B19=0, "    ---- ", IF(ABS(ROUND(100/B19*C19-100,1))&lt;999,ROUND(100/B19*C19-100,1),IF(ROUND(100/B19*C19-100,1)&gt;999,999,-999)))</f>
        <v>13.4</v>
      </c>
      <c r="E19" s="597">
        <v>-3685.364</v>
      </c>
      <c r="F19" s="598">
        <v>-3706.6019999999999</v>
      </c>
      <c r="G19" s="599">
        <f>IF(E19=0, "    ---- ", IF(ABS(ROUND(100/E19*F19-100,1))&lt;999,ROUND(100/E19*F19-100,1),IF(ROUND(100/E19*F19-100,1)&gt;999,999,-999)))</f>
        <v>0.6</v>
      </c>
      <c r="H19" s="597">
        <v>-17.783999999999999</v>
      </c>
      <c r="I19" s="598">
        <v>-27.027999999999999</v>
      </c>
      <c r="J19" s="599">
        <f>IF(H19=0, "    ---- ", IF(ABS(ROUND(100/H19*I19-100,1))&lt;999,ROUND(100/H19*I19-100,1),IF(ROUND(100/H19*I19-100,1)&gt;999,999,-999)))</f>
        <v>52</v>
      </c>
      <c r="K19" s="597">
        <v>-112.73</v>
      </c>
      <c r="L19" s="598">
        <v>-130.5</v>
      </c>
      <c r="M19" s="599">
        <f>IF(K19=0, "    ---- ", IF(ABS(ROUND(100/K19*L19-100,1))&lt;999,ROUND(100/K19*L19-100,1),IF(ROUND(100/K19*L19-100,1)&gt;999,999,-999)))</f>
        <v>15.8</v>
      </c>
      <c r="N19" s="597">
        <v>-5</v>
      </c>
      <c r="O19" s="598">
        <v>-3</v>
      </c>
      <c r="P19" s="599">
        <f>IF(N19=0, "    ---- ", IF(ABS(ROUND(100/N19*O19-100,1))&lt;999,ROUND(100/N19*O19-100,1),IF(ROUND(100/N19*O19-100,1)&gt;999,999,-999)))</f>
        <v>-40</v>
      </c>
      <c r="Q19" s="597">
        <v>-4270.6424189999998</v>
      </c>
      <c r="R19" s="598">
        <v>-4420.90211</v>
      </c>
      <c r="S19" s="599">
        <f>IF(Q19=0, "    ---- ", IF(ABS(ROUND(100/Q19*R19-100,1))&lt;999,ROUND(100/Q19*R19-100,1),IF(ROUND(100/Q19*R19-100,1)&gt;999,999,-999)))</f>
        <v>3.5</v>
      </c>
      <c r="T19" s="597">
        <v>-19</v>
      </c>
      <c r="U19" s="598">
        <v>-20.100000000000001</v>
      </c>
      <c r="V19" s="599">
        <f t="shared" si="5"/>
        <v>5.8</v>
      </c>
      <c r="W19" s="597">
        <v>-1101</v>
      </c>
      <c r="X19" s="598">
        <v>-1229</v>
      </c>
      <c r="Y19" s="599">
        <f>IF(W19=0, "    ---- ", IF(ABS(ROUND(100/W19*X19-100,1))&lt;999,ROUND(100/W19*X19-100,1),IF(ROUND(100/W19*X19-100,1)&gt;999,999,-999)))</f>
        <v>11.6</v>
      </c>
      <c r="Z19" s="597">
        <v>-655</v>
      </c>
      <c r="AA19" s="598">
        <v>-682</v>
      </c>
      <c r="AB19" s="599">
        <f>IF(Z19=0, "    ---- ", IF(ABS(ROUND(100/Z19*AA19-100,1))&lt;999,ROUND(100/Z19*AA19-100,1),IF(ROUND(100/Z19*AA19-100,1)&gt;999,999,-999)))</f>
        <v>4.0999999999999996</v>
      </c>
      <c r="AC19" s="597">
        <v>-51</v>
      </c>
      <c r="AD19" s="598">
        <v>-35</v>
      </c>
      <c r="AE19" s="599">
        <f>IF(AC19=0, "    ---- ", IF(ABS(ROUND(100/AC19*AD19-100,1))&lt;999,ROUND(100/AC19*AD19-100,1),IF(ROUND(100/AC19*AD19-100,1)&gt;999,999,-999)))</f>
        <v>-31.4</v>
      </c>
      <c r="AF19" s="617">
        <v>-529.62806091999994</v>
      </c>
      <c r="AG19" s="618">
        <v>-578.35014191000016</v>
      </c>
      <c r="AH19" s="599">
        <f>IF(AF19=0, "    ---- ", IF(ABS(ROUND(100/AF19*AG19-100,1))&lt;999,ROUND(100/AF19*AG19-100,1),IF(ROUND(100/AF19*AG19-100,1)&gt;999,999,-999)))</f>
        <v>9.1999999999999993</v>
      </c>
      <c r="AI19" s="597">
        <v>-2563</v>
      </c>
      <c r="AJ19" s="598">
        <f>-2805+8</f>
        <v>-2797</v>
      </c>
      <c r="AK19" s="599">
        <f>IF(AI19=0, "    ---- ", IF(ABS(ROUND(100/AI19*AJ19-100,1))&lt;999,ROUND(100/AI19*AJ19-100,1),IF(ROUND(100/AI19*AJ19-100,1)&gt;999,999,-999)))</f>
        <v>9.1</v>
      </c>
      <c r="AL19" s="599">
        <f t="shared" si="13"/>
        <v>-13086.924479920001</v>
      </c>
      <c r="AM19" s="599">
        <f t="shared" si="13"/>
        <v>-13742.02025191</v>
      </c>
      <c r="AN19" s="599">
        <f t="shared" si="11"/>
        <v>5</v>
      </c>
      <c r="AO19" s="602">
        <f t="shared" si="14"/>
        <v>-13142.924479920001</v>
      </c>
      <c r="AP19" s="602">
        <f t="shared" si="14"/>
        <v>-13780.02025191</v>
      </c>
      <c r="AQ19" s="599">
        <f>IF(AO19=0, "    ---- ", IF(ABS(ROUND(100/AO19*AP19-100,1))&lt;999,ROUND(100/AO19*AP19-100,1),IF(ROUND(100/AO19*AP19-100,1)&gt;999,999,-999)))</f>
        <v>4.8</v>
      </c>
    </row>
    <row r="20" spans="1:43" s="567" customFormat="1" ht="18.75" customHeight="1" x14ac:dyDescent="0.3">
      <c r="A20" s="596" t="s">
        <v>454</v>
      </c>
      <c r="B20" s="600">
        <v>-191.447</v>
      </c>
      <c r="C20" s="599">
        <v>-293.80099999999999</v>
      </c>
      <c r="D20" s="599">
        <f>IF(B20=0, "    ---- ", IF(ABS(ROUND(100/B20*C20-100,1))&lt;999,ROUND(100/B20*C20-100,1),IF(ROUND(100/B20*C20-100,1)&gt;999,999,-999)))</f>
        <v>53.5</v>
      </c>
      <c r="E20" s="600">
        <v>-557.48699999999997</v>
      </c>
      <c r="F20" s="599">
        <v>-1952.827</v>
      </c>
      <c r="G20" s="599">
        <f>IF(E20=0, "    ---- ", IF(ABS(ROUND(100/E20*F20-100,1))&lt;999,ROUND(100/E20*F20-100,1),IF(ROUND(100/E20*F20-100,1)&gt;999,999,-999)))</f>
        <v>250.3</v>
      </c>
      <c r="H20" s="600">
        <v>-41.563000000000002</v>
      </c>
      <c r="I20" s="599">
        <v>-49.261000000000003</v>
      </c>
      <c r="J20" s="599">
        <f>IF(H20=0, "    ---- ", IF(ABS(ROUND(100/H20*I20-100,1))&lt;999,ROUND(100/H20*I20-100,1),IF(ROUND(100/H20*I20-100,1)&gt;999,999,-999)))</f>
        <v>18.5</v>
      </c>
      <c r="K20" s="600">
        <v>-343.46199999999999</v>
      </c>
      <c r="L20" s="599">
        <v>-385.9</v>
      </c>
      <c r="M20" s="599">
        <f>IF(K20=0, "    ---- ", IF(ABS(ROUND(100/K20*L20-100,1))&lt;999,ROUND(100/K20*L20-100,1),IF(ROUND(100/K20*L20-100,1)&gt;999,999,-999)))</f>
        <v>12.4</v>
      </c>
      <c r="N20" s="600"/>
      <c r="O20" s="599"/>
      <c r="P20" s="599"/>
      <c r="Q20" s="600">
        <v>-188.3</v>
      </c>
      <c r="R20" s="599">
        <v>-423.5</v>
      </c>
      <c r="S20" s="599">
        <f>IF(Q20=0, "    ---- ", IF(ABS(ROUND(100/Q20*R20-100,1))&lt;999,ROUND(100/Q20*R20-100,1),IF(ROUND(100/Q20*R20-100,1)&gt;999,999,-999)))</f>
        <v>124.9</v>
      </c>
      <c r="T20" s="600">
        <v>-50.1</v>
      </c>
      <c r="U20" s="599">
        <v>-19.7</v>
      </c>
      <c r="V20" s="599">
        <f t="shared" si="5"/>
        <v>-60.7</v>
      </c>
      <c r="W20" s="619">
        <v>-1101</v>
      </c>
      <c r="X20" s="620">
        <v>-1425.6</v>
      </c>
      <c r="Y20" s="599">
        <f>IF(W20=0, "    ---- ", IF(ABS(ROUND(100/W20*X20-100,1))&lt;999,ROUND(100/W20*X20-100,1),IF(ROUND(100/W20*X20-100,1)&gt;999,999,-999)))</f>
        <v>29.5</v>
      </c>
      <c r="Z20" s="619"/>
      <c r="AA20" s="620"/>
      <c r="AB20" s="599"/>
      <c r="AC20" s="600">
        <v>-12</v>
      </c>
      <c r="AD20" s="599">
        <v>-1</v>
      </c>
      <c r="AE20" s="599">
        <f>IF(AC20=0, "    ---- ", IF(ABS(ROUND(100/AC20*AD20-100,1))&lt;999,ROUND(100/AC20*AD20-100,1),IF(ROUND(100/AC20*AD20-100,1)&gt;999,999,-999)))</f>
        <v>-91.7</v>
      </c>
      <c r="AF20" s="619">
        <v>-265.31835145000002</v>
      </c>
      <c r="AG20" s="620">
        <v>-142.12769751000002</v>
      </c>
      <c r="AH20" s="599">
        <f>IF(AF20=0, "    ---- ", IF(ABS(ROUND(100/AF20*AG20-100,1))&lt;999,ROUND(100/AF20*AG20-100,1),IF(ROUND(100/AF20*AG20-100,1)&gt;999,999,-999)))</f>
        <v>-46.4</v>
      </c>
      <c r="AI20" s="600">
        <v>-2545</v>
      </c>
      <c r="AJ20" s="599">
        <v>-999</v>
      </c>
      <c r="AK20" s="599">
        <f>IF(AI20=0, "    ---- ", IF(ABS(ROUND(100/AI20*AJ20-100,1))&lt;999,ROUND(100/AI20*AJ20-100,1),IF(ROUND(100/AI20*AJ20-100,1)&gt;999,999,-999)))</f>
        <v>-60.7</v>
      </c>
      <c r="AL20" s="599">
        <f t="shared" si="13"/>
        <v>-5283.6773514500001</v>
      </c>
      <c r="AM20" s="599">
        <f t="shared" si="13"/>
        <v>-5691.7166975099999</v>
      </c>
      <c r="AN20" s="599">
        <f t="shared" si="11"/>
        <v>7.7</v>
      </c>
      <c r="AO20" s="602">
        <f t="shared" si="14"/>
        <v>-5295.6773514500001</v>
      </c>
      <c r="AP20" s="602">
        <f t="shared" si="14"/>
        <v>-5692.7166975099999</v>
      </c>
      <c r="AQ20" s="599">
        <f>IF(AO20=0, "    ---- ", IF(ABS(ROUND(100/AO20*AP20-100,1))&lt;999,ROUND(100/AO20*AP20-100,1),IF(ROUND(100/AO20*AP20-100,1)&gt;999,999,-999)))</f>
        <v>7.5</v>
      </c>
    </row>
    <row r="21" spans="1:43" s="567" customFormat="1" ht="18.75" customHeight="1" x14ac:dyDescent="0.3">
      <c r="A21" s="596" t="s">
        <v>392</v>
      </c>
      <c r="B21" s="603">
        <v>-324.22299999999996</v>
      </c>
      <c r="C21" s="598">
        <f>SUM(C19:C20)</f>
        <v>-444.33899999999994</v>
      </c>
      <c r="D21" s="599">
        <f>IF(B21=0, "    ---- ", IF(ABS(ROUND(100/B21*C21-100,1))&lt;999,ROUND(100/B21*C21-100,1),IF(ROUND(100/B21*C21-100,1)&gt;999,999,-999)))</f>
        <v>37</v>
      </c>
      <c r="E21" s="597">
        <v>-4242.8509999999997</v>
      </c>
      <c r="F21" s="598">
        <f>SUM(F19:F20)</f>
        <v>-5659.4290000000001</v>
      </c>
      <c r="G21" s="599">
        <f>IF(E21=0, "    ---- ", IF(ABS(ROUND(100/E21*F21-100,1))&lt;999,ROUND(100/E21*F21-100,1),IF(ROUND(100/E21*F21-100,1)&gt;999,999,-999)))</f>
        <v>33.4</v>
      </c>
      <c r="H21" s="597">
        <v>-59.347000000000001</v>
      </c>
      <c r="I21" s="598">
        <f>SUM(I19:I20)</f>
        <v>-76.289000000000001</v>
      </c>
      <c r="J21" s="599">
        <f>IF(H21=0, "    ---- ", IF(ABS(ROUND(100/H21*I21-100,1))&lt;999,ROUND(100/H21*I21-100,1),IF(ROUND(100/H21*I21-100,1)&gt;999,999,-999)))</f>
        <v>28.5</v>
      </c>
      <c r="K21" s="597">
        <v>-456.19200000000001</v>
      </c>
      <c r="L21" s="598">
        <f>SUM(L19:L20)</f>
        <v>-516.4</v>
      </c>
      <c r="M21" s="599">
        <f>IF(K21=0, "    ---- ", IF(ABS(ROUND(100/K21*L21-100,1))&lt;999,ROUND(100/K21*L21-100,1),IF(ROUND(100/K21*L21-100,1)&gt;999,999,-999)))</f>
        <v>13.2</v>
      </c>
      <c r="N21" s="597">
        <v>-5</v>
      </c>
      <c r="O21" s="598">
        <f>SUM(O19:O20)</f>
        <v>-3</v>
      </c>
      <c r="P21" s="599">
        <f>IF(N21=0, "    ---- ", IF(ABS(ROUND(100/N21*O21-100,1))&lt;999,ROUND(100/N21*O21-100,1),IF(ROUND(100/N21*O21-100,1)&gt;999,999,-999)))</f>
        <v>-40</v>
      </c>
      <c r="Q21" s="597">
        <v>-4458.942419</v>
      </c>
      <c r="R21" s="598">
        <f>SUM(R19:R20)</f>
        <v>-4844.40211</v>
      </c>
      <c r="S21" s="599">
        <f>IF(Q21=0, "    ---- ", IF(ABS(ROUND(100/Q21*R21-100,1))&lt;999,ROUND(100/Q21*R21-100,1),IF(ROUND(100/Q21*R21-100,1)&gt;999,999,-999)))</f>
        <v>8.6</v>
      </c>
      <c r="T21" s="597">
        <v>-69.099999999999994</v>
      </c>
      <c r="U21" s="598">
        <f>SUM(U19:U20)</f>
        <v>-39.799999999999997</v>
      </c>
      <c r="V21" s="599">
        <f t="shared" si="5"/>
        <v>-42.4</v>
      </c>
      <c r="W21" s="597">
        <v>-2202</v>
      </c>
      <c r="X21" s="598">
        <v>-2654.6</v>
      </c>
      <c r="Y21" s="599">
        <f>IF(W21=0, "    ---- ", IF(ABS(ROUND(100/W21*X21-100,1))&lt;999,ROUND(100/W21*X21-100,1),IF(ROUND(100/W21*X21-100,1)&gt;999,999,-999)))</f>
        <v>20.6</v>
      </c>
      <c r="Z21" s="597">
        <v>-655</v>
      </c>
      <c r="AA21" s="598">
        <f>SUM(AA19:AA20)</f>
        <v>-682</v>
      </c>
      <c r="AB21" s="599">
        <f>IF(Z21=0, "    ---- ", IF(ABS(ROUND(100/Z21*AA21-100,1))&lt;999,ROUND(100/Z21*AA21-100,1),IF(ROUND(100/Z21*AA21-100,1)&gt;999,999,-999)))</f>
        <v>4.0999999999999996</v>
      </c>
      <c r="AC21" s="597">
        <v>-63</v>
      </c>
      <c r="AD21" s="598">
        <f>SUM(AD19:AD20)</f>
        <v>-36</v>
      </c>
      <c r="AE21" s="599">
        <f>IF(AC21=0, "    ---- ", IF(ABS(ROUND(100/AC21*AD21-100,1))&lt;999,ROUND(100/AC21*AD21-100,1),IF(ROUND(100/AC21*AD21-100,1)&gt;999,999,-999)))</f>
        <v>-42.9</v>
      </c>
      <c r="AF21" s="597">
        <v>-794.94641236999996</v>
      </c>
      <c r="AG21" s="598">
        <f>SUM(AG19:AG20)</f>
        <v>-720.47783942000024</v>
      </c>
      <c r="AH21" s="599">
        <f>IF(AF21=0, "    ---- ", IF(ABS(ROUND(100/AF21*AG21-100,1))&lt;999,ROUND(100/AF21*AG21-100,1),IF(ROUND(100/AF21*AG21-100,1)&gt;999,999,-999)))</f>
        <v>-9.4</v>
      </c>
      <c r="AI21" s="597">
        <v>-5108</v>
      </c>
      <c r="AJ21" s="598">
        <f>SUM(AJ19:AJ20)</f>
        <v>-3796</v>
      </c>
      <c r="AK21" s="599">
        <f>IF(AI21=0, "    ---- ", IF(ABS(ROUND(100/AI21*AJ21-100,1))&lt;999,ROUND(100/AI21*AJ21-100,1),IF(ROUND(100/AI21*AJ21-100,1)&gt;999,999,-999)))</f>
        <v>-25.7</v>
      </c>
      <c r="AL21" s="599">
        <f t="shared" si="13"/>
        <v>-18370.601831370001</v>
      </c>
      <c r="AM21" s="599">
        <f t="shared" si="13"/>
        <v>-19433.736949419999</v>
      </c>
      <c r="AN21" s="599">
        <f t="shared" si="11"/>
        <v>5.8</v>
      </c>
      <c r="AO21" s="602">
        <f t="shared" si="14"/>
        <v>-18438.601831370001</v>
      </c>
      <c r="AP21" s="602">
        <f t="shared" si="14"/>
        <v>-19472.736949419999</v>
      </c>
      <c r="AQ21" s="599">
        <f>IF(AO21=0, "    ---- ", IF(ABS(ROUND(100/AO21*AP21-100,1))&lt;999,ROUND(100/AO21*AP21-100,1),IF(ROUND(100/AO21*AP21-100,1)&gt;999,999,-999)))</f>
        <v>5.6</v>
      </c>
    </row>
    <row r="22" spans="1:43" s="567" customFormat="1" ht="18.75" customHeight="1" x14ac:dyDescent="0.3">
      <c r="A22" s="596" t="s">
        <v>393</v>
      </c>
      <c r="B22" s="605"/>
      <c r="C22" s="606"/>
      <c r="D22" s="599"/>
      <c r="E22" s="605"/>
      <c r="F22" s="606"/>
      <c r="G22" s="599"/>
      <c r="H22" s="609"/>
      <c r="I22" s="610"/>
      <c r="J22" s="599"/>
      <c r="K22" s="605"/>
      <c r="L22" s="606"/>
      <c r="M22" s="599"/>
      <c r="N22" s="609"/>
      <c r="O22" s="610"/>
      <c r="P22" s="599"/>
      <c r="Q22" s="605"/>
      <c r="R22" s="606"/>
      <c r="S22" s="599"/>
      <c r="T22" s="609"/>
      <c r="U22" s="610"/>
      <c r="V22" s="599"/>
      <c r="W22" s="609"/>
      <c r="X22" s="610"/>
      <c r="Y22" s="599"/>
      <c r="Z22" s="609"/>
      <c r="AA22" s="610"/>
      <c r="AB22" s="599"/>
      <c r="AC22" s="609"/>
      <c r="AD22" s="610"/>
      <c r="AE22" s="599"/>
      <c r="AF22" s="609"/>
      <c r="AG22" s="610"/>
      <c r="AH22" s="599"/>
      <c r="AI22" s="605"/>
      <c r="AJ22" s="606"/>
      <c r="AK22" s="599"/>
      <c r="AL22" s="599"/>
      <c r="AM22" s="599"/>
      <c r="AN22" s="599"/>
      <c r="AO22" s="599"/>
      <c r="AP22" s="599"/>
      <c r="AQ22" s="599"/>
    </row>
    <row r="23" spans="1:43" s="567" customFormat="1" ht="18.75" customHeight="1" x14ac:dyDescent="0.3">
      <c r="A23" s="596" t="s">
        <v>394</v>
      </c>
      <c r="B23" s="600">
        <v>-32.417000000000002</v>
      </c>
      <c r="C23" s="599">
        <f>-33.473+2.133</f>
        <v>-31.34</v>
      </c>
      <c r="D23" s="599">
        <f t="shared" ref="D23:D29" si="15">IF(B23=0, "    ---- ", IF(ABS(ROUND(100/B23*C23-100,1))&lt;999,ROUND(100/B23*C23-100,1),IF(ROUND(100/B23*C23-100,1)&gt;999,999,-999)))</f>
        <v>-3.3</v>
      </c>
      <c r="E23" s="600">
        <v>-17.818000000000001</v>
      </c>
      <c r="F23" s="599">
        <v>443.52499999999998</v>
      </c>
      <c r="G23" s="599">
        <f t="shared" ref="G23:G29" si="16">IF(E23=0, "    ---- ", IF(ABS(ROUND(100/E23*F23-100,1))&lt;999,ROUND(100/E23*F23-100,1),IF(ROUND(100/E23*F23-100,1)&gt;999,999,-999)))</f>
        <v>-999</v>
      </c>
      <c r="H23" s="600">
        <v>-416.08800000000002</v>
      </c>
      <c r="I23" s="599">
        <v>-431.53899999999999</v>
      </c>
      <c r="J23" s="599">
        <f>IF(H23=0, "    ---- ", IF(ABS(ROUND(100/H23*I23-100,1))&lt;999,ROUND(100/H23*I23-100,1),IF(ROUND(100/H23*I23-100,1)&gt;999,999,-999)))</f>
        <v>3.7</v>
      </c>
      <c r="K23" s="600">
        <v>-148.81</v>
      </c>
      <c r="L23" s="599">
        <v>-157.19999999999999</v>
      </c>
      <c r="M23" s="599">
        <f t="shared" ref="M23:M31" si="17">IF(K23=0, "    ---- ", IF(ABS(ROUND(100/K23*L23-100,1))&lt;999,ROUND(100/K23*L23-100,1),IF(ROUND(100/K23*L23-100,1)&gt;999,999,-999)))</f>
        <v>5.6</v>
      </c>
      <c r="N23" s="600">
        <v>4</v>
      </c>
      <c r="O23" s="599">
        <v>7</v>
      </c>
      <c r="P23" s="599">
        <f>IF(N23=0, "    ---- ", IF(ABS(ROUND(100/N23*O23-100,1))&lt;999,ROUND(100/N23*O23-100,1),IF(ROUND(100/N23*O23-100,1)&gt;999,999,-999)))</f>
        <v>75</v>
      </c>
      <c r="Q23" s="600">
        <v>-3850.1483803400001</v>
      </c>
      <c r="R23" s="599">
        <v>-3368.0149948099997</v>
      </c>
      <c r="S23" s="599">
        <f t="shared" ref="S23:S30" si="18">IF(Q23=0, "    ---- ", IF(ABS(ROUND(100/Q23*R23-100,1))&lt;999,ROUND(100/Q23*R23-100,1),IF(ROUND(100/Q23*R23-100,1)&gt;999,999,-999)))</f>
        <v>-12.5</v>
      </c>
      <c r="T23" s="600">
        <v>-3.9</v>
      </c>
      <c r="U23" s="599">
        <v>-9.8000000000000007</v>
      </c>
      <c r="V23" s="599">
        <f t="shared" si="5"/>
        <v>151.30000000000001</v>
      </c>
      <c r="W23" s="600">
        <v>-329</v>
      </c>
      <c r="X23" s="599">
        <v>-342</v>
      </c>
      <c r="Y23" s="599">
        <f t="shared" ref="Y23:Y29" si="19">IF(W23=0, "    ---- ", IF(ABS(ROUND(100/W23*X23-100,1))&lt;999,ROUND(100/W23*X23-100,1),IF(ROUND(100/W23*X23-100,1)&gt;999,999,-999)))</f>
        <v>4</v>
      </c>
      <c r="Z23" s="600">
        <v>-355</v>
      </c>
      <c r="AA23" s="599">
        <v>-666</v>
      </c>
      <c r="AB23" s="599">
        <f t="shared" ref="AB23:AB29" si="20">IF(Z23=0, "    ---- ", IF(ABS(ROUND(100/Z23*AA23-100,1))&lt;999,ROUND(100/Z23*AA23-100,1),IF(ROUND(100/Z23*AA23-100,1)&gt;999,999,-999)))</f>
        <v>87.6</v>
      </c>
      <c r="AC23" s="600"/>
      <c r="AD23" s="599"/>
      <c r="AE23" s="599"/>
      <c r="AF23" s="600">
        <v>-291.01335723</v>
      </c>
      <c r="AG23" s="599">
        <v>-323.11077058000006</v>
      </c>
      <c r="AH23" s="599">
        <f t="shared" ref="AH23:AH29" si="21">IF(AF23=0, "    ---- ", IF(ABS(ROUND(100/AF23*AG23-100,1))&lt;999,ROUND(100/AF23*AG23-100,1),IF(ROUND(100/AF23*AG23-100,1)&gt;999,999,-999)))</f>
        <v>11</v>
      </c>
      <c r="AI23" s="600">
        <v>-617</v>
      </c>
      <c r="AJ23" s="599">
        <v>-811</v>
      </c>
      <c r="AK23" s="599">
        <f t="shared" ref="AK23:AK29" si="22">IF(AI23=0, "    ---- ", IF(ABS(ROUND(100/AI23*AJ23-100,1))&lt;999,ROUND(100/AI23*AJ23-100,1),IF(ROUND(100/AI23*AJ23-100,1)&gt;999,999,-999)))</f>
        <v>31.4</v>
      </c>
      <c r="AL23" s="599">
        <f t="shared" ref="AL23:AM33" si="23">B23+E23+H23+K23+Q23+T23+W23+Z23+AF23+AI23</f>
        <v>-6061.1947375700001</v>
      </c>
      <c r="AM23" s="599">
        <f>C23+F23+I23+L23+R23+U23+X23+AA23+AG23+AJ23</f>
        <v>-5696.4797653900005</v>
      </c>
      <c r="AN23" s="599">
        <f t="shared" si="11"/>
        <v>-6</v>
      </c>
      <c r="AO23" s="599"/>
      <c r="AP23" s="599"/>
      <c r="AQ23" s="599"/>
    </row>
    <row r="24" spans="1:43" s="567" customFormat="1" ht="18.75" customHeight="1" x14ac:dyDescent="0.3">
      <c r="A24" s="596" t="s">
        <v>395</v>
      </c>
      <c r="B24" s="600"/>
      <c r="C24" s="599"/>
      <c r="D24" s="599"/>
      <c r="E24" s="600">
        <v>-7.891</v>
      </c>
      <c r="F24" s="599">
        <v>-10.222</v>
      </c>
      <c r="G24" s="599">
        <f t="shared" si="16"/>
        <v>29.5</v>
      </c>
      <c r="H24" s="600"/>
      <c r="I24" s="599"/>
      <c r="J24" s="599"/>
      <c r="K24" s="600">
        <v>-0.629</v>
      </c>
      <c r="L24" s="599">
        <v>-0.8</v>
      </c>
      <c r="M24" s="599">
        <f t="shared" si="17"/>
        <v>27.2</v>
      </c>
      <c r="N24" s="600"/>
      <c r="O24" s="599"/>
      <c r="P24" s="599"/>
      <c r="Q24" s="600"/>
      <c r="R24" s="599"/>
      <c r="S24" s="599"/>
      <c r="T24" s="600"/>
      <c r="U24" s="599"/>
      <c r="V24" s="599"/>
      <c r="W24" s="600">
        <v>4</v>
      </c>
      <c r="X24" s="599">
        <v>5</v>
      </c>
      <c r="Y24" s="599">
        <f t="shared" si="19"/>
        <v>25</v>
      </c>
      <c r="Z24" s="600"/>
      <c r="AA24" s="599"/>
      <c r="AB24" s="599"/>
      <c r="AC24" s="600"/>
      <c r="AD24" s="599"/>
      <c r="AE24" s="599"/>
      <c r="AF24" s="600">
        <v>0.75495888999999683</v>
      </c>
      <c r="AG24" s="599">
        <v>1.9546650699999999</v>
      </c>
      <c r="AH24" s="599">
        <f t="shared" si="21"/>
        <v>158.9</v>
      </c>
      <c r="AI24" s="600">
        <v>33</v>
      </c>
      <c r="AJ24" s="599">
        <v>20</v>
      </c>
      <c r="AK24" s="599">
        <f t="shared" si="22"/>
        <v>-39.4</v>
      </c>
      <c r="AL24" s="599">
        <f t="shared" si="23"/>
        <v>29.234958889999998</v>
      </c>
      <c r="AM24" s="599">
        <f t="shared" si="23"/>
        <v>15.932665069999999</v>
      </c>
      <c r="AN24" s="599">
        <f t="shared" si="11"/>
        <v>-45.5</v>
      </c>
      <c r="AO24" s="599"/>
      <c r="AP24" s="599"/>
      <c r="AQ24" s="599"/>
    </row>
    <row r="25" spans="1:43" s="567" customFormat="1" ht="18.75" customHeight="1" x14ac:dyDescent="0.3">
      <c r="A25" s="596" t="s">
        <v>396</v>
      </c>
      <c r="B25" s="600">
        <v>-6.3550000000000004</v>
      </c>
      <c r="C25" s="599">
        <v>5.8689999999999998</v>
      </c>
      <c r="D25" s="599">
        <f t="shared" si="15"/>
        <v>-192.4</v>
      </c>
      <c r="E25" s="600">
        <v>-632.66399999999999</v>
      </c>
      <c r="F25" s="599">
        <v>1104.559</v>
      </c>
      <c r="G25" s="599">
        <f t="shared" si="16"/>
        <v>-274.60000000000002</v>
      </c>
      <c r="H25" s="600"/>
      <c r="I25" s="599"/>
      <c r="J25" s="599"/>
      <c r="K25" s="600">
        <v>-6.3730000000000002</v>
      </c>
      <c r="L25" s="599">
        <v>45.1</v>
      </c>
      <c r="M25" s="599">
        <f t="shared" si="17"/>
        <v>-807.7</v>
      </c>
      <c r="N25" s="600"/>
      <c r="O25" s="599"/>
      <c r="P25" s="599"/>
      <c r="Q25" s="600">
        <v>-5091.32812397</v>
      </c>
      <c r="R25" s="599">
        <v>7621.2432319999998</v>
      </c>
      <c r="S25" s="599">
        <f t="shared" si="18"/>
        <v>-249.7</v>
      </c>
      <c r="T25" s="600">
        <v>-10.199999999999999</v>
      </c>
      <c r="U25" s="599">
        <v>16.2</v>
      </c>
      <c r="V25" s="599">
        <f t="shared" si="5"/>
        <v>-258.8</v>
      </c>
      <c r="W25" s="600">
        <v>-141.6</v>
      </c>
      <c r="X25" s="599">
        <v>249</v>
      </c>
      <c r="Y25" s="599">
        <f t="shared" si="19"/>
        <v>-275.8</v>
      </c>
      <c r="Z25" s="600">
        <v>-606</v>
      </c>
      <c r="AA25" s="599">
        <v>413</v>
      </c>
      <c r="AB25" s="599">
        <f t="shared" si="20"/>
        <v>-168.2</v>
      </c>
      <c r="AC25" s="600"/>
      <c r="AD25" s="599"/>
      <c r="AE25" s="599"/>
      <c r="AF25" s="600">
        <v>-134.10281813</v>
      </c>
      <c r="AG25" s="599">
        <v>286.21856102999999</v>
      </c>
      <c r="AH25" s="599">
        <f t="shared" si="21"/>
        <v>-313.39999999999998</v>
      </c>
      <c r="AI25" s="600">
        <v>362</v>
      </c>
      <c r="AJ25" s="599">
        <v>1394</v>
      </c>
      <c r="AK25" s="599">
        <f t="shared" si="22"/>
        <v>285.10000000000002</v>
      </c>
      <c r="AL25" s="599">
        <f t="shared" si="23"/>
        <v>-6266.6229420999998</v>
      </c>
      <c r="AM25" s="599">
        <f t="shared" si="23"/>
        <v>11135.18979303</v>
      </c>
      <c r="AN25" s="599">
        <f t="shared" si="11"/>
        <v>-277.7</v>
      </c>
      <c r="AO25" s="599"/>
      <c r="AP25" s="599"/>
      <c r="AQ25" s="599"/>
    </row>
    <row r="26" spans="1:43" s="567" customFormat="1" ht="18.75" customHeight="1" x14ac:dyDescent="0.3">
      <c r="A26" s="596" t="s">
        <v>397</v>
      </c>
      <c r="B26" s="600"/>
      <c r="C26" s="599"/>
      <c r="D26" s="599"/>
      <c r="E26" s="600">
        <v>-9.4740000000000002</v>
      </c>
      <c r="F26" s="599">
        <v>-4.9909999999999997</v>
      </c>
      <c r="G26" s="599">
        <f t="shared" si="16"/>
        <v>-47.3</v>
      </c>
      <c r="H26" s="600"/>
      <c r="I26" s="599"/>
      <c r="J26" s="599"/>
      <c r="K26" s="600">
        <v>0.26100000000000001</v>
      </c>
      <c r="L26" s="599">
        <v>1</v>
      </c>
      <c r="M26" s="599">
        <f t="shared" si="17"/>
        <v>283.10000000000002</v>
      </c>
      <c r="N26" s="600"/>
      <c r="O26" s="599"/>
      <c r="P26" s="599"/>
      <c r="Q26" s="600">
        <v>-83.316282999999999</v>
      </c>
      <c r="R26" s="599">
        <v>-75.489672999999996</v>
      </c>
      <c r="S26" s="599">
        <f t="shared" si="18"/>
        <v>-9.4</v>
      </c>
      <c r="T26" s="600">
        <v>-0.8</v>
      </c>
      <c r="U26" s="599">
        <v>-0.1</v>
      </c>
      <c r="V26" s="599">
        <f t="shared" si="5"/>
        <v>-87.5</v>
      </c>
      <c r="W26" s="600">
        <v>-1</v>
      </c>
      <c r="X26" s="599">
        <v>-0.6</v>
      </c>
      <c r="Y26" s="599">
        <f t="shared" si="19"/>
        <v>-40</v>
      </c>
      <c r="Z26" s="600">
        <v>-11</v>
      </c>
      <c r="AA26" s="599">
        <v>-13</v>
      </c>
      <c r="AB26" s="599">
        <f t="shared" si="20"/>
        <v>18.2</v>
      </c>
      <c r="AC26" s="600"/>
      <c r="AD26" s="599"/>
      <c r="AE26" s="599"/>
      <c r="AF26" s="600">
        <v>-1.0527759999999999</v>
      </c>
      <c r="AG26" s="599">
        <v>-0.95761700000000005</v>
      </c>
      <c r="AH26" s="599">
        <f t="shared" si="21"/>
        <v>-9</v>
      </c>
      <c r="AI26" s="600">
        <v>-18</v>
      </c>
      <c r="AJ26" s="599"/>
      <c r="AK26" s="599">
        <f t="shared" si="22"/>
        <v>-100</v>
      </c>
      <c r="AL26" s="599">
        <f t="shared" si="23"/>
        <v>-124.38205899999998</v>
      </c>
      <c r="AM26" s="599">
        <f t="shared" si="23"/>
        <v>-94.138289999999984</v>
      </c>
      <c r="AN26" s="599">
        <f t="shared" si="11"/>
        <v>-24.3</v>
      </c>
      <c r="AO26" s="599"/>
      <c r="AP26" s="599"/>
      <c r="AQ26" s="599"/>
    </row>
    <row r="27" spans="1:43" s="567" customFormat="1" ht="18.75" customHeight="1" x14ac:dyDescent="0.3">
      <c r="A27" s="596" t="s">
        <v>398</v>
      </c>
      <c r="B27" s="600">
        <v>-1.6240000000000001</v>
      </c>
      <c r="C27" s="599">
        <v>-0.73399999999999999</v>
      </c>
      <c r="D27" s="599">
        <f t="shared" si="15"/>
        <v>-54.8</v>
      </c>
      <c r="E27" s="600">
        <v>-209.08099999999999</v>
      </c>
      <c r="F27" s="599">
        <v>-206.49700000000001</v>
      </c>
      <c r="G27" s="599">
        <f t="shared" si="16"/>
        <v>-1.2</v>
      </c>
      <c r="H27" s="600">
        <v>-1.214</v>
      </c>
      <c r="I27" s="599">
        <v>-0.59299999999999997</v>
      </c>
      <c r="J27" s="599">
        <f>IF(H27=0, "    ---- ", IF(ABS(ROUND(100/H27*I27-100,1))&lt;999,ROUND(100/H27*I27-100,1),IF(ROUND(100/H27*I27-100,1)&gt;999,999,-999)))</f>
        <v>-51.2</v>
      </c>
      <c r="K27" s="600"/>
      <c r="L27" s="599"/>
      <c r="M27" s="599"/>
      <c r="N27" s="600"/>
      <c r="O27" s="599"/>
      <c r="P27" s="599"/>
      <c r="Q27" s="600"/>
      <c r="R27" s="599"/>
      <c r="S27" s="599"/>
      <c r="T27" s="600"/>
      <c r="U27" s="599"/>
      <c r="V27" s="599"/>
      <c r="W27" s="600"/>
      <c r="X27" s="599"/>
      <c r="Y27" s="599"/>
      <c r="Z27" s="600">
        <v>-3</v>
      </c>
      <c r="AA27" s="599">
        <v>-2</v>
      </c>
      <c r="AB27" s="599">
        <f t="shared" si="20"/>
        <v>-33.299999999999997</v>
      </c>
      <c r="AC27" s="600"/>
      <c r="AD27" s="599"/>
      <c r="AE27" s="599"/>
      <c r="AF27" s="600"/>
      <c r="AG27" s="599"/>
      <c r="AH27" s="599"/>
      <c r="AI27" s="600">
        <v>-23</v>
      </c>
      <c r="AJ27" s="599">
        <v>8</v>
      </c>
      <c r="AK27" s="599">
        <f t="shared" si="22"/>
        <v>-134.80000000000001</v>
      </c>
      <c r="AL27" s="599">
        <f t="shared" si="23"/>
        <v>-237.91899999999998</v>
      </c>
      <c r="AM27" s="599">
        <f t="shared" si="23"/>
        <v>-201.82400000000001</v>
      </c>
      <c r="AN27" s="599">
        <f t="shared" si="11"/>
        <v>-15.2</v>
      </c>
      <c r="AO27" s="599"/>
      <c r="AP27" s="599"/>
      <c r="AQ27" s="599"/>
    </row>
    <row r="28" spans="1:43" s="567" customFormat="1" ht="18.75" customHeight="1" x14ac:dyDescent="0.3">
      <c r="A28" s="596" t="s">
        <v>399</v>
      </c>
      <c r="B28" s="600"/>
      <c r="C28" s="599"/>
      <c r="D28" s="599"/>
      <c r="E28" s="600">
        <v>13.404</v>
      </c>
      <c r="F28" s="599">
        <v>12.930999999999999</v>
      </c>
      <c r="G28" s="599">
        <f t="shared" si="16"/>
        <v>-3.5</v>
      </c>
      <c r="H28" s="600"/>
      <c r="I28" s="599"/>
      <c r="J28" s="599"/>
      <c r="K28" s="600"/>
      <c r="L28" s="599"/>
      <c r="M28" s="599"/>
      <c r="N28" s="600"/>
      <c r="O28" s="599"/>
      <c r="P28" s="599"/>
      <c r="Q28" s="600"/>
      <c r="R28" s="599"/>
      <c r="S28" s="599"/>
      <c r="T28" s="600"/>
      <c r="U28" s="599"/>
      <c r="V28" s="599"/>
      <c r="W28" s="600"/>
      <c r="X28" s="599">
        <v>1</v>
      </c>
      <c r="Y28" s="599" t="str">
        <f t="shared" si="19"/>
        <v xml:space="preserve">    ---- </v>
      </c>
      <c r="Z28" s="600"/>
      <c r="AA28" s="599"/>
      <c r="AB28" s="599"/>
      <c r="AC28" s="600"/>
      <c r="AD28" s="599"/>
      <c r="AE28" s="599"/>
      <c r="AF28" s="600"/>
      <c r="AG28" s="599"/>
      <c r="AH28" s="599"/>
      <c r="AI28" s="600">
        <v>-3</v>
      </c>
      <c r="AJ28" s="599">
        <v>-4</v>
      </c>
      <c r="AK28" s="599">
        <f t="shared" si="22"/>
        <v>33.299999999999997</v>
      </c>
      <c r="AL28" s="599">
        <f t="shared" si="23"/>
        <v>10.404</v>
      </c>
      <c r="AM28" s="599">
        <f t="shared" si="23"/>
        <v>9.9309999999999992</v>
      </c>
      <c r="AN28" s="599">
        <f t="shared" si="11"/>
        <v>-4.5</v>
      </c>
      <c r="AO28" s="599"/>
      <c r="AP28" s="599"/>
      <c r="AQ28" s="599"/>
    </row>
    <row r="29" spans="1:43" s="567" customFormat="1" ht="18.75" customHeight="1" x14ac:dyDescent="0.3">
      <c r="A29" s="596" t="s">
        <v>400</v>
      </c>
      <c r="B29" s="600">
        <v>-40.396000000000008</v>
      </c>
      <c r="C29" s="599">
        <f>SUM(C23:C28)</f>
        <v>-26.204999999999998</v>
      </c>
      <c r="D29" s="599">
        <f t="shared" si="15"/>
        <v>-35.1</v>
      </c>
      <c r="E29" s="597">
        <v>-863.52400000000011</v>
      </c>
      <c r="F29" s="599">
        <f>SUM(F23:F28)</f>
        <v>1339.3050000000001</v>
      </c>
      <c r="G29" s="599">
        <f t="shared" si="16"/>
        <v>-255.1</v>
      </c>
      <c r="H29" s="600">
        <v>-417.30200000000002</v>
      </c>
      <c r="I29" s="599">
        <f>SUM(I23:I28)</f>
        <v>-432.13200000000001</v>
      </c>
      <c r="J29" s="599">
        <f>IF(H29=0, "    ---- ", IF(ABS(ROUND(100/H29*I29-100,1))&lt;999,ROUND(100/H29*I29-100,1),IF(ROUND(100/H29*I29-100,1)&gt;999,999,-999)))</f>
        <v>3.6</v>
      </c>
      <c r="K29" s="600">
        <v>-155.55099999999999</v>
      </c>
      <c r="L29" s="599">
        <f>SUM(L23:L28)</f>
        <v>-111.9</v>
      </c>
      <c r="M29" s="599">
        <f t="shared" si="17"/>
        <v>-28.1</v>
      </c>
      <c r="N29" s="600">
        <v>4</v>
      </c>
      <c r="O29" s="599">
        <f>SUM(O23:O28)</f>
        <v>7</v>
      </c>
      <c r="P29" s="599">
        <f>IF(N29=0, "    ---- ", IF(ABS(ROUND(100/N29*O29-100,1))&lt;999,ROUND(100/N29*O29-100,1),IF(ROUND(100/N29*O29-100,1)&gt;999,999,-999)))</f>
        <v>75</v>
      </c>
      <c r="Q29" s="600">
        <v>-9024.7927873099998</v>
      </c>
      <c r="R29" s="599">
        <f>SUM(R23:R28)</f>
        <v>4177.73856419</v>
      </c>
      <c r="S29" s="599">
        <f t="shared" si="18"/>
        <v>-146.30000000000001</v>
      </c>
      <c r="T29" s="600">
        <v>-14.9</v>
      </c>
      <c r="U29" s="599">
        <f>SUM(U23:U28)</f>
        <v>6.2999999999999989</v>
      </c>
      <c r="V29" s="599">
        <f t="shared" si="5"/>
        <v>-142.30000000000001</v>
      </c>
      <c r="W29" s="600">
        <v>-467.6</v>
      </c>
      <c r="X29" s="599">
        <v>-87.6</v>
      </c>
      <c r="Y29" s="599">
        <f t="shared" si="19"/>
        <v>-81.3</v>
      </c>
      <c r="Z29" s="600">
        <v>-975</v>
      </c>
      <c r="AA29" s="599">
        <f>SUM(AA23:AA28)</f>
        <v>-268</v>
      </c>
      <c r="AB29" s="599">
        <f t="shared" si="20"/>
        <v>-72.5</v>
      </c>
      <c r="AC29" s="600"/>
      <c r="AD29" s="599">
        <f>SUM(AD23:AD28)</f>
        <v>0</v>
      </c>
      <c r="AE29" s="599"/>
      <c r="AF29" s="600">
        <v>-425.41399246999998</v>
      </c>
      <c r="AG29" s="599">
        <f>SUM(AG23:AG28)</f>
        <v>-35.895161480000098</v>
      </c>
      <c r="AH29" s="599">
        <f t="shared" si="21"/>
        <v>-91.6</v>
      </c>
      <c r="AI29" s="600">
        <v>-266</v>
      </c>
      <c r="AJ29" s="599">
        <f>SUM(AJ23:AJ28)</f>
        <v>607</v>
      </c>
      <c r="AK29" s="599">
        <f t="shared" si="22"/>
        <v>-328.2</v>
      </c>
      <c r="AL29" s="599">
        <f t="shared" si="23"/>
        <v>-12650.479779779998</v>
      </c>
      <c r="AM29" s="599">
        <f t="shared" si="23"/>
        <v>5168.6114027100002</v>
      </c>
      <c r="AN29" s="599">
        <f t="shared" si="11"/>
        <v>-140.9</v>
      </c>
      <c r="AO29" s="599"/>
      <c r="AP29" s="599"/>
      <c r="AQ29" s="599"/>
    </row>
    <row r="30" spans="1:43" s="567" customFormat="1" ht="18.75" customHeight="1" x14ac:dyDescent="0.3">
      <c r="A30" s="596" t="s">
        <v>401</v>
      </c>
      <c r="B30" s="600">
        <v>-940.25900000000001</v>
      </c>
      <c r="C30" s="599">
        <v>238.35499999999999</v>
      </c>
      <c r="D30" s="599">
        <f>IF(B30=0, "    ---- ", IF(ABS(ROUND(100/B30*C30-100,1))&lt;999,ROUND(100/B30*C30-100,1),IF(ROUND(100/B30*C30-100,1)&gt;999,999,-999)))</f>
        <v>-125.3</v>
      </c>
      <c r="E30" s="600">
        <v>-4439.16</v>
      </c>
      <c r="F30" s="599">
        <v>615.5</v>
      </c>
      <c r="G30" s="599">
        <f>IF(E30=0, "    ---- ", IF(ABS(ROUND(100/E30*F30-100,1))&lt;999,ROUND(100/E30*F30-100,1),IF(ROUND(100/E30*F30-100,1)&gt;999,999,-999)))</f>
        <v>-113.9</v>
      </c>
      <c r="H30" s="600">
        <v>-144.54400000000001</v>
      </c>
      <c r="I30" s="599">
        <v>65.573999999999998</v>
      </c>
      <c r="J30" s="599">
        <f>IF(H30=0, "    ---- ", IF(ABS(ROUND(100/H30*I30-100,1))&lt;999,ROUND(100/H30*I30-100,1),IF(ROUND(100/H30*I30-100,1)&gt;999,999,-999)))</f>
        <v>-145.4</v>
      </c>
      <c r="K30" s="600">
        <v>-1587.1880000000001</v>
      </c>
      <c r="L30" s="599">
        <v>-102.6</v>
      </c>
      <c r="M30" s="599">
        <f t="shared" si="17"/>
        <v>-93.5</v>
      </c>
      <c r="N30" s="600"/>
      <c r="O30" s="599"/>
      <c r="P30" s="599"/>
      <c r="Q30" s="600">
        <v>-30.561627000000001</v>
      </c>
      <c r="R30" s="599">
        <v>-5.8303940000000001</v>
      </c>
      <c r="S30" s="599">
        <f t="shared" si="18"/>
        <v>-80.900000000000006</v>
      </c>
      <c r="T30" s="600">
        <v>-302</v>
      </c>
      <c r="U30" s="599">
        <v>-128.6</v>
      </c>
      <c r="V30" s="599">
        <f t="shared" si="5"/>
        <v>-57.4</v>
      </c>
      <c r="W30" s="600">
        <v>-2843.6</v>
      </c>
      <c r="X30" s="599">
        <v>200.4</v>
      </c>
      <c r="Y30" s="599">
        <f>IF(W30=0, "    ---- ", IF(ABS(ROUND(100/W30*X30-100,1))&lt;999,ROUND(100/W30*X30-100,1),IF(ROUND(100/W30*X30-100,1)&gt;999,999,-999)))</f>
        <v>-107</v>
      </c>
      <c r="Z30" s="600"/>
      <c r="AA30" s="599"/>
      <c r="AB30" s="599"/>
      <c r="AC30" s="600">
        <v>-73</v>
      </c>
      <c r="AD30" s="599">
        <v>26</v>
      </c>
      <c r="AE30" s="599">
        <f>IF(AC30=0, "    ---- ", IF(ABS(ROUND(100/AC30*AD30-100,1))&lt;999,ROUND(100/AC30*AD30-100,1),IF(ROUND(100/AC30*AD30-100,1)&gt;999,999,-999)))</f>
        <v>-135.6</v>
      </c>
      <c r="AF30" s="600">
        <v>-1491.6964381499999</v>
      </c>
      <c r="AG30" s="599">
        <v>-1202.4700605900002</v>
      </c>
      <c r="AH30" s="599">
        <f>IF(AF30=0, "    ---- ", IF(ABS(ROUND(100/AF30*AG30-100,1))&lt;999,ROUND(100/AF30*AG30-100,1),IF(ROUND(100/AF30*AG30-100,1)&gt;999,999,-999)))</f>
        <v>-19.399999999999999</v>
      </c>
      <c r="AI30" s="600">
        <v>-2708</v>
      </c>
      <c r="AJ30" s="599">
        <v>-407</v>
      </c>
      <c r="AK30" s="599">
        <f>IF(AI30=0, "    ---- ", IF(ABS(ROUND(100/AI30*AJ30-100,1))&lt;999,ROUND(100/AI30*AJ30-100,1),IF(ROUND(100/AI30*AJ30-100,1)&gt;999,999,-999)))</f>
        <v>-85</v>
      </c>
      <c r="AL30" s="599">
        <f t="shared" si="23"/>
        <v>-14487.00906515</v>
      </c>
      <c r="AM30" s="599">
        <f t="shared" si="23"/>
        <v>-726.67145459000028</v>
      </c>
      <c r="AN30" s="599">
        <f t="shared" si="11"/>
        <v>-95</v>
      </c>
      <c r="AO30" s="599"/>
      <c r="AP30" s="599"/>
      <c r="AQ30" s="599"/>
    </row>
    <row r="31" spans="1:43" s="567" customFormat="1" ht="18.75" customHeight="1" x14ac:dyDescent="0.3">
      <c r="A31" s="596" t="s">
        <v>402</v>
      </c>
      <c r="B31" s="600"/>
      <c r="C31" s="599">
        <v>-1.8560000000000001</v>
      </c>
      <c r="D31" s="599" t="str">
        <f>IF(B31=0, "    ---- ", IF(ABS(ROUND(100/B31*C31-100,1))&lt;999,ROUND(100/B31*C31-100,1),IF(ROUND(100/B31*C31-100,1)&gt;999,999,-999)))</f>
        <v xml:space="preserve">    ---- </v>
      </c>
      <c r="E31" s="600">
        <v>-597.19899999999996</v>
      </c>
      <c r="F31" s="599">
        <v>-719.36199999999997</v>
      </c>
      <c r="G31" s="599">
        <f>IF(E31=0, "    ---- ", IF(ABS(ROUND(100/E31*F31-100,1))&lt;999,ROUND(100/E31*F31-100,1),IF(ROUND(100/E31*F31-100,1)&gt;999,999,-999)))</f>
        <v>20.5</v>
      </c>
      <c r="H31" s="600"/>
      <c r="I31" s="599"/>
      <c r="J31" s="599"/>
      <c r="K31" s="600">
        <v>-3.8940000000000001</v>
      </c>
      <c r="L31" s="599">
        <v>-57</v>
      </c>
      <c r="M31" s="599">
        <f t="shared" si="17"/>
        <v>999</v>
      </c>
      <c r="N31" s="600"/>
      <c r="O31" s="599"/>
      <c r="P31" s="599"/>
      <c r="Q31" s="600">
        <v>-160.46785399999999</v>
      </c>
      <c r="R31" s="599">
        <v>-2975.8521009999999</v>
      </c>
      <c r="S31" s="599">
        <f>IF(Q31=0, "    ---- ", IF(ABS(ROUND(100/Q31*R31-100,1))&lt;999,ROUND(100/Q31*R31-100,1),IF(ROUND(100/Q31*R31-100,1)&gt;999,999,-999)))</f>
        <v>999</v>
      </c>
      <c r="T31" s="600">
        <v>0</v>
      </c>
      <c r="U31" s="599">
        <v>-10.9</v>
      </c>
      <c r="V31" s="599" t="str">
        <f t="shared" si="5"/>
        <v xml:space="preserve">    ---- </v>
      </c>
      <c r="W31" s="600">
        <v>-86</v>
      </c>
      <c r="X31" s="599">
        <v>-138</v>
      </c>
      <c r="Y31" s="599">
        <f>IF(W31=0, "    ---- ", IF(ABS(ROUND(100/W31*X31-100,1))&lt;999,ROUND(100/W31*X31-100,1),IF(ROUND(100/W31*X31-100,1)&gt;999,999,-999)))</f>
        <v>60.5</v>
      </c>
      <c r="Z31" s="600">
        <v>-1061</v>
      </c>
      <c r="AA31" s="599">
        <v>-482</v>
      </c>
      <c r="AB31" s="599">
        <f>IF(Z31=0, "    ---- ", IF(ABS(ROUND(100/Z31*AA31-100,1))&lt;999,ROUND(100/Z31*AA31-100,1),IF(ROUND(100/Z31*AA31-100,1)&gt;999,999,-999)))</f>
        <v>-54.6</v>
      </c>
      <c r="AC31" s="600"/>
      <c r="AD31" s="599"/>
      <c r="AE31" s="599"/>
      <c r="AF31" s="600">
        <v>-63.20715826</v>
      </c>
      <c r="AG31" s="599">
        <v>-129.67287098</v>
      </c>
      <c r="AH31" s="599">
        <f>IF(AF31=0, "    ---- ", IF(ABS(ROUND(100/AF31*AG31-100,1))&lt;999,ROUND(100/AF31*AG31-100,1),IF(ROUND(100/AF31*AG31-100,1)&gt;999,999,-999)))</f>
        <v>105.2</v>
      </c>
      <c r="AI31" s="600">
        <v>-1586</v>
      </c>
      <c r="AJ31" s="599">
        <v>-403</v>
      </c>
      <c r="AK31" s="599">
        <f>IF(AI31=0, "    ---- ", IF(ABS(ROUND(100/AI31*AJ31-100,1))&lt;999,ROUND(100/AI31*AJ31-100,1),IF(ROUND(100/AI31*AJ31-100,1)&gt;999,999,-999)))</f>
        <v>-74.599999999999994</v>
      </c>
      <c r="AL31" s="599">
        <f t="shared" si="23"/>
        <v>-3557.7680122599995</v>
      </c>
      <c r="AM31" s="599">
        <f t="shared" si="23"/>
        <v>-4917.6429719799999</v>
      </c>
      <c r="AN31" s="599">
        <f t="shared" si="11"/>
        <v>38.200000000000003</v>
      </c>
      <c r="AO31" s="599"/>
      <c r="AP31" s="599"/>
      <c r="AQ31" s="599"/>
    </row>
    <row r="32" spans="1:43" s="567" customFormat="1" ht="18.75" customHeight="1" x14ac:dyDescent="0.3">
      <c r="A32" s="596" t="s">
        <v>403</v>
      </c>
      <c r="B32" s="600">
        <v>-43.515000000000001</v>
      </c>
      <c r="C32" s="599">
        <v>-54.707999999999998</v>
      </c>
      <c r="D32" s="599">
        <f>IF(B32=0, "    ---- ", IF(ABS(ROUND(100/B32*C32-100,1))&lt;999,ROUND(100/B32*C32-100,1),IF(ROUND(100/B32*C32-100,1)&gt;999,999,-999)))</f>
        <v>25.7</v>
      </c>
      <c r="E32" s="600">
        <v>-322.99099999999999</v>
      </c>
      <c r="F32" s="599">
        <v>-313.029</v>
      </c>
      <c r="G32" s="599">
        <f>IF(E32=0, "    ---- ", IF(ABS(ROUND(100/E32*F32-100,1))&lt;999,ROUND(100/E32*F32-100,1),IF(ROUND(100/E32*F32-100,1)&gt;999,999,-999)))</f>
        <v>-3.1</v>
      </c>
      <c r="H32" s="600">
        <v>-56.802</v>
      </c>
      <c r="I32" s="599">
        <v>-64.822000000000003</v>
      </c>
      <c r="J32" s="599">
        <f>IF(H32=0, "    ---- ", IF(ABS(ROUND(100/H32*I32-100,1))&lt;999,ROUND(100/H32*I32-100,1),IF(ROUND(100/H32*I32-100,1)&gt;999,999,-999)))</f>
        <v>14.1</v>
      </c>
      <c r="K32" s="600">
        <v>-56.371000000000002</v>
      </c>
      <c r="L32" s="599">
        <v>-59.8</v>
      </c>
      <c r="M32" s="599">
        <f>IF(K32=0, "    ---- ", IF(ABS(ROUND(100/K32*L32-100,1))&lt;999,ROUND(100/K32*L32-100,1),IF(ROUND(100/K32*L32-100,1)&gt;999,999,-999)))</f>
        <v>6.1</v>
      </c>
      <c r="N32" s="600"/>
      <c r="O32" s="599">
        <v>-4</v>
      </c>
      <c r="P32" s="599" t="str">
        <f>IF(N32=0, "    ---- ", IF(ABS(ROUND(100/N32*O32-100,1))&lt;999,ROUND(100/N32*O32-100,1),IF(ROUND(100/N32*O32-100,1)&gt;999,999,-999)))</f>
        <v xml:space="preserve">    ---- </v>
      </c>
      <c r="Q32" s="600">
        <v>-249.20200199999999</v>
      </c>
      <c r="R32" s="599">
        <v>-256.00247483999999</v>
      </c>
      <c r="S32" s="599">
        <f>IF(Q32=0, "    ---- ", IF(ABS(ROUND(100/Q32*R32-100,1))&lt;999,ROUND(100/Q32*R32-100,1),IF(ROUND(100/Q32*R32-100,1)&gt;999,999,-999)))</f>
        <v>2.7</v>
      </c>
      <c r="T32" s="600">
        <v>-14.7</v>
      </c>
      <c r="U32" s="599">
        <v>-17.7</v>
      </c>
      <c r="V32" s="599">
        <f>IF(T32=0, "    ---- ", IF(ABS(ROUND(100/T32*U32-100,1))&lt;999,ROUND(100/T32*U32-100,1),IF(ROUND(100/T32*U32-100,1)&gt;999,999,-999)))</f>
        <v>20.399999999999999</v>
      </c>
      <c r="W32" s="600">
        <v>-149</v>
      </c>
      <c r="X32" s="599">
        <v>-166</v>
      </c>
      <c r="Y32" s="599">
        <f>IF(W32=0, "    ---- ", IF(ABS(ROUND(100/W32*X32-100,1))&lt;999,ROUND(100/W32*X32-100,1),IF(ROUND(100/W32*X32-100,1)&gt;999,999,-999)))</f>
        <v>11.4</v>
      </c>
      <c r="Z32" s="600"/>
      <c r="AA32" s="599"/>
      <c r="AB32" s="599"/>
      <c r="AC32" s="600"/>
      <c r="AD32" s="599"/>
      <c r="AE32" s="599"/>
      <c r="AF32" s="600">
        <v>-246.00941574930005</v>
      </c>
      <c r="AG32" s="599">
        <v>-261.02587715200008</v>
      </c>
      <c r="AH32" s="599">
        <f>IF(AF32=0, "    ---- ", IF(ABS(ROUND(100/AF32*AG32-100,1))&lt;999,ROUND(100/AF32*AG32-100,1),IF(ROUND(100/AF32*AG32-100,1)&gt;999,999,-999)))</f>
        <v>6.1</v>
      </c>
      <c r="AI32" s="600">
        <v>-347</v>
      </c>
      <c r="AJ32" s="599">
        <v>-349</v>
      </c>
      <c r="AK32" s="599">
        <f>IF(AI32=0, "    ---- ", IF(ABS(ROUND(100/AI32*AJ32-100,1))&lt;999,ROUND(100/AI32*AJ32-100,1),IF(ROUND(100/AI32*AJ32-100,1)&gt;999,999,-999)))</f>
        <v>0.6</v>
      </c>
      <c r="AL32" s="599">
        <f t="shared" si="23"/>
        <v>-1485.5904177493001</v>
      </c>
      <c r="AM32" s="599">
        <f t="shared" si="23"/>
        <v>-1542.0873519920001</v>
      </c>
      <c r="AN32" s="599">
        <f t="shared" si="11"/>
        <v>3.8</v>
      </c>
      <c r="AO32" s="599"/>
      <c r="AP32" s="599"/>
      <c r="AQ32" s="599"/>
    </row>
    <row r="33" spans="1:56" s="622" customFormat="1" ht="18.75" customHeight="1" x14ac:dyDescent="0.3">
      <c r="A33" s="596" t="s">
        <v>404</v>
      </c>
      <c r="B33" s="621"/>
      <c r="C33" s="602"/>
      <c r="D33" s="602"/>
      <c r="E33" s="621">
        <v>-6.5679999999999996</v>
      </c>
      <c r="F33" s="602">
        <v>-0.60699999999999998</v>
      </c>
      <c r="G33" s="602">
        <f>IF(E33=0, "    ---- ", IF(ABS(ROUND(100/E33*F33-100,1))&lt;999,ROUND(100/E33*F33-100,1),IF(ROUND(100/E33*F33-100,1)&gt;999,999,-999)))</f>
        <v>-90.8</v>
      </c>
      <c r="H33" s="621"/>
      <c r="I33" s="602"/>
      <c r="J33" s="602"/>
      <c r="K33" s="621"/>
      <c r="L33" s="602"/>
      <c r="M33" s="602"/>
      <c r="N33" s="621"/>
      <c r="O33" s="602"/>
      <c r="P33" s="602"/>
      <c r="Q33" s="621">
        <v>-245.45351099999999</v>
      </c>
      <c r="R33" s="602">
        <v>-255.71471700000001</v>
      </c>
      <c r="S33" s="602">
        <f>IF(Q33=0, "    ---- ", IF(ABS(ROUND(100/Q33*R33-100,1))&lt;999,ROUND(100/Q33*R33-100,1),IF(ROUND(100/Q33*R33-100,1)&gt;999,999,-999)))</f>
        <v>4.2</v>
      </c>
      <c r="T33" s="621">
        <v>-0.1</v>
      </c>
      <c r="U33" s="602">
        <v>-0.7</v>
      </c>
      <c r="V33" s="602">
        <f>IF(T33=0, "    ---- ", IF(ABS(ROUND(100/T33*U33-100,1))&lt;999,ROUND(100/T33*U33-100,1),IF(ROUND(100/T33*U33-100,1)&gt;999,999,-999)))</f>
        <v>600</v>
      </c>
      <c r="W33" s="621">
        <v>-2.3724081899999998</v>
      </c>
      <c r="X33" s="602">
        <v>-2.6680023400000001</v>
      </c>
      <c r="Y33" s="602">
        <f>IF(W33=0, "    ---- ", IF(ABS(ROUND(100/W33*X33-100,1))&lt;999,ROUND(100/W33*X33-100,1),IF(ROUND(100/W33*X33-100,1)&gt;999,999,-999)))</f>
        <v>12.5</v>
      </c>
      <c r="Z33" s="621">
        <v>-42</v>
      </c>
      <c r="AA33" s="602">
        <v>-43</v>
      </c>
      <c r="AB33" s="599">
        <f>IF(Z33=0, "    ---- ", IF(ABS(ROUND(100/Z33*AA33-100,1))&lt;999,ROUND(100/Z33*AA33-100,1),IF(ROUND(100/Z33*AA33-100,1)&gt;999,999,-999)))</f>
        <v>2.4</v>
      </c>
      <c r="AC33" s="621"/>
      <c r="AD33" s="602"/>
      <c r="AE33" s="602"/>
      <c r="AF33" s="621">
        <v>-2.9044823700000002</v>
      </c>
      <c r="AG33" s="602">
        <v>-1.8225845900000002</v>
      </c>
      <c r="AH33" s="602">
        <f>IF(AF33=0, "    ---- ", IF(ABS(ROUND(100/AF33*AG33-100,1))&lt;999,ROUND(100/AF33*AG33-100,1),IF(ROUND(100/AF33*AG33-100,1)&gt;999,999,-999)))</f>
        <v>-37.200000000000003</v>
      </c>
      <c r="AI33" s="621">
        <v>-214</v>
      </c>
      <c r="AJ33" s="602">
        <v>-47</v>
      </c>
      <c r="AK33" s="602">
        <f>IF(AI33=0, "    ---- ", IF(ABS(ROUND(100/AI33*AJ33-100,1))&lt;999,ROUND(100/AI33*AJ33-100,1),IF(ROUND(100/AI33*AJ33-100,1)&gt;999,999,-999)))</f>
        <v>-78</v>
      </c>
      <c r="AL33" s="599">
        <f t="shared" si="23"/>
        <v>-513.39840155999991</v>
      </c>
      <c r="AM33" s="599">
        <f t="shared" si="23"/>
        <v>-351.51230393000003</v>
      </c>
      <c r="AN33" s="602">
        <f t="shared" si="11"/>
        <v>-31.5</v>
      </c>
      <c r="AO33" s="602"/>
      <c r="AP33" s="602"/>
      <c r="AQ33" s="602"/>
    </row>
    <row r="34" spans="1:56" s="629" customFormat="1" ht="18.75" customHeight="1" x14ac:dyDescent="0.3">
      <c r="A34" s="623" t="s">
        <v>405</v>
      </c>
      <c r="B34" s="624">
        <v>24.392000000000152</v>
      </c>
      <c r="C34" s="625">
        <f>SUM(C14+C15+C16+C17+C21+C29+C30+C31+C32+C33)</f>
        <v>15.470000000000141</v>
      </c>
      <c r="D34" s="626">
        <f>IF(B34=0, "    ---- ", IF(ABS(ROUND(100/B34*C34-100,1))&lt;999,ROUND(100/B34*C34-100,1),IF(ROUND(100/B34*C34-100,1)&gt;999,999,-999)))</f>
        <v>-36.6</v>
      </c>
      <c r="E34" s="627">
        <v>224.52299999999909</v>
      </c>
      <c r="F34" s="625">
        <f>SUM(F14+F15+F16+F17+F21+F29+F30+F31+F32+F33)</f>
        <v>270.98499999999996</v>
      </c>
      <c r="G34" s="626">
        <f>IF(E34=0, "    ---- ", IF(ABS(ROUND(100/E34*F34-100,1))&lt;999,ROUND(100/E34*F34-100,1),IF(ROUND(100/E34*F34-100,1)&gt;999,999,-999)))</f>
        <v>20.7</v>
      </c>
      <c r="H34" s="624">
        <v>24.800000000000061</v>
      </c>
      <c r="I34" s="625">
        <f>SUM(I14+I15+I16+I17+I21+I29+I30+I31+I32+I33)</f>
        <v>17.887000000000043</v>
      </c>
      <c r="J34" s="626">
        <f>IF(H34=0, "    ---- ", IF(ABS(ROUND(100/H34*I34-100,1))&lt;999,ROUND(100/H34*I34-100,1),IF(ROUND(100/H34*I34-100,1)&gt;999,999,-999)))</f>
        <v>-27.9</v>
      </c>
      <c r="K34" s="624">
        <v>30.938999999999716</v>
      </c>
      <c r="L34" s="625">
        <f>SUM(L14+L15+L16+L17+L21+L29+L30+L31+L32+L33)</f>
        <v>32.000000000000071</v>
      </c>
      <c r="M34" s="626">
        <f>IF(K34=0, "    ---- ", IF(ABS(ROUND(100/K34*L34-100,1))&lt;999,ROUND(100/K34*L34-100,1),IF(ROUND(100/K34*L34-100,1)&gt;999,999,-999)))</f>
        <v>3.4</v>
      </c>
      <c r="N34" s="624">
        <v>10</v>
      </c>
      <c r="O34" s="625">
        <f>SUM(O14+O15+O16+O17+O21+O29+O30+O31+O32+O33)</f>
        <v>10</v>
      </c>
      <c r="P34" s="626">
        <f>IF(N34=0, "    ---- ", IF(ABS(ROUND(100/N34*O34-100,1))&lt;999,ROUND(100/N34*O34-100,1),IF(ROUND(100/N34*O34-100,1)&gt;999,999,-999)))</f>
        <v>0</v>
      </c>
      <c r="Q34" s="624">
        <v>287.05553877000165</v>
      </c>
      <c r="R34" s="625">
        <f>SUM(R14+R15+R16+R17+R21+R29+R30+R31+R32+R33)</f>
        <v>363.96473194000004</v>
      </c>
      <c r="S34" s="626">
        <f>IF(Q34=0, "    ---- ", IF(ABS(ROUND(100/Q34*R34-100,1))&lt;999,ROUND(100/Q34*R34-100,1),IF(ROUND(100/Q34*R34-100,1)&gt;999,999,-999)))</f>
        <v>26.8</v>
      </c>
      <c r="T34" s="624">
        <v>-14.199999999999976</v>
      </c>
      <c r="U34" s="625">
        <f>SUM(U14+U15+U16+U17+U21+U29+U30+U31+U32+U33)</f>
        <v>-8.8999999999999932</v>
      </c>
      <c r="V34" s="626">
        <f>IF(T34=0, "    ---- ", IF(ABS(ROUND(100/T34*U34-100,1))&lt;999,ROUND(100/T34*U34-100,1),IF(ROUND(100/T34*U34-100,1)&gt;999,999,-999)))</f>
        <v>-37.299999999999997</v>
      </c>
      <c r="W34" s="624">
        <v>138.72759180999947</v>
      </c>
      <c r="X34" s="625">
        <v>136.53199766000034</v>
      </c>
      <c r="Y34" s="626">
        <f>IF(W34=0, "    ---- ", IF(ABS(ROUND(100/W34*X34-100,1))&lt;999,ROUND(100/W34*X34-100,1),IF(ROUND(100/W34*X34-100,1)&gt;999,999,-999)))</f>
        <v>-1.6</v>
      </c>
      <c r="Z34" s="624">
        <v>161</v>
      </c>
      <c r="AA34" s="625">
        <f>SUM(AA14+AA15+AA16+AA17+AA21+AA29+AA30+AA31+AA32+AA33)</f>
        <v>123.59999999999991</v>
      </c>
      <c r="AB34" s="626">
        <f>IF(Z34=0, "    ---- ", IF(ABS(ROUND(100/Z34*AA34-100,1))&lt;999,ROUND(100/Z34*AA34-100,1),IF(ROUND(100/Z34*AA34-100,1)&gt;999,999,-999)))</f>
        <v>-23.2</v>
      </c>
      <c r="AC34" s="624">
        <v>2</v>
      </c>
      <c r="AD34" s="625">
        <f>SUM(AD14+AD15+AD16+AD17+AD21+AD29+AD30+AD31+AD32+AD33)</f>
        <v>2</v>
      </c>
      <c r="AE34" s="626">
        <f>IF(AC34=0, "    ---- ", IF(ABS(ROUND(100/AC34*AD34-100,1))&lt;999,ROUND(100/AC34*AD34-100,1),IF(ROUND(100/AC34*AD34-100,1)&gt;999,999,-999)))</f>
        <v>0</v>
      </c>
      <c r="AF34" s="624">
        <v>100.36428725069946</v>
      </c>
      <c r="AG34" s="625">
        <f>SUM(AG14+AG15+AG16+AG17+AG21+AG29+AG30+AG31+AG32+AG33)</f>
        <v>133.74307053799893</v>
      </c>
      <c r="AH34" s="626">
        <f>IF(AF34=0, "    ---- ", IF(ABS(ROUND(100/AF34*AG34-100,1))&lt;999,ROUND(100/AF34*AG34-100,1),IF(ROUND(100/AF34*AG34-100,1)&gt;999,999,-999)))</f>
        <v>33.299999999999997</v>
      </c>
      <c r="AI34" s="624">
        <v>271</v>
      </c>
      <c r="AJ34" s="625">
        <f>SUM(AJ14+AJ15+AJ16+AJ17+AJ21+AJ29+AJ30+AJ31+AJ32+AJ33)</f>
        <v>384</v>
      </c>
      <c r="AK34" s="626">
        <f>IF(AI34=0, "    ---- ", IF(ABS(ROUND(100/AI34*AJ34-100,1))&lt;999,ROUND(100/AI34*AJ34-100,1),IF(ROUND(100/AI34*AJ34-100,1)&gt;999,999,-999)))</f>
        <v>41.7</v>
      </c>
      <c r="AL34" s="626">
        <f>B34+E34+H34+K34+Q34+T34+W34+Z34+AF34+AI34</f>
        <v>1248.6014178306996</v>
      </c>
      <c r="AM34" s="628">
        <f>C34+F34+I34+L34+R34+U34+X34+AA34+AG34+AJ34</f>
        <v>1469.2818001379994</v>
      </c>
      <c r="AN34" s="626">
        <f t="shared" si="11"/>
        <v>17.7</v>
      </c>
      <c r="AO34" s="626"/>
      <c r="AP34" s="626"/>
      <c r="AQ34" s="626"/>
      <c r="AR34" s="726"/>
      <c r="AS34" s="662"/>
      <c r="AT34" s="662"/>
      <c r="AU34" s="662"/>
      <c r="AV34" s="662"/>
      <c r="AW34" s="662"/>
      <c r="AX34" s="662"/>
      <c r="AY34" s="662"/>
      <c r="AZ34" s="662"/>
      <c r="BA34" s="662"/>
      <c r="BB34" s="662"/>
      <c r="BC34" s="662"/>
      <c r="BD34" s="662"/>
    </row>
    <row r="35" spans="1:56" s="629" customFormat="1" ht="18.75" customHeight="1" x14ac:dyDescent="0.3">
      <c r="A35" s="630"/>
      <c r="B35" s="494"/>
      <c r="C35" s="495"/>
      <c r="D35" s="631"/>
      <c r="E35" s="494"/>
      <c r="F35" s="495"/>
      <c r="G35" s="631"/>
      <c r="H35" s="494"/>
      <c r="I35" s="495"/>
      <c r="J35" s="631"/>
      <c r="K35" s="494"/>
      <c r="L35" s="495"/>
      <c r="M35" s="631"/>
      <c r="N35" s="494"/>
      <c r="O35" s="495"/>
      <c r="P35" s="631"/>
      <c r="Q35" s="494"/>
      <c r="R35" s="495"/>
      <c r="S35" s="631"/>
      <c r="T35" s="494"/>
      <c r="U35" s="495"/>
      <c r="V35" s="631"/>
      <c r="W35" s="494"/>
      <c r="X35" s="495"/>
      <c r="Y35" s="631"/>
      <c r="Z35" s="494"/>
      <c r="AA35" s="495"/>
      <c r="AB35" s="631"/>
      <c r="AC35" s="494"/>
      <c r="AD35" s="495"/>
      <c r="AE35" s="631"/>
      <c r="AF35" s="494"/>
      <c r="AG35" s="495"/>
      <c r="AH35" s="632"/>
      <c r="AI35" s="494"/>
      <c r="AJ35" s="495"/>
      <c r="AK35" s="632"/>
      <c r="AL35" s="632"/>
      <c r="AM35" s="632"/>
      <c r="AN35" s="632"/>
      <c r="AO35" s="633"/>
      <c r="AP35" s="634"/>
      <c r="AQ35" s="635"/>
      <c r="AS35" s="662"/>
      <c r="AT35" s="662"/>
      <c r="AU35" s="662"/>
      <c r="AV35" s="662"/>
      <c r="AW35" s="662"/>
      <c r="AX35" s="662"/>
      <c r="AY35" s="662"/>
      <c r="AZ35" s="662"/>
      <c r="BA35" s="662"/>
      <c r="BB35" s="662"/>
      <c r="BC35" s="662"/>
      <c r="BD35" s="662"/>
    </row>
    <row r="36" spans="1:56" s="629" customFormat="1" ht="18.75" customHeight="1" x14ac:dyDescent="0.3">
      <c r="A36" s="585" t="s">
        <v>406</v>
      </c>
      <c r="B36" s="494"/>
      <c r="C36" s="495"/>
      <c r="D36" s="631"/>
      <c r="E36" s="494"/>
      <c r="F36" s="495"/>
      <c r="G36" s="631"/>
      <c r="H36" s="494"/>
      <c r="I36" s="495"/>
      <c r="J36" s="631"/>
      <c r="K36" s="494"/>
      <c r="L36" s="495"/>
      <c r="M36" s="631"/>
      <c r="N36" s="494"/>
      <c r="O36" s="495"/>
      <c r="P36" s="631"/>
      <c r="Q36" s="494"/>
      <c r="R36" s="495"/>
      <c r="S36" s="631"/>
      <c r="T36" s="494"/>
      <c r="U36" s="495"/>
      <c r="V36" s="631"/>
      <c r="W36" s="494"/>
      <c r="X36" s="495"/>
      <c r="Y36" s="631"/>
      <c r="Z36" s="494"/>
      <c r="AA36" s="495"/>
      <c r="AB36" s="631"/>
      <c r="AC36" s="494"/>
      <c r="AD36" s="495"/>
      <c r="AE36" s="631"/>
      <c r="AF36" s="494"/>
      <c r="AG36" s="495"/>
      <c r="AH36" s="631"/>
      <c r="AI36" s="494"/>
      <c r="AJ36" s="495"/>
      <c r="AK36" s="631"/>
      <c r="AL36" s="631"/>
      <c r="AM36" s="631"/>
      <c r="AN36" s="631"/>
      <c r="AO36" s="636"/>
      <c r="AP36" s="637"/>
      <c r="AQ36" s="638"/>
      <c r="AS36" s="662"/>
      <c r="AT36" s="662"/>
      <c r="AU36" s="662"/>
      <c r="AV36" s="662"/>
      <c r="AW36" s="662"/>
      <c r="AX36" s="662"/>
      <c r="AY36" s="662"/>
      <c r="AZ36" s="662"/>
      <c r="BA36" s="662"/>
      <c r="BB36" s="662"/>
      <c r="BC36" s="662"/>
      <c r="BD36" s="662"/>
    </row>
    <row r="37" spans="1:56" s="640" customFormat="1" ht="18.75" customHeight="1" x14ac:dyDescent="0.3">
      <c r="A37" s="596" t="s">
        <v>407</v>
      </c>
      <c r="B37" s="497">
        <v>0</v>
      </c>
      <c r="C37" s="484">
        <v>0.47399999999999998</v>
      </c>
      <c r="D37" s="599" t="str">
        <f t="shared" ref="D37:D43" si="24">IF(B37=0, "    ---- ", IF(ABS(ROUND(100/B37*C37-100,1))&lt;999,ROUND(100/B37*C37-100,1),IF(ROUND(100/B37*C37-100,1)&gt;999,999,-999)))</f>
        <v xml:space="preserve">    ---- </v>
      </c>
      <c r="E37" s="497">
        <v>186.435</v>
      </c>
      <c r="F37" s="484">
        <v>144.97300000000001</v>
      </c>
      <c r="G37" s="599">
        <f t="shared" ref="G37:G44" si="25">IF(E37=0, "    ---- ", IF(ABS(ROUND(100/E37*F37-100,1))&lt;999,ROUND(100/E37*F37-100,1),IF(ROUND(100/E37*F37-100,1)&gt;999,999,-999)))</f>
        <v>-22.2</v>
      </c>
      <c r="H37" s="497">
        <v>3.7410000000000001</v>
      </c>
      <c r="I37" s="484">
        <v>0.85699999999999998</v>
      </c>
      <c r="J37" s="599">
        <f t="shared" ref="J37:J43" si="26">IF(H37=0, "    ---- ", IF(ABS(ROUND(100/H37*I37-100,1))&lt;999,ROUND(100/H37*I37-100,1),IF(ROUND(100/H37*I37-100,1)&gt;999,999,-999)))</f>
        <v>-77.099999999999994</v>
      </c>
      <c r="K37" s="497"/>
      <c r="L37" s="484">
        <v>2.6</v>
      </c>
      <c r="M37" s="599" t="str">
        <f t="shared" ref="M37:M43" si="27">IF(K37=0, "    ---- ", IF(ABS(ROUND(100/K37*L37-100,1))&lt;999,ROUND(100/K37*L37-100,1),IF(ROUND(100/K37*L37-100,1)&gt;999,999,-999)))</f>
        <v xml:space="preserve">    ---- </v>
      </c>
      <c r="N37" s="497">
        <v>1</v>
      </c>
      <c r="O37" s="484">
        <v>1</v>
      </c>
      <c r="P37" s="599">
        <f t="shared" ref="P37:P44" si="28">IF(N37=0, "    ---- ", IF(ABS(ROUND(100/N37*O37-100,1))&lt;999,ROUND(100/N37*O37-100,1),IF(ROUND(100/N37*O37-100,1)&gt;999,999,-999)))</f>
        <v>0</v>
      </c>
      <c r="Q37" s="497">
        <v>277.98232251000002</v>
      </c>
      <c r="R37" s="484">
        <v>525.57141158000002</v>
      </c>
      <c r="S37" s="599">
        <f t="shared" ref="S37:S43" si="29">IF(Q37=0, "    ---- ", IF(ABS(ROUND(100/Q37*R37-100,1))&lt;999,ROUND(100/Q37*R37-100,1),IF(ROUND(100/Q37*R37-100,1)&gt;999,999,-999)))</f>
        <v>89.1</v>
      </c>
      <c r="T37" s="497">
        <v>2.1</v>
      </c>
      <c r="U37" s="484">
        <v>0.1</v>
      </c>
      <c r="V37" s="599">
        <f t="shared" ref="V37:V43" si="30">IF(T37=0, "    ---- ", IF(ABS(ROUND(100/T37*U37-100,1))&lt;999,ROUND(100/T37*U37-100,1),IF(ROUND(100/T37*U37-100,1)&gt;999,999,-999)))</f>
        <v>-95.2</v>
      </c>
      <c r="W37" s="497">
        <v>32</v>
      </c>
      <c r="X37" s="484">
        <v>-2.2000000000000002</v>
      </c>
      <c r="Y37" s="599">
        <f t="shared" ref="Y37:Y43" si="31">IF(W37=0, "    ---- ", IF(ABS(ROUND(100/W37*X37-100,1))&lt;999,ROUND(100/W37*X37-100,1),IF(ROUND(100/W37*X37-100,1)&gt;999,999,-999)))</f>
        <v>-106.9</v>
      </c>
      <c r="Z37" s="497">
        <v>151</v>
      </c>
      <c r="AA37" s="484">
        <v>37</v>
      </c>
      <c r="AB37" s="599">
        <f t="shared" ref="AB37:AB43" si="32">IF(Z37=0, "    ---- ", IF(ABS(ROUND(100/Z37*AA37-100,1))&lt;999,ROUND(100/Z37*AA37-100,1),IF(ROUND(100/Z37*AA37-100,1)&gt;999,999,-999)))</f>
        <v>-75.5</v>
      </c>
      <c r="AC37" s="497"/>
      <c r="AD37" s="484"/>
      <c r="AE37" s="599"/>
      <c r="AF37" s="497">
        <v>59.879388669999976</v>
      </c>
      <c r="AG37" s="484">
        <v>9.5184683700000008</v>
      </c>
      <c r="AH37" s="599">
        <f t="shared" ref="AH37:AH43" si="33">IF(AF37=0, "    ---- ", IF(ABS(ROUND(100/AF37*AG37-100,1))&lt;999,ROUND(100/AF37*AG37-100,1),IF(ROUND(100/AF37*AG37-100,1)&gt;999,999,-999)))</f>
        <v>-84.1</v>
      </c>
      <c r="AI37" s="497">
        <v>209</v>
      </c>
      <c r="AJ37" s="484">
        <v>24</v>
      </c>
      <c r="AK37" s="599">
        <f t="shared" ref="AK37:AK44" si="34">IF(AI37=0, "    ---- ", IF(ABS(ROUND(100/AI37*AJ37-100,1))&lt;999,ROUND(100/AI37*AJ37-100,1),IF(ROUND(100/AI37*AJ37-100,1)&gt;999,999,-999)))</f>
        <v>-88.5</v>
      </c>
      <c r="AL37" s="599">
        <f t="shared" ref="AL37:AM39" si="35">B37+E37+H37+K37+Q37+T37+W37+Z37+AF37+AI37</f>
        <v>922.13771118000011</v>
      </c>
      <c r="AM37" s="599">
        <f t="shared" si="35"/>
        <v>742.89387995000004</v>
      </c>
      <c r="AN37" s="599">
        <f t="shared" si="11"/>
        <v>-19.399999999999999</v>
      </c>
      <c r="AO37" s="601"/>
      <c r="AP37" s="639"/>
      <c r="AQ37" s="610"/>
    </row>
    <row r="38" spans="1:56" s="640" customFormat="1" ht="18.75" customHeight="1" x14ac:dyDescent="0.3">
      <c r="A38" s="596" t="s">
        <v>408</v>
      </c>
      <c r="B38" s="497"/>
      <c r="C38" s="484"/>
      <c r="D38" s="599"/>
      <c r="E38" s="497">
        <v>19.324999999999999</v>
      </c>
      <c r="F38" s="484">
        <v>3.74</v>
      </c>
      <c r="G38" s="599">
        <f t="shared" si="25"/>
        <v>-80.599999999999994</v>
      </c>
      <c r="H38" s="497"/>
      <c r="I38" s="484">
        <v>1.0999999999999999E-2</v>
      </c>
      <c r="J38" s="599" t="str">
        <f t="shared" si="26"/>
        <v xml:space="preserve">    ---- </v>
      </c>
      <c r="K38" s="497"/>
      <c r="L38" s="484"/>
      <c r="M38" s="599"/>
      <c r="N38" s="497"/>
      <c r="O38" s="484"/>
      <c r="P38" s="599"/>
      <c r="Q38" s="497">
        <v>3.4995941500000001</v>
      </c>
      <c r="R38" s="484">
        <v>1.39101151</v>
      </c>
      <c r="S38" s="599">
        <f t="shared" si="29"/>
        <v>-60.3</v>
      </c>
      <c r="T38" s="497"/>
      <c r="U38" s="484">
        <v>0.4</v>
      </c>
      <c r="V38" s="599" t="str">
        <f t="shared" si="30"/>
        <v xml:space="preserve">    ---- </v>
      </c>
      <c r="W38" s="497"/>
      <c r="X38" s="484">
        <v>6</v>
      </c>
      <c r="Y38" s="599" t="str">
        <f t="shared" si="31"/>
        <v xml:space="preserve">    ---- </v>
      </c>
      <c r="Z38" s="497">
        <v>1</v>
      </c>
      <c r="AA38" s="484">
        <v>2</v>
      </c>
      <c r="AB38" s="599">
        <f t="shared" si="32"/>
        <v>100</v>
      </c>
      <c r="AC38" s="497"/>
      <c r="AD38" s="484"/>
      <c r="AE38" s="599"/>
      <c r="AF38" s="497">
        <v>0.48988915999999999</v>
      </c>
      <c r="AG38" s="484">
        <v>0.57530197999999999</v>
      </c>
      <c r="AH38" s="599">
        <f t="shared" si="33"/>
        <v>17.399999999999999</v>
      </c>
      <c r="AI38" s="497">
        <v>6</v>
      </c>
      <c r="AJ38" s="484">
        <v>145</v>
      </c>
      <c r="AK38" s="599">
        <f t="shared" si="34"/>
        <v>999</v>
      </c>
      <c r="AL38" s="599">
        <f t="shared" si="35"/>
        <v>30.31448331</v>
      </c>
      <c r="AM38" s="599">
        <f t="shared" si="35"/>
        <v>159.11731349000002</v>
      </c>
      <c r="AN38" s="599">
        <f t="shared" si="11"/>
        <v>424.9</v>
      </c>
      <c r="AO38" s="599"/>
      <c r="AP38" s="641"/>
      <c r="AQ38" s="599"/>
    </row>
    <row r="39" spans="1:56" s="640" customFormat="1" ht="18.75" customHeight="1" x14ac:dyDescent="0.3">
      <c r="A39" s="596" t="s">
        <v>409</v>
      </c>
      <c r="B39" s="497"/>
      <c r="C39" s="484"/>
      <c r="D39" s="599"/>
      <c r="E39" s="497">
        <v>-58.302</v>
      </c>
      <c r="F39" s="484">
        <v>-48.399000000000001</v>
      </c>
      <c r="G39" s="599">
        <f t="shared" si="25"/>
        <v>-17</v>
      </c>
      <c r="H39" s="497"/>
      <c r="I39" s="484"/>
      <c r="J39" s="599"/>
      <c r="K39" s="497"/>
      <c r="L39" s="484">
        <v>-2.8</v>
      </c>
      <c r="M39" s="599" t="str">
        <f t="shared" si="27"/>
        <v xml:space="preserve">    ---- </v>
      </c>
      <c r="N39" s="497"/>
      <c r="O39" s="484"/>
      <c r="P39" s="599"/>
      <c r="Q39" s="497">
        <v>-93.374824459999999</v>
      </c>
      <c r="R39" s="484">
        <v>-79.413520810000009</v>
      </c>
      <c r="S39" s="599">
        <f t="shared" si="29"/>
        <v>-15</v>
      </c>
      <c r="T39" s="497"/>
      <c r="U39" s="484">
        <v>-0.1</v>
      </c>
      <c r="V39" s="599" t="str">
        <f t="shared" si="30"/>
        <v xml:space="preserve">    ---- </v>
      </c>
      <c r="W39" s="497">
        <v>-23</v>
      </c>
      <c r="X39" s="484">
        <v>-22.4</v>
      </c>
      <c r="Y39" s="599">
        <f t="shared" si="31"/>
        <v>-2.6</v>
      </c>
      <c r="Z39" s="497">
        <v>-23</v>
      </c>
      <c r="AA39" s="484">
        <v>-23</v>
      </c>
      <c r="AB39" s="599">
        <f t="shared" si="32"/>
        <v>0</v>
      </c>
      <c r="AC39" s="497"/>
      <c r="AD39" s="484"/>
      <c r="AE39" s="599"/>
      <c r="AF39" s="497">
        <v>-15.314274900699999</v>
      </c>
      <c r="AG39" s="484">
        <v>-12.249250347999999</v>
      </c>
      <c r="AH39" s="599">
        <f t="shared" si="33"/>
        <v>-20</v>
      </c>
      <c r="AI39" s="497">
        <v>-121</v>
      </c>
      <c r="AJ39" s="484">
        <v>-8</v>
      </c>
      <c r="AK39" s="599">
        <f t="shared" si="34"/>
        <v>-93.4</v>
      </c>
      <c r="AL39" s="599">
        <f t="shared" si="35"/>
        <v>-333.99109936069999</v>
      </c>
      <c r="AM39" s="599">
        <f t="shared" si="35"/>
        <v>-196.36177115800001</v>
      </c>
      <c r="AN39" s="599">
        <f t="shared" si="11"/>
        <v>-41.2</v>
      </c>
      <c r="AO39" s="599"/>
      <c r="AP39" s="641"/>
      <c r="AQ39" s="599"/>
    </row>
    <row r="40" spans="1:56" s="643" customFormat="1" ht="18.75" customHeight="1" x14ac:dyDescent="0.3">
      <c r="A40" s="630" t="s">
        <v>410</v>
      </c>
      <c r="B40" s="494">
        <v>0</v>
      </c>
      <c r="C40" s="495">
        <f>SUM(C37:C39)</f>
        <v>0.47399999999999998</v>
      </c>
      <c r="D40" s="631" t="str">
        <f t="shared" si="24"/>
        <v xml:space="preserve">    ---- </v>
      </c>
      <c r="E40" s="494">
        <v>147.458</v>
      </c>
      <c r="F40" s="495">
        <f>SUM(F37:F39)</f>
        <v>100.31400000000002</v>
      </c>
      <c r="G40" s="631">
        <f t="shared" si="25"/>
        <v>-32</v>
      </c>
      <c r="H40" s="494">
        <v>3.7520000000000002</v>
      </c>
      <c r="I40" s="495">
        <f>SUM(I37:I39)</f>
        <v>0.86799999999999999</v>
      </c>
      <c r="J40" s="631">
        <f t="shared" si="26"/>
        <v>-76.900000000000006</v>
      </c>
      <c r="K40" s="494">
        <v>0</v>
      </c>
      <c r="L40" s="495">
        <f>SUM(L37:L39)</f>
        <v>-0.19999999999999973</v>
      </c>
      <c r="M40" s="631" t="str">
        <f t="shared" si="27"/>
        <v xml:space="preserve">    ---- </v>
      </c>
      <c r="N40" s="494">
        <v>1</v>
      </c>
      <c r="O40" s="495">
        <f>SUM(O37:O39)</f>
        <v>1</v>
      </c>
      <c r="P40" s="631">
        <f t="shared" si="28"/>
        <v>0</v>
      </c>
      <c r="Q40" s="494">
        <v>188.10709220000001</v>
      </c>
      <c r="R40" s="495">
        <f>SUM(R37:R39)</f>
        <v>447.54890227999999</v>
      </c>
      <c r="S40" s="631">
        <f t="shared" si="29"/>
        <v>137.9</v>
      </c>
      <c r="T40" s="494">
        <v>2.2000000000000002</v>
      </c>
      <c r="U40" s="495">
        <f>SUM(U37:U39)</f>
        <v>0.4</v>
      </c>
      <c r="V40" s="631">
        <f t="shared" si="30"/>
        <v>-81.8</v>
      </c>
      <c r="W40" s="494">
        <v>9</v>
      </c>
      <c r="X40" s="495">
        <v>-18.599999999999998</v>
      </c>
      <c r="Y40" s="631">
        <f t="shared" si="31"/>
        <v>-306.7</v>
      </c>
      <c r="Z40" s="494">
        <v>129</v>
      </c>
      <c r="AA40" s="495">
        <f>SUM(AA37:AA39)</f>
        <v>16</v>
      </c>
      <c r="AB40" s="631">
        <f t="shared" si="32"/>
        <v>-87.6</v>
      </c>
      <c r="AC40" s="494"/>
      <c r="AD40" s="495">
        <f>SUM(AD37:AD39)</f>
        <v>0</v>
      </c>
      <c r="AE40" s="631"/>
      <c r="AF40" s="494">
        <v>45.055002929299974</v>
      </c>
      <c r="AG40" s="495">
        <f>SUM(AG37:AG39)</f>
        <v>-2.155479997999997</v>
      </c>
      <c r="AH40" s="631">
        <f t="shared" si="33"/>
        <v>-104.8</v>
      </c>
      <c r="AI40" s="494">
        <v>94</v>
      </c>
      <c r="AJ40" s="495">
        <f>SUM(AJ37:AJ39)</f>
        <v>161</v>
      </c>
      <c r="AK40" s="631">
        <f t="shared" si="34"/>
        <v>71.3</v>
      </c>
      <c r="AL40" s="631">
        <f>B40+E40+H40+K40+Q40+T40+W40+Z40+AF40+AI40</f>
        <v>618.57209512930001</v>
      </c>
      <c r="AM40" s="631">
        <f>C40+F40+I40+L40+R40+U40+X40+AA40+AG40+AJ40</f>
        <v>705.64942228199993</v>
      </c>
      <c r="AN40" s="631">
        <f t="shared" si="11"/>
        <v>14.1</v>
      </c>
      <c r="AO40" s="631"/>
      <c r="AP40" s="642"/>
      <c r="AQ40" s="631"/>
    </row>
    <row r="41" spans="1:56" s="643" customFormat="1" ht="18.75" customHeight="1" x14ac:dyDescent="0.3">
      <c r="A41" s="630" t="s">
        <v>411</v>
      </c>
      <c r="B41" s="494">
        <v>24.392000000000152</v>
      </c>
      <c r="C41" s="495">
        <f>C34+C40</f>
        <v>15.944000000000141</v>
      </c>
      <c r="D41" s="631">
        <f t="shared" si="24"/>
        <v>-34.6</v>
      </c>
      <c r="E41" s="494">
        <v>371.98099999999909</v>
      </c>
      <c r="F41" s="495">
        <f>F34+F40</f>
        <v>371.29899999999998</v>
      </c>
      <c r="G41" s="631">
        <f t="shared" si="25"/>
        <v>-0.2</v>
      </c>
      <c r="H41" s="494">
        <v>28.55200000000006</v>
      </c>
      <c r="I41" s="495">
        <f>I34+I40</f>
        <v>18.755000000000042</v>
      </c>
      <c r="J41" s="631">
        <f t="shared" si="26"/>
        <v>-34.299999999999997</v>
      </c>
      <c r="K41" s="494">
        <v>30.938999999999716</v>
      </c>
      <c r="L41" s="495">
        <f>L34+L40</f>
        <v>31.800000000000072</v>
      </c>
      <c r="M41" s="631">
        <f t="shared" si="27"/>
        <v>2.8</v>
      </c>
      <c r="N41" s="494">
        <v>11</v>
      </c>
      <c r="O41" s="495">
        <f>O34+O40</f>
        <v>11</v>
      </c>
      <c r="P41" s="631">
        <f t="shared" si="28"/>
        <v>0</v>
      </c>
      <c r="Q41" s="494">
        <v>475.16263097000166</v>
      </c>
      <c r="R41" s="495">
        <f>R34+R40</f>
        <v>811.51363422000009</v>
      </c>
      <c r="S41" s="631">
        <f t="shared" si="29"/>
        <v>70.8</v>
      </c>
      <c r="T41" s="494">
        <v>-11.999999999999975</v>
      </c>
      <c r="U41" s="495">
        <f>U34+U40</f>
        <v>-8.4999999999999929</v>
      </c>
      <c r="V41" s="631">
        <f t="shared" si="30"/>
        <v>-29.2</v>
      </c>
      <c r="W41" s="494">
        <v>147.72759180999947</v>
      </c>
      <c r="X41" s="495">
        <v>117.93199766000035</v>
      </c>
      <c r="Y41" s="631">
        <f t="shared" si="31"/>
        <v>-20.2</v>
      </c>
      <c r="Z41" s="494">
        <v>290</v>
      </c>
      <c r="AA41" s="495">
        <f>AA34+AA40</f>
        <v>139.59999999999991</v>
      </c>
      <c r="AB41" s="631">
        <f t="shared" si="32"/>
        <v>-51.9</v>
      </c>
      <c r="AC41" s="494">
        <v>2</v>
      </c>
      <c r="AD41" s="495">
        <f>AD34+AD40</f>
        <v>2</v>
      </c>
      <c r="AE41" s="631">
        <f>IF(AC41=0, "    ---- ", IF(ABS(ROUND(100/AC41*AD41-100,1))&lt;999,ROUND(100/AC41*AD41-100,1),IF(ROUND(100/AC41*AD41-100,1)&gt;999,999,-999)))</f>
        <v>0</v>
      </c>
      <c r="AF41" s="494">
        <v>145.41929017999945</v>
      </c>
      <c r="AG41" s="495">
        <f>AG34+AG40</f>
        <v>131.58759053999893</v>
      </c>
      <c r="AH41" s="631">
        <f t="shared" si="33"/>
        <v>-9.5</v>
      </c>
      <c r="AI41" s="494">
        <v>365</v>
      </c>
      <c r="AJ41" s="495">
        <f>AJ34+AJ40</f>
        <v>545</v>
      </c>
      <c r="AK41" s="631">
        <f t="shared" si="34"/>
        <v>49.3</v>
      </c>
      <c r="AL41" s="631">
        <f>B41+E41+H41+K41+Q41+T41+W41+Z41+AF41+AI41</f>
        <v>1867.1735129599997</v>
      </c>
      <c r="AM41" s="631">
        <f>C41+F41+I41+L41+R41+U41+X41+AA41+AG41+AJ41</f>
        <v>2174.9312224199994</v>
      </c>
      <c r="AN41" s="631">
        <f t="shared" si="11"/>
        <v>16.5</v>
      </c>
      <c r="AO41" s="631"/>
      <c r="AP41" s="642"/>
      <c r="AQ41" s="631"/>
    </row>
    <row r="42" spans="1:56" s="640" customFormat="1" ht="18.75" customHeight="1" x14ac:dyDescent="0.3">
      <c r="A42" s="596" t="s">
        <v>412</v>
      </c>
      <c r="B42" s="497">
        <v>-6</v>
      </c>
      <c r="C42" s="484">
        <v>-3.9860000000000002</v>
      </c>
      <c r="D42" s="599">
        <f t="shared" si="24"/>
        <v>-33.6</v>
      </c>
      <c r="E42" s="497">
        <v>19</v>
      </c>
      <c r="F42" s="484">
        <v>-51.564</v>
      </c>
      <c r="G42" s="599">
        <f t="shared" si="25"/>
        <v>-371.4</v>
      </c>
      <c r="H42" s="497">
        <v>-5.3570000000000002</v>
      </c>
      <c r="I42" s="484">
        <v>-5.5090000000000003</v>
      </c>
      <c r="J42" s="599">
        <f t="shared" si="26"/>
        <v>2.8</v>
      </c>
      <c r="K42" s="497">
        <v>-7.78</v>
      </c>
      <c r="L42" s="484">
        <v>-8</v>
      </c>
      <c r="M42" s="599">
        <f t="shared" si="27"/>
        <v>2.8</v>
      </c>
      <c r="N42" s="497"/>
      <c r="O42" s="484"/>
      <c r="P42" s="599"/>
      <c r="Q42" s="497">
        <v>-76.773201</v>
      </c>
      <c r="R42" s="484">
        <v>-157.30547899999999</v>
      </c>
      <c r="S42" s="599">
        <f t="shared" si="29"/>
        <v>104.9</v>
      </c>
      <c r="T42" s="497"/>
      <c r="U42" s="484"/>
      <c r="V42" s="599"/>
      <c r="W42" s="497"/>
      <c r="X42" s="484"/>
      <c r="Y42" s="599"/>
      <c r="Z42" s="497">
        <v>-72</v>
      </c>
      <c r="AA42" s="484">
        <v>-35</v>
      </c>
      <c r="AB42" s="599">
        <f t="shared" si="32"/>
        <v>-51.4</v>
      </c>
      <c r="AC42" s="497"/>
      <c r="AD42" s="484"/>
      <c r="AE42" s="599"/>
      <c r="AF42" s="497">
        <v>-12.086432</v>
      </c>
      <c r="AG42" s="484">
        <v>-49.554861019999997</v>
      </c>
      <c r="AH42" s="599">
        <f t="shared" si="33"/>
        <v>310</v>
      </c>
      <c r="AI42" s="497">
        <v>-75</v>
      </c>
      <c r="AJ42" s="484">
        <v>-94</v>
      </c>
      <c r="AK42" s="599">
        <f t="shared" si="34"/>
        <v>25.3</v>
      </c>
      <c r="AL42" s="599">
        <f t="shared" ref="AL42:AM42" si="36">B42+E42+H42+K42+Q42+T42+W42+Z42+AF42+AI42</f>
        <v>-235.996633</v>
      </c>
      <c r="AM42" s="599">
        <f t="shared" si="36"/>
        <v>-404.91934001999994</v>
      </c>
      <c r="AN42" s="599">
        <f t="shared" si="11"/>
        <v>71.599999999999994</v>
      </c>
      <c r="AO42" s="599"/>
      <c r="AP42" s="641"/>
      <c r="AQ42" s="599"/>
    </row>
    <row r="43" spans="1:56" s="643" customFormat="1" ht="18.75" customHeight="1" x14ac:dyDescent="0.3">
      <c r="A43" s="630" t="s">
        <v>413</v>
      </c>
      <c r="B43" s="494">
        <v>18.392000000000152</v>
      </c>
      <c r="C43" s="495">
        <f>C41+C42</f>
        <v>11.958000000000141</v>
      </c>
      <c r="D43" s="631">
        <f t="shared" si="24"/>
        <v>-35</v>
      </c>
      <c r="E43" s="494">
        <v>390.98099999999909</v>
      </c>
      <c r="F43" s="495">
        <f>F41+F42</f>
        <v>319.73499999999996</v>
      </c>
      <c r="G43" s="631">
        <f t="shared" si="25"/>
        <v>-18.2</v>
      </c>
      <c r="H43" s="494">
        <v>23.195000000000061</v>
      </c>
      <c r="I43" s="495">
        <f>I41+I42</f>
        <v>13.246000000000041</v>
      </c>
      <c r="J43" s="631">
        <f t="shared" si="26"/>
        <v>-42.9</v>
      </c>
      <c r="K43" s="494">
        <v>23.158999999999715</v>
      </c>
      <c r="L43" s="495">
        <f>L41+L42</f>
        <v>23.800000000000072</v>
      </c>
      <c r="M43" s="631">
        <f t="shared" si="27"/>
        <v>2.8</v>
      </c>
      <c r="N43" s="494">
        <v>11</v>
      </c>
      <c r="O43" s="495">
        <f>O41+O42</f>
        <v>11</v>
      </c>
      <c r="P43" s="631">
        <f t="shared" si="28"/>
        <v>0</v>
      </c>
      <c r="Q43" s="494">
        <v>398.38942997000163</v>
      </c>
      <c r="R43" s="495">
        <f>R41+R42</f>
        <v>654.20815522000009</v>
      </c>
      <c r="S43" s="631">
        <f t="shared" si="29"/>
        <v>64.2</v>
      </c>
      <c r="T43" s="494">
        <v>-11.999999999999975</v>
      </c>
      <c r="U43" s="495">
        <f>U41+U42</f>
        <v>-8.4999999999999929</v>
      </c>
      <c r="V43" s="631">
        <f t="shared" si="30"/>
        <v>-29.2</v>
      </c>
      <c r="W43" s="494">
        <v>147.72759180999947</v>
      </c>
      <c r="X43" s="495">
        <v>117.93199766000035</v>
      </c>
      <c r="Y43" s="631">
        <f t="shared" si="31"/>
        <v>-20.2</v>
      </c>
      <c r="Z43" s="494">
        <v>218</v>
      </c>
      <c r="AA43" s="495">
        <f>AA41+AA42</f>
        <v>104.59999999999991</v>
      </c>
      <c r="AB43" s="631">
        <f t="shared" si="32"/>
        <v>-52</v>
      </c>
      <c r="AC43" s="494">
        <v>2</v>
      </c>
      <c r="AD43" s="495">
        <f>AD41+AD42</f>
        <v>2</v>
      </c>
      <c r="AE43" s="631">
        <f>IF(AC43=0, "    ---- ", IF(ABS(ROUND(100/AC43*AD43-100,1))&lt;999,ROUND(100/AC43*AD43-100,1),IF(ROUND(100/AC43*AD43-100,1)&gt;999,999,-999)))</f>
        <v>0</v>
      </c>
      <c r="AF43" s="494">
        <v>133.33285817999945</v>
      </c>
      <c r="AG43" s="495">
        <f>AG41+AG42</f>
        <v>82.032729519998924</v>
      </c>
      <c r="AH43" s="631">
        <f t="shared" si="33"/>
        <v>-38.5</v>
      </c>
      <c r="AI43" s="494">
        <v>290</v>
      </c>
      <c r="AJ43" s="495">
        <f>AJ41+AJ42</f>
        <v>451</v>
      </c>
      <c r="AK43" s="631">
        <f t="shared" si="34"/>
        <v>55.5</v>
      </c>
      <c r="AL43" s="631">
        <f>B43+E43+H43+K43+Q43+T43+W43+Z43+AF43+AI43</f>
        <v>1631.1768799599995</v>
      </c>
      <c r="AM43" s="631">
        <f>C43+F43+I43+L43+R43+U43+X43+AA43+AG43+AJ43</f>
        <v>1770.0118823999994</v>
      </c>
      <c r="AN43" s="631">
        <f t="shared" si="11"/>
        <v>8.5</v>
      </c>
      <c r="AO43" s="631"/>
      <c r="AP43" s="642"/>
      <c r="AQ43" s="631"/>
    </row>
    <row r="44" spans="1:56" s="640" customFormat="1" ht="18.75" customHeight="1" x14ac:dyDescent="0.3">
      <c r="A44" s="596" t="s">
        <v>414</v>
      </c>
      <c r="B44" s="497"/>
      <c r="C44" s="484"/>
      <c r="D44" s="599"/>
      <c r="E44" s="497"/>
      <c r="F44" s="484"/>
      <c r="G44" s="599" t="str">
        <f t="shared" si="25"/>
        <v xml:space="preserve">    ---- </v>
      </c>
      <c r="H44" s="497"/>
      <c r="I44" s="484"/>
      <c r="J44" s="599"/>
      <c r="K44" s="497"/>
      <c r="L44" s="484"/>
      <c r="M44" s="599"/>
      <c r="N44" s="497">
        <v>-2</v>
      </c>
      <c r="O44" s="484">
        <v>-3</v>
      </c>
      <c r="P44" s="599">
        <f t="shared" si="28"/>
        <v>50</v>
      </c>
      <c r="Q44" s="497"/>
      <c r="R44" s="484"/>
      <c r="S44" s="599"/>
      <c r="T44" s="497"/>
      <c r="U44" s="484"/>
      <c r="V44" s="599"/>
      <c r="W44" s="497"/>
      <c r="X44" s="484"/>
      <c r="Y44" s="599"/>
      <c r="Z44" s="497"/>
      <c r="AA44" s="484"/>
      <c r="AB44" s="599"/>
      <c r="AC44" s="497"/>
      <c r="AD44" s="484"/>
      <c r="AE44" s="599"/>
      <c r="AF44" s="497"/>
      <c r="AG44" s="484"/>
      <c r="AH44" s="599"/>
      <c r="AI44" s="497">
        <v>-5</v>
      </c>
      <c r="AJ44" s="484">
        <v>-20</v>
      </c>
      <c r="AK44" s="599">
        <f t="shared" si="34"/>
        <v>300</v>
      </c>
      <c r="AL44" s="599">
        <f t="shared" ref="AL44:AM44" si="37">B44+E44+H44+K44+Q44+T44+W44+Z44+AF44+AI44</f>
        <v>-5</v>
      </c>
      <c r="AM44" s="599">
        <f t="shared" si="37"/>
        <v>-20</v>
      </c>
      <c r="AN44" s="599">
        <f t="shared" si="11"/>
        <v>300</v>
      </c>
      <c r="AO44" s="599"/>
      <c r="AP44" s="641"/>
      <c r="AQ44" s="599"/>
    </row>
    <row r="45" spans="1:56" s="643" customFormat="1" ht="18.75" customHeight="1" x14ac:dyDescent="0.3">
      <c r="A45" s="623" t="s">
        <v>415</v>
      </c>
      <c r="B45" s="499">
        <v>18.392000000000152</v>
      </c>
      <c r="C45" s="500">
        <f>C43+C44</f>
        <v>11.958000000000141</v>
      </c>
      <c r="D45" s="626">
        <f>IF(B45=0, "    ---- ", IF(ABS(ROUND(100/B45*C45-100,1))&lt;999,ROUND(100/B45*C45-100,1),IF(ROUND(100/B45*C45-100,1)&gt;999,999,-999)))</f>
        <v>-35</v>
      </c>
      <c r="E45" s="627">
        <v>390.98099999999909</v>
      </c>
      <c r="F45" s="500">
        <f>F43+F44</f>
        <v>319.73499999999996</v>
      </c>
      <c r="G45" s="626">
        <f>IF(E45=0, "    ---- ", IF(ABS(ROUND(100/E45*F45-100,1))&lt;999,ROUND(100/E45*F45-100,1),IF(ROUND(100/E45*F45-100,1)&gt;999,999,-999)))</f>
        <v>-18.2</v>
      </c>
      <c r="H45" s="499">
        <v>23.1950000000001</v>
      </c>
      <c r="I45" s="500">
        <f>I43+I44</f>
        <v>13.246000000000041</v>
      </c>
      <c r="J45" s="626">
        <f>IF(H45=0, "    ---- ", IF(ABS(ROUND(100/H45*I45-100,1))&lt;999,ROUND(100/H45*I45-100,1),IF(ROUND(100/H45*I45-100,1)&gt;999,999,-999)))</f>
        <v>-42.9</v>
      </c>
      <c r="K45" s="499">
        <v>23.158999999999715</v>
      </c>
      <c r="L45" s="500">
        <f>L43+L44</f>
        <v>23.800000000000072</v>
      </c>
      <c r="M45" s="626">
        <f>IF(K45=0, "    ---- ", IF(ABS(ROUND(100/K45*L45-100,1))&lt;999,ROUND(100/K45*L45-100,1),IF(ROUND(100/K45*L45-100,1)&gt;999,999,-999)))</f>
        <v>2.8</v>
      </c>
      <c r="N45" s="499">
        <v>9</v>
      </c>
      <c r="O45" s="500">
        <f>O43+O44</f>
        <v>8</v>
      </c>
      <c r="P45" s="626">
        <f>IF(N45=0, "    ---- ", IF(ABS(ROUND(100/N45*O45-100,1))&lt;999,ROUND(100/N45*O45-100,1),IF(ROUND(100/N45*O45-100,1)&gt;999,999,-999)))</f>
        <v>-11.1</v>
      </c>
      <c r="Q45" s="499">
        <v>398.38942997000163</v>
      </c>
      <c r="R45" s="500">
        <f>R43+R44</f>
        <v>654.20815522000009</v>
      </c>
      <c r="S45" s="626">
        <f>IF(Q45=0, "    ---- ", IF(ABS(ROUND(100/Q45*R45-100,1))&lt;999,ROUND(100/Q45*R45-100,1),IF(ROUND(100/Q45*R45-100,1)&gt;999,999,-999)))</f>
        <v>64.2</v>
      </c>
      <c r="T45" s="499">
        <v>-11.999999999999975</v>
      </c>
      <c r="U45" s="500">
        <f>U43+U44</f>
        <v>-8.4999999999999929</v>
      </c>
      <c r="V45" s="626">
        <f>IF(T45=0, "    ---- ", IF(ABS(ROUND(100/T45*U45-100,1))&lt;999,ROUND(100/T45*U45-100,1),IF(ROUND(100/T45*U45-100,1)&gt;999,999,-999)))</f>
        <v>-29.2</v>
      </c>
      <c r="W45" s="499">
        <v>147.72759180999947</v>
      </c>
      <c r="X45" s="500">
        <v>117.93199766000035</v>
      </c>
      <c r="Y45" s="626">
        <f>IF(W45=0, "    ---- ", IF(ABS(ROUND(100/W45*X45-100,1))&lt;999,ROUND(100/W45*X45-100,1),IF(ROUND(100/W45*X45-100,1)&gt;999,999,-999)))</f>
        <v>-20.2</v>
      </c>
      <c r="Z45" s="499">
        <v>218</v>
      </c>
      <c r="AA45" s="500">
        <f>AA43+AA44</f>
        <v>104.59999999999991</v>
      </c>
      <c r="AB45" s="626">
        <f>IF(Z45=0, "    ---- ", IF(ABS(ROUND(100/Z45*AA45-100,1))&lt;999,ROUND(100/Z45*AA45-100,1),IF(ROUND(100/Z45*AA45-100,1)&gt;999,999,-999)))</f>
        <v>-52</v>
      </c>
      <c r="AC45" s="499">
        <v>2</v>
      </c>
      <c r="AD45" s="500">
        <f>AD43+AD44</f>
        <v>2</v>
      </c>
      <c r="AE45" s="626">
        <f>IF(AC45=0, "    ---- ", IF(ABS(ROUND(100/AC45*AD45-100,1))&lt;999,ROUND(100/AC45*AD45-100,1),IF(ROUND(100/AC45*AD45-100,1)&gt;999,999,-999)))</f>
        <v>0</v>
      </c>
      <c r="AF45" s="499">
        <v>133.33285817999945</v>
      </c>
      <c r="AG45" s="500">
        <f>AG43+AG44</f>
        <v>82.032729519998924</v>
      </c>
      <c r="AH45" s="626">
        <f>IF(AF45=0, "    ---- ", IF(ABS(ROUND(100/AF45*AG45-100,1))&lt;999,ROUND(100/AF45*AG45-100,1),IF(ROUND(100/AF45*AG45-100,1)&gt;999,999,-999)))</f>
        <v>-38.5</v>
      </c>
      <c r="AI45" s="499">
        <v>285</v>
      </c>
      <c r="AJ45" s="500">
        <f>AJ43+AJ44</f>
        <v>431</v>
      </c>
      <c r="AK45" s="626">
        <f>IF(AI45=0, "    ---- ", IF(ABS(ROUND(100/AI45*AJ45-100,1))&lt;999,ROUND(100/AI45*AJ45-100,1),IF(ROUND(100/AI45*AJ45-100,1)&gt;999,999,-999)))</f>
        <v>51.2</v>
      </c>
      <c r="AL45" s="626">
        <f>B45+E45+H45+K45+Q45+T45+W45+Z45+AF45+AI45</f>
        <v>1626.1768799599997</v>
      </c>
      <c r="AM45" s="628">
        <f>C45+F45+I45+L45+R45+U45+X45+AA45+AG45+AJ45</f>
        <v>1750.0118823999994</v>
      </c>
      <c r="AN45" s="626">
        <f t="shared" si="11"/>
        <v>7.6</v>
      </c>
      <c r="AO45" s="644"/>
      <c r="AP45" s="645"/>
      <c r="AQ45" s="646"/>
    </row>
    <row r="46" spans="1:56" s="643" customFormat="1" ht="18.75" customHeight="1" x14ac:dyDescent="0.3">
      <c r="A46" s="647"/>
      <c r="B46" s="501"/>
      <c r="C46" s="501"/>
      <c r="D46" s="648"/>
      <c r="E46" s="501"/>
      <c r="F46" s="501"/>
      <c r="G46" s="632"/>
      <c r="H46" s="501"/>
      <c r="I46" s="501"/>
      <c r="J46" s="632"/>
      <c r="K46" s="501"/>
      <c r="L46" s="501"/>
      <c r="M46" s="648"/>
      <c r="N46" s="501"/>
      <c r="O46" s="501"/>
      <c r="P46" s="632"/>
      <c r="Q46" s="501"/>
      <c r="R46" s="501"/>
      <c r="S46" s="632"/>
      <c r="T46" s="501"/>
      <c r="U46" s="501"/>
      <c r="V46" s="632"/>
      <c r="W46" s="501"/>
      <c r="X46" s="501"/>
      <c r="Y46" s="632"/>
      <c r="Z46" s="501"/>
      <c r="AA46" s="501"/>
      <c r="AB46" s="632"/>
      <c r="AC46" s="501"/>
      <c r="AD46" s="501"/>
      <c r="AE46" s="632"/>
      <c r="AF46" s="501"/>
      <c r="AG46" s="501"/>
      <c r="AH46" s="632"/>
      <c r="AI46" s="501"/>
      <c r="AJ46" s="501"/>
      <c r="AK46" s="632"/>
      <c r="AL46" s="648"/>
      <c r="AM46" s="648"/>
      <c r="AN46" s="632"/>
      <c r="AO46" s="649"/>
      <c r="AP46" s="649"/>
      <c r="AQ46" s="650"/>
    </row>
    <row r="47" spans="1:56" s="653" customFormat="1" ht="18.75" customHeight="1" x14ac:dyDescent="0.3">
      <c r="A47" s="651" t="s">
        <v>416</v>
      </c>
      <c r="B47" s="652"/>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row>
    <row r="48" spans="1:56" s="654" customFormat="1" ht="18.75" customHeight="1" x14ac:dyDescent="0.3">
      <c r="A48" s="652" t="s">
        <v>417</v>
      </c>
      <c r="B48" s="652"/>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row>
    <row r="49" spans="1:43" s="654" customFormat="1" ht="18.75" customHeight="1" x14ac:dyDescent="0.3">
      <c r="A49" s="652" t="s">
        <v>418</v>
      </c>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row>
    <row r="50" spans="1:43" s="654" customFormat="1" ht="18.75" customHeight="1" x14ac:dyDescent="0.3">
      <c r="A50" s="652" t="s">
        <v>419</v>
      </c>
      <c r="B50" s="652"/>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row>
    <row r="51" spans="1:43" s="654" customFormat="1" ht="18.75" customHeight="1" x14ac:dyDescent="0.3">
      <c r="A51" s="652" t="s">
        <v>420</v>
      </c>
      <c r="B51" s="652"/>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row>
    <row r="52" spans="1:43" s="654" customFormat="1" ht="18.75" customHeight="1" x14ac:dyDescent="0.3">
      <c r="A52" s="652" t="s">
        <v>421</v>
      </c>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row>
    <row r="53" spans="1:43" s="654" customFormat="1" ht="18.75" customHeight="1" x14ac:dyDescent="0.3">
      <c r="A53" s="652" t="s">
        <v>422</v>
      </c>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row>
    <row r="54" spans="1:43" s="654" customFormat="1" ht="18.75" customHeight="1" x14ac:dyDescent="0.3">
      <c r="A54" s="652" t="s">
        <v>423</v>
      </c>
      <c r="B54" s="652"/>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row>
    <row r="55" spans="1:43" s="654" customFormat="1" ht="18.75" customHeight="1" x14ac:dyDescent="0.3">
      <c r="A55" s="652" t="s">
        <v>424</v>
      </c>
      <c r="B55" s="652"/>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row>
    <row r="56" spans="1:43" s="654" customFormat="1" ht="18.75" customHeight="1" x14ac:dyDescent="0.3">
      <c r="A56" s="652" t="s">
        <v>425</v>
      </c>
      <c r="B56" s="652"/>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row>
    <row r="57" spans="1:43" s="653" customFormat="1" ht="18.75" customHeight="1" x14ac:dyDescent="0.3">
      <c r="A57" s="655" t="s">
        <v>426</v>
      </c>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row>
    <row r="58" spans="1:43" s="658" customFormat="1" ht="18.75" customHeight="1" x14ac:dyDescent="0.3">
      <c r="A58" s="640" t="s">
        <v>342</v>
      </c>
      <c r="B58" s="640"/>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c r="AP58" s="657"/>
    </row>
    <row r="59" spans="1:43" s="658" customFormat="1" ht="18.75" customHeight="1" x14ac:dyDescent="0.3">
      <c r="A59" s="640" t="s">
        <v>343</v>
      </c>
    </row>
    <row r="60" spans="1:43" s="658" customFormat="1" ht="18.75" customHeight="1" x14ac:dyDescent="0.3">
      <c r="A60" s="640" t="s">
        <v>344</v>
      </c>
    </row>
    <row r="61" spans="1:43" s="658" customFormat="1" ht="18.75" x14ac:dyDescent="0.3"/>
    <row r="62" spans="1:43" s="658" customFormat="1" ht="18.75" x14ac:dyDescent="0.3"/>
    <row r="63" spans="1:43" s="659" customFormat="1" x14ac:dyDescent="0.2">
      <c r="C63" s="660"/>
      <c r="H63" s="660"/>
      <c r="I63" s="660"/>
      <c r="AL63" s="661"/>
    </row>
  </sheetData>
  <mergeCells count="26">
    <mergeCell ref="AL6:AN6"/>
    <mergeCell ref="AO6:AQ6"/>
    <mergeCell ref="T6:V6"/>
    <mergeCell ref="W6:Y6"/>
    <mergeCell ref="Z6:AB6"/>
    <mergeCell ref="AC6:AE6"/>
    <mergeCell ref="AF6:AH6"/>
    <mergeCell ref="AI6:AK6"/>
    <mergeCell ref="B6:D6"/>
    <mergeCell ref="E6:G6"/>
    <mergeCell ref="H6:J6"/>
    <mergeCell ref="K6:M6"/>
    <mergeCell ref="N6:P6"/>
    <mergeCell ref="Q6:S6"/>
    <mergeCell ref="T5:V5"/>
    <mergeCell ref="Z5:AB5"/>
    <mergeCell ref="AF5:AH5"/>
    <mergeCell ref="AI5:AK5"/>
    <mergeCell ref="AL5:AN5"/>
    <mergeCell ref="AO5:AQ5"/>
    <mergeCell ref="B5:D5"/>
    <mergeCell ref="E5:G5"/>
    <mergeCell ref="H5:J5"/>
    <mergeCell ref="K5:M5"/>
    <mergeCell ref="N5:P5"/>
    <mergeCell ref="Q5:S5"/>
  </mergeCells>
  <conditionalFormatting sqref="E14:F14 K14:L14 Q14:R14 T14:U14 AF14:AG14 AI14:AJ14 B14:C14 W14:X14 Z14:AA14 N14:O14 AC14:AD14 H14:I14">
    <cfRule type="expression" dxfId="24" priority="133">
      <formula>#REF! ="14≠11+12+13"</formula>
    </cfRule>
  </conditionalFormatting>
  <conditionalFormatting sqref="E21:F21 K21:L21 Q21:R21 T21:U21 AF21:AG21 AI21:AJ21 B21:C21 W21:X21 Z21:AA21 N21:O21 AC21:AD21 H21:I21">
    <cfRule type="expression" dxfId="23" priority="145">
      <formula>#REF! ="22≠19+20+21"</formula>
    </cfRule>
  </conditionalFormatting>
  <conditionalFormatting sqref="E29:F29 AO29:AP29 K29:L29 Q29:R29 T29:U29 AF29:AG29 AI29:AJ29 B29:C29 W29:X29 Z29:AA29 N29:O29 AC29:AD29 H29:I29">
    <cfRule type="expression" dxfId="22" priority="157">
      <formula>#REF! ="30≠24+25+26+27+28+29"</formula>
    </cfRule>
  </conditionalFormatting>
  <conditionalFormatting sqref="E34:F34 AO34:AP34 AL34:AM34 AL45:AM45 K34:L34 Q34:R34 T34:U34 AF34:AG34 AI34:AJ34 B34:C34 W34:X34 Z34:AA34 N34:O34 AC34:AD34 H34:I34">
    <cfRule type="expression" dxfId="21" priority="170">
      <formula>#REF! ="35≠14+15+16+17+22+30+31+32+33+34"</formula>
    </cfRule>
  </conditionalFormatting>
  <conditionalFormatting sqref="E45:F45 AO45:AP45 K45:L45 Q45:R45 T45:U45 AF45:AG45 AI45:AJ45 B45:C45 W45:X45 Z45:AA45 N45:O45 AC45:AD45 H45:I45">
    <cfRule type="expression" dxfId="20" priority="184">
      <formula>#REF! ="46≠35+38+39+40+43+45"</formula>
    </cfRule>
  </conditionalFormatting>
  <hyperlinks>
    <hyperlink ref="B1" location="Innhold!A1" display="Tilbak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BK114"/>
  <sheetViews>
    <sheetView showGridLines="0" zoomScale="60" zoomScaleNormal="60" workbookViewId="0">
      <pane xSplit="1" ySplit="8" topLeftCell="B9" activePane="bottomRight" state="frozen"/>
      <selection activeCell="H92" sqref="H92"/>
      <selection pane="topRight" activeCell="H92" sqref="H92"/>
      <selection pane="bottomLeft" activeCell="H92" sqref="H92"/>
      <selection pane="bottomRight" activeCell="A4" sqref="A4"/>
    </sheetView>
  </sheetViews>
  <sheetFormatPr baseColWidth="10" defaultColWidth="11.42578125" defaultRowHeight="12.75" x14ac:dyDescent="0.2"/>
  <cols>
    <col min="1" max="1" width="101.42578125" style="158" customWidth="1"/>
    <col min="2" max="16" width="11.7109375" style="158" customWidth="1"/>
    <col min="17" max="17" width="12" style="158" customWidth="1"/>
    <col min="18" max="37" width="11.7109375" style="158" customWidth="1"/>
    <col min="38" max="38" width="14.42578125" style="158" customWidth="1"/>
    <col min="39" max="39" width="13.5703125" style="158" customWidth="1"/>
    <col min="40" max="40" width="11.7109375" style="158" customWidth="1"/>
    <col min="41" max="41" width="15.140625" style="158" bestFit="1" customWidth="1"/>
    <col min="42" max="42" width="13" style="158" bestFit="1" customWidth="1"/>
    <col min="43" max="43" width="11.7109375" style="158" customWidth="1"/>
    <col min="44" max="45" width="13" style="158" bestFit="1" customWidth="1"/>
    <col min="46" max="46" width="11.7109375" style="158" customWidth="1"/>
    <col min="47" max="16384" width="11.42578125" style="158"/>
  </cols>
  <sheetData>
    <row r="1" spans="1:63" ht="20.25" customHeight="1" x14ac:dyDescent="0.3">
      <c r="A1" s="80" t="s">
        <v>261</v>
      </c>
      <c r="B1" s="73" t="s">
        <v>53</v>
      </c>
      <c r="C1" s="292"/>
      <c r="D1" s="292"/>
      <c r="E1" s="292"/>
      <c r="F1" s="292"/>
      <c r="G1" s="292"/>
      <c r="H1" s="292"/>
      <c r="I1" s="292"/>
      <c r="J1" s="292"/>
      <c r="AU1" s="293"/>
    </row>
    <row r="2" spans="1:63" ht="20.100000000000001" customHeight="1" x14ac:dyDescent="0.3">
      <c r="A2" s="80" t="s">
        <v>262</v>
      </c>
      <c r="AU2" s="293"/>
    </row>
    <row r="3" spans="1:63" ht="20.100000000000001" customHeight="1" x14ac:dyDescent="0.3">
      <c r="A3" s="294" t="s">
        <v>263</v>
      </c>
      <c r="B3" s="295"/>
      <c r="C3" s="295"/>
      <c r="D3" s="295"/>
      <c r="E3" s="295"/>
      <c r="F3" s="295"/>
      <c r="G3" s="295"/>
      <c r="H3" s="295"/>
      <c r="I3" s="295"/>
      <c r="J3" s="295"/>
      <c r="AU3" s="296"/>
    </row>
    <row r="4" spans="1:63" ht="18.75" customHeight="1" x14ac:dyDescent="0.25">
      <c r="A4" s="502" t="s">
        <v>248</v>
      </c>
      <c r="B4" s="510"/>
      <c r="C4" s="510"/>
      <c r="D4" s="511"/>
      <c r="E4" s="510"/>
      <c r="F4" s="510"/>
      <c r="G4" s="511"/>
      <c r="H4" s="512"/>
      <c r="I4" s="510"/>
      <c r="J4" s="511"/>
      <c r="K4" s="471"/>
      <c r="L4" s="471"/>
      <c r="M4" s="471"/>
      <c r="N4" s="472"/>
      <c r="O4" s="471"/>
      <c r="P4" s="473"/>
      <c r="Q4" s="472"/>
      <c r="R4" s="471"/>
      <c r="S4" s="473"/>
      <c r="T4" s="472"/>
      <c r="U4" s="471"/>
      <c r="V4" s="473"/>
      <c r="W4" s="472"/>
      <c r="X4" s="471"/>
      <c r="Y4" s="473"/>
      <c r="Z4" s="472"/>
      <c r="AA4" s="471"/>
      <c r="AB4" s="473"/>
      <c r="AC4" s="472"/>
      <c r="AD4" s="471"/>
      <c r="AE4" s="473"/>
      <c r="AF4" s="472"/>
      <c r="AG4" s="471"/>
      <c r="AH4" s="473"/>
      <c r="AI4" s="472"/>
      <c r="AJ4" s="471"/>
      <c r="AK4" s="473"/>
      <c r="AL4" s="472"/>
      <c r="AM4" s="471"/>
      <c r="AN4" s="473"/>
      <c r="AO4" s="472"/>
      <c r="AP4" s="471"/>
      <c r="AQ4" s="473"/>
      <c r="AR4" s="513"/>
      <c r="AS4" s="514"/>
      <c r="AT4" s="514"/>
      <c r="AU4" s="514"/>
      <c r="AV4" s="514"/>
      <c r="AW4" s="297"/>
      <c r="AX4" s="297"/>
      <c r="AY4" s="297"/>
      <c r="AZ4" s="297"/>
      <c r="BA4" s="297"/>
      <c r="BB4" s="297"/>
      <c r="BC4" s="297"/>
      <c r="BD4" s="297"/>
      <c r="BE4" s="297"/>
      <c r="BF4" s="297"/>
      <c r="BG4" s="297"/>
      <c r="BH4" s="297"/>
      <c r="BI4" s="297"/>
      <c r="BJ4" s="297"/>
      <c r="BK4" s="297"/>
    </row>
    <row r="5" spans="1:63" ht="18.75" customHeight="1" x14ac:dyDescent="0.3">
      <c r="A5" s="503" t="s">
        <v>109</v>
      </c>
      <c r="B5" s="776" t="s">
        <v>264</v>
      </c>
      <c r="C5" s="777"/>
      <c r="D5" s="778"/>
      <c r="E5" s="776" t="s">
        <v>265</v>
      </c>
      <c r="F5" s="777"/>
      <c r="G5" s="778"/>
      <c r="H5" s="776" t="s">
        <v>266</v>
      </c>
      <c r="I5" s="777"/>
      <c r="J5" s="778"/>
      <c r="K5" s="776" t="s">
        <v>267</v>
      </c>
      <c r="L5" s="777"/>
      <c r="M5" s="778"/>
      <c r="N5" s="776" t="s">
        <v>268</v>
      </c>
      <c r="O5" s="777"/>
      <c r="P5" s="778"/>
      <c r="Q5" s="475" t="s">
        <v>268</v>
      </c>
      <c r="R5" s="476"/>
      <c r="S5" s="477"/>
      <c r="T5" s="776" t="s">
        <v>65</v>
      </c>
      <c r="U5" s="777"/>
      <c r="V5" s="778"/>
      <c r="W5" s="475"/>
      <c r="X5" s="476"/>
      <c r="Y5" s="477"/>
      <c r="Z5" s="776" t="s">
        <v>269</v>
      </c>
      <c r="AA5" s="777"/>
      <c r="AB5" s="778"/>
      <c r="AC5" s="475"/>
      <c r="AD5" s="476"/>
      <c r="AE5" s="477"/>
      <c r="AF5" s="776"/>
      <c r="AG5" s="777"/>
      <c r="AH5" s="778"/>
      <c r="AI5" s="776" t="s">
        <v>77</v>
      </c>
      <c r="AJ5" s="777"/>
      <c r="AK5" s="778"/>
      <c r="AL5" s="776" t="s">
        <v>2</v>
      </c>
      <c r="AM5" s="777"/>
      <c r="AN5" s="778"/>
      <c r="AO5" s="776" t="s">
        <v>2</v>
      </c>
      <c r="AP5" s="777"/>
      <c r="AQ5" s="778"/>
      <c r="AR5" s="509"/>
      <c r="AS5" s="515"/>
      <c r="AT5" s="775"/>
      <c r="AU5" s="775"/>
      <c r="AV5" s="775"/>
      <c r="AW5" s="771"/>
      <c r="AX5" s="771"/>
      <c r="AY5" s="771"/>
      <c r="AZ5" s="771"/>
      <c r="BA5" s="771"/>
      <c r="BB5" s="771"/>
      <c r="BC5" s="771"/>
      <c r="BD5" s="771"/>
      <c r="BE5" s="771"/>
      <c r="BF5" s="771"/>
      <c r="BG5" s="771"/>
      <c r="BH5" s="771"/>
      <c r="BI5" s="771"/>
      <c r="BJ5" s="771"/>
      <c r="BK5" s="771"/>
    </row>
    <row r="6" spans="1:63" ht="21" customHeight="1" x14ac:dyDescent="0.3">
      <c r="A6" s="478"/>
      <c r="B6" s="772" t="s">
        <v>270</v>
      </c>
      <c r="C6" s="773"/>
      <c r="D6" s="774"/>
      <c r="E6" s="772" t="s">
        <v>271</v>
      </c>
      <c r="F6" s="773"/>
      <c r="G6" s="774"/>
      <c r="H6" s="772" t="s">
        <v>271</v>
      </c>
      <c r="I6" s="773"/>
      <c r="J6" s="774"/>
      <c r="K6" s="772" t="s">
        <v>272</v>
      </c>
      <c r="L6" s="773"/>
      <c r="M6" s="774"/>
      <c r="N6" s="772" t="s">
        <v>96</v>
      </c>
      <c r="O6" s="773"/>
      <c r="P6" s="774"/>
      <c r="Q6" s="772" t="s">
        <v>65</v>
      </c>
      <c r="R6" s="773"/>
      <c r="S6" s="774"/>
      <c r="T6" s="772" t="s">
        <v>273</v>
      </c>
      <c r="U6" s="773"/>
      <c r="V6" s="774"/>
      <c r="W6" s="772" t="s">
        <v>70</v>
      </c>
      <c r="X6" s="773"/>
      <c r="Y6" s="774"/>
      <c r="Z6" s="772" t="s">
        <v>270</v>
      </c>
      <c r="AA6" s="773"/>
      <c r="AB6" s="774"/>
      <c r="AC6" s="772" t="s">
        <v>76</v>
      </c>
      <c r="AD6" s="773"/>
      <c r="AE6" s="774"/>
      <c r="AF6" s="772" t="s">
        <v>72</v>
      </c>
      <c r="AG6" s="773"/>
      <c r="AH6" s="774"/>
      <c r="AI6" s="772" t="s">
        <v>271</v>
      </c>
      <c r="AJ6" s="773"/>
      <c r="AK6" s="774"/>
      <c r="AL6" s="772" t="s">
        <v>274</v>
      </c>
      <c r="AM6" s="773"/>
      <c r="AN6" s="774"/>
      <c r="AO6" s="772" t="s">
        <v>275</v>
      </c>
      <c r="AP6" s="773"/>
      <c r="AQ6" s="774"/>
      <c r="AR6" s="509"/>
      <c r="AS6" s="515"/>
      <c r="AT6" s="775"/>
      <c r="AU6" s="775"/>
      <c r="AV6" s="775"/>
      <c r="AW6" s="771"/>
      <c r="AX6" s="771"/>
      <c r="AY6" s="771"/>
      <c r="AZ6" s="771"/>
      <c r="BA6" s="771"/>
      <c r="BB6" s="771"/>
      <c r="BC6" s="771"/>
      <c r="BD6" s="771"/>
      <c r="BE6" s="771"/>
      <c r="BF6" s="771"/>
      <c r="BG6" s="771"/>
      <c r="BH6" s="771"/>
      <c r="BI6" s="771"/>
      <c r="BJ6" s="771"/>
      <c r="BK6" s="771"/>
    </row>
    <row r="7" spans="1:63" ht="18.75" customHeight="1" x14ac:dyDescent="0.3">
      <c r="A7" s="478"/>
      <c r="B7" s="516"/>
      <c r="C7" s="516"/>
      <c r="D7" s="479" t="s">
        <v>85</v>
      </c>
      <c r="E7" s="516"/>
      <c r="F7" s="516"/>
      <c r="G7" s="479" t="s">
        <v>85</v>
      </c>
      <c r="H7" s="516"/>
      <c r="I7" s="516"/>
      <c r="J7" s="479" t="s">
        <v>85</v>
      </c>
      <c r="K7" s="516"/>
      <c r="L7" s="516"/>
      <c r="M7" s="479" t="s">
        <v>85</v>
      </c>
      <c r="N7" s="516"/>
      <c r="O7" s="516"/>
      <c r="P7" s="479" t="s">
        <v>85</v>
      </c>
      <c r="Q7" s="516"/>
      <c r="R7" s="516"/>
      <c r="S7" s="479" t="s">
        <v>85</v>
      </c>
      <c r="T7" s="516"/>
      <c r="U7" s="516"/>
      <c r="V7" s="479" t="s">
        <v>85</v>
      </c>
      <c r="W7" s="516"/>
      <c r="X7" s="516"/>
      <c r="Y7" s="479" t="s">
        <v>85</v>
      </c>
      <c r="Z7" s="516"/>
      <c r="AA7" s="516"/>
      <c r="AB7" s="479" t="s">
        <v>85</v>
      </c>
      <c r="AC7" s="516"/>
      <c r="AD7" s="516"/>
      <c r="AE7" s="479" t="s">
        <v>85</v>
      </c>
      <c r="AF7" s="516"/>
      <c r="AG7" s="516"/>
      <c r="AH7" s="479" t="s">
        <v>85</v>
      </c>
      <c r="AI7" s="516"/>
      <c r="AJ7" s="516"/>
      <c r="AK7" s="479" t="s">
        <v>85</v>
      </c>
      <c r="AL7" s="516"/>
      <c r="AM7" s="516"/>
      <c r="AN7" s="479" t="s">
        <v>85</v>
      </c>
      <c r="AO7" s="516"/>
      <c r="AP7" s="516"/>
      <c r="AQ7" s="479" t="s">
        <v>85</v>
      </c>
      <c r="AR7" s="509"/>
      <c r="AS7" s="515"/>
      <c r="AT7" s="515"/>
      <c r="AU7" s="515"/>
      <c r="AV7" s="515"/>
      <c r="AW7" s="341"/>
      <c r="AX7" s="341"/>
      <c r="AY7" s="341"/>
      <c r="AZ7" s="341"/>
      <c r="BA7" s="341"/>
      <c r="BB7" s="341"/>
      <c r="BC7" s="341"/>
      <c r="BD7" s="341"/>
      <c r="BE7" s="341"/>
      <c r="BF7" s="341"/>
      <c r="BG7" s="341"/>
      <c r="BH7" s="341"/>
      <c r="BI7" s="341"/>
      <c r="BJ7" s="341"/>
      <c r="BK7" s="341"/>
    </row>
    <row r="8" spans="1:63" ht="18.75" customHeight="1" x14ac:dyDescent="0.25">
      <c r="A8" s="517" t="s">
        <v>276</v>
      </c>
      <c r="B8" s="518">
        <v>2017</v>
      </c>
      <c r="C8" s="518">
        <v>2018</v>
      </c>
      <c r="D8" s="480" t="s">
        <v>87</v>
      </c>
      <c r="E8" s="518">
        <v>2017</v>
      </c>
      <c r="F8" s="518">
        <v>2018</v>
      </c>
      <c r="G8" s="480" t="s">
        <v>87</v>
      </c>
      <c r="H8" s="518">
        <v>2017</v>
      </c>
      <c r="I8" s="518">
        <v>2018</v>
      </c>
      <c r="J8" s="480" t="s">
        <v>87</v>
      </c>
      <c r="K8" s="518">
        <v>2017</v>
      </c>
      <c r="L8" s="518">
        <v>2018</v>
      </c>
      <c r="M8" s="480" t="s">
        <v>87</v>
      </c>
      <c r="N8" s="518">
        <v>2017</v>
      </c>
      <c r="O8" s="518">
        <v>2018</v>
      </c>
      <c r="P8" s="480" t="s">
        <v>87</v>
      </c>
      <c r="Q8" s="518">
        <v>2017</v>
      </c>
      <c r="R8" s="518">
        <v>2018</v>
      </c>
      <c r="S8" s="480" t="s">
        <v>87</v>
      </c>
      <c r="T8" s="518">
        <v>2017</v>
      </c>
      <c r="U8" s="518">
        <v>2018</v>
      </c>
      <c r="V8" s="480" t="s">
        <v>87</v>
      </c>
      <c r="W8" s="518">
        <v>2017</v>
      </c>
      <c r="X8" s="518">
        <v>2018</v>
      </c>
      <c r="Y8" s="480" t="s">
        <v>87</v>
      </c>
      <c r="Z8" s="518">
        <v>2017</v>
      </c>
      <c r="AA8" s="518">
        <v>2018</v>
      </c>
      <c r="AB8" s="480" t="s">
        <v>87</v>
      </c>
      <c r="AC8" s="518">
        <v>2017</v>
      </c>
      <c r="AD8" s="518">
        <v>2018</v>
      </c>
      <c r="AE8" s="480" t="s">
        <v>87</v>
      </c>
      <c r="AF8" s="518">
        <v>2017</v>
      </c>
      <c r="AG8" s="518">
        <v>2018</v>
      </c>
      <c r="AH8" s="480" t="s">
        <v>87</v>
      </c>
      <c r="AI8" s="518">
        <v>2017</v>
      </c>
      <c r="AJ8" s="518">
        <v>2018</v>
      </c>
      <c r="AK8" s="480" t="s">
        <v>87</v>
      </c>
      <c r="AL8" s="518">
        <v>2017</v>
      </c>
      <c r="AM8" s="518">
        <v>2018</v>
      </c>
      <c r="AN8" s="480" t="s">
        <v>87</v>
      </c>
      <c r="AO8" s="518">
        <v>2014</v>
      </c>
      <c r="AP8" s="518">
        <v>2015</v>
      </c>
      <c r="AQ8" s="480" t="s">
        <v>87</v>
      </c>
      <c r="AR8" s="509"/>
      <c r="AS8" s="519"/>
      <c r="AT8" s="520"/>
      <c r="AU8" s="520"/>
      <c r="AV8" s="519"/>
      <c r="AW8" s="299"/>
      <c r="AX8" s="299"/>
      <c r="AY8" s="298"/>
      <c r="AZ8" s="299"/>
      <c r="BA8" s="299"/>
      <c r="BB8" s="298"/>
      <c r="BC8" s="299"/>
      <c r="BD8" s="299"/>
      <c r="BE8" s="298"/>
      <c r="BF8" s="299"/>
      <c r="BG8" s="299"/>
      <c r="BH8" s="298"/>
      <c r="BI8" s="299"/>
      <c r="BJ8" s="299"/>
      <c r="BK8" s="298"/>
    </row>
    <row r="9" spans="1:63" ht="18.75" customHeight="1" x14ac:dyDescent="0.3">
      <c r="A9" s="521"/>
      <c r="B9" s="522"/>
      <c r="C9" s="523"/>
      <c r="D9" s="523"/>
      <c r="E9" s="522"/>
      <c r="F9" s="523"/>
      <c r="G9" s="523"/>
      <c r="H9" s="522"/>
      <c r="I9" s="523"/>
      <c r="J9" s="523"/>
      <c r="K9" s="482"/>
      <c r="L9" s="483"/>
      <c r="M9" s="483"/>
      <c r="N9" s="524"/>
      <c r="O9" s="525"/>
      <c r="P9" s="371"/>
      <c r="Q9" s="482"/>
      <c r="R9" s="483"/>
      <c r="S9" s="371"/>
      <c r="T9" s="482"/>
      <c r="U9" s="483"/>
      <c r="V9" s="371"/>
      <c r="W9" s="482"/>
      <c r="X9" s="483"/>
      <c r="Y9" s="371"/>
      <c r="Z9" s="482"/>
      <c r="AA9" s="483"/>
      <c r="AB9" s="371"/>
      <c r="AC9" s="482"/>
      <c r="AD9" s="483"/>
      <c r="AE9" s="371"/>
      <c r="AF9" s="482"/>
      <c r="AG9" s="483"/>
      <c r="AH9" s="371"/>
      <c r="AI9" s="482"/>
      <c r="AJ9" s="483"/>
      <c r="AK9" s="371"/>
      <c r="AL9" s="483"/>
      <c r="AM9" s="483"/>
      <c r="AN9" s="371"/>
      <c r="AO9" s="483"/>
      <c r="AP9" s="483"/>
      <c r="AQ9" s="371"/>
      <c r="AR9" s="509"/>
      <c r="AS9" s="509"/>
      <c r="AT9" s="474"/>
      <c r="AU9" s="474"/>
      <c r="AV9" s="474"/>
    </row>
    <row r="10" spans="1:63" s="105" customFormat="1" ht="18.75" customHeight="1" x14ac:dyDescent="0.3">
      <c r="A10" s="506" t="s">
        <v>277</v>
      </c>
      <c r="B10" s="526"/>
      <c r="C10" s="496"/>
      <c r="D10" s="496"/>
      <c r="E10" s="526"/>
      <c r="F10" s="496"/>
      <c r="G10" s="496"/>
      <c r="H10" s="526"/>
      <c r="I10" s="496"/>
      <c r="J10" s="496"/>
      <c r="K10" s="482"/>
      <c r="L10" s="483"/>
      <c r="M10" s="483"/>
      <c r="N10" s="524"/>
      <c r="O10" s="525"/>
      <c r="P10" s="371"/>
      <c r="Q10" s="482"/>
      <c r="R10" s="483"/>
      <c r="S10" s="371"/>
      <c r="T10" s="482"/>
      <c r="U10" s="483"/>
      <c r="V10" s="371"/>
      <c r="W10" s="482"/>
      <c r="X10" s="483"/>
      <c r="Y10" s="371"/>
      <c r="Z10" s="482"/>
      <c r="AA10" s="483"/>
      <c r="AB10" s="371"/>
      <c r="AC10" s="482"/>
      <c r="AD10" s="483"/>
      <c r="AE10" s="371"/>
      <c r="AF10" s="482"/>
      <c r="AG10" s="483"/>
      <c r="AH10" s="371"/>
      <c r="AI10" s="482"/>
      <c r="AJ10" s="483"/>
      <c r="AK10" s="371"/>
      <c r="AL10" s="483"/>
      <c r="AM10" s="483"/>
      <c r="AN10" s="371"/>
      <c r="AO10" s="483"/>
      <c r="AP10" s="483"/>
      <c r="AQ10" s="371"/>
      <c r="AR10" s="527"/>
      <c r="AS10" s="527"/>
      <c r="AT10" s="486"/>
      <c r="AU10" s="486"/>
      <c r="AV10" s="486"/>
    </row>
    <row r="11" spans="1:63" s="105" customFormat="1" ht="18.75" customHeight="1" x14ac:dyDescent="0.3">
      <c r="A11" s="528"/>
      <c r="B11" s="526"/>
      <c r="C11" s="496"/>
      <c r="D11" s="496"/>
      <c r="E11" s="526"/>
      <c r="F11" s="496"/>
      <c r="G11" s="496"/>
      <c r="H11" s="526"/>
      <c r="I11" s="496"/>
      <c r="J11" s="496"/>
      <c r="K11" s="482"/>
      <c r="L11" s="483"/>
      <c r="M11" s="483"/>
      <c r="N11" s="524"/>
      <c r="O11" s="525"/>
      <c r="P11" s="371"/>
      <c r="Q11" s="482"/>
      <c r="R11" s="483"/>
      <c r="S11" s="371"/>
      <c r="T11" s="482"/>
      <c r="U11" s="483"/>
      <c r="V11" s="371"/>
      <c r="W11" s="482"/>
      <c r="X11" s="483"/>
      <c r="Y11" s="371"/>
      <c r="Z11" s="482"/>
      <c r="AA11" s="483"/>
      <c r="AB11" s="371"/>
      <c r="AC11" s="482"/>
      <c r="AD11" s="483"/>
      <c r="AE11" s="371"/>
      <c r="AF11" s="482"/>
      <c r="AG11" s="483"/>
      <c r="AH11" s="371"/>
      <c r="AI11" s="482"/>
      <c r="AJ11" s="483"/>
      <c r="AK11" s="371"/>
      <c r="AL11" s="483"/>
      <c r="AM11" s="483"/>
      <c r="AN11" s="371"/>
      <c r="AO11" s="483"/>
      <c r="AP11" s="483"/>
      <c r="AQ11" s="371"/>
      <c r="AR11" s="527"/>
      <c r="AS11" s="527"/>
      <c r="AT11" s="486"/>
      <c r="AU11" s="486"/>
      <c r="AV11" s="486"/>
    </row>
    <row r="12" spans="1:63" s="105" customFormat="1" ht="20.100000000000001" customHeight="1" x14ac:dyDescent="0.3">
      <c r="A12" s="506" t="s">
        <v>278</v>
      </c>
      <c r="B12" s="529"/>
      <c r="C12" s="530"/>
      <c r="D12" s="530"/>
      <c r="E12" s="529"/>
      <c r="F12" s="530"/>
      <c r="G12" s="530"/>
      <c r="H12" s="529"/>
      <c r="I12" s="530"/>
      <c r="J12" s="530"/>
      <c r="K12" s="482"/>
      <c r="L12" s="483"/>
      <c r="M12" s="483"/>
      <c r="N12" s="524"/>
      <c r="O12" s="525"/>
      <c r="P12" s="371"/>
      <c r="Q12" s="482"/>
      <c r="R12" s="483"/>
      <c r="S12" s="371"/>
      <c r="T12" s="482"/>
      <c r="U12" s="483"/>
      <c r="V12" s="371"/>
      <c r="W12" s="482"/>
      <c r="X12" s="483"/>
      <c r="Y12" s="371"/>
      <c r="Z12" s="482"/>
      <c r="AA12" s="483"/>
      <c r="AB12" s="371"/>
      <c r="AC12" s="482"/>
      <c r="AD12" s="483"/>
      <c r="AE12" s="371"/>
      <c r="AF12" s="482"/>
      <c r="AG12" s="483"/>
      <c r="AH12" s="371"/>
      <c r="AI12" s="482"/>
      <c r="AJ12" s="483"/>
      <c r="AK12" s="371"/>
      <c r="AL12" s="483"/>
      <c r="AM12" s="483"/>
      <c r="AN12" s="371"/>
      <c r="AO12" s="483"/>
      <c r="AP12" s="483"/>
      <c r="AQ12" s="371"/>
      <c r="AR12" s="527"/>
      <c r="AS12" s="527"/>
      <c r="AT12" s="486"/>
      <c r="AU12" s="486"/>
      <c r="AV12" s="486"/>
    </row>
    <row r="13" spans="1:63" s="301" customFormat="1" ht="20.100000000000001" customHeight="1" x14ac:dyDescent="0.3">
      <c r="A13" s="506" t="s">
        <v>279</v>
      </c>
      <c r="B13" s="531"/>
      <c r="C13" s="532"/>
      <c r="D13" s="532"/>
      <c r="E13" s="531"/>
      <c r="F13" s="532"/>
      <c r="G13" s="532"/>
      <c r="H13" s="531"/>
      <c r="I13" s="532"/>
      <c r="J13" s="532"/>
      <c r="K13" s="533"/>
      <c r="L13" s="534"/>
      <c r="M13" s="534"/>
      <c r="N13" s="535"/>
      <c r="O13" s="536"/>
      <c r="P13" s="487"/>
      <c r="Q13" s="533"/>
      <c r="R13" s="534"/>
      <c r="S13" s="487"/>
      <c r="T13" s="533"/>
      <c r="U13" s="534"/>
      <c r="V13" s="487"/>
      <c r="W13" s="533"/>
      <c r="X13" s="534"/>
      <c r="Y13" s="487"/>
      <c r="Z13" s="533"/>
      <c r="AA13" s="534"/>
      <c r="AB13" s="487"/>
      <c r="AC13" s="533"/>
      <c r="AD13" s="534"/>
      <c r="AE13" s="487"/>
      <c r="AF13" s="533"/>
      <c r="AG13" s="534"/>
      <c r="AH13" s="487"/>
      <c r="AI13" s="533"/>
      <c r="AJ13" s="534"/>
      <c r="AK13" s="487"/>
      <c r="AL13" s="534"/>
      <c r="AM13" s="534"/>
      <c r="AN13" s="487"/>
      <c r="AO13" s="534"/>
      <c r="AP13" s="534"/>
      <c r="AQ13" s="487"/>
      <c r="AR13" s="537"/>
      <c r="AS13" s="537"/>
      <c r="AT13" s="491"/>
      <c r="AU13" s="491"/>
      <c r="AV13" s="491"/>
    </row>
    <row r="14" spans="1:63" s="301" customFormat="1" ht="20.100000000000001" customHeight="1" x14ac:dyDescent="0.3">
      <c r="A14" s="504" t="s">
        <v>280</v>
      </c>
      <c r="B14" s="490"/>
      <c r="C14" s="487"/>
      <c r="D14" s="487"/>
      <c r="E14" s="490"/>
      <c r="F14" s="487"/>
      <c r="G14" s="487"/>
      <c r="H14" s="490"/>
      <c r="I14" s="487"/>
      <c r="J14" s="487"/>
      <c r="K14" s="533"/>
      <c r="L14" s="534"/>
      <c r="M14" s="534"/>
      <c r="N14" s="535"/>
      <c r="O14" s="536"/>
      <c r="P14" s="487"/>
      <c r="Q14" s="533">
        <v>991.15764475000003</v>
      </c>
      <c r="R14" s="534">
        <v>854.37676675</v>
      </c>
      <c r="S14" s="487">
        <f t="shared" ref="S14:S28" si="0">IF(Q14=0, "    ---- ", IF(ABS(ROUND(100/Q14*R14-100,1))&lt;999,ROUND(100/Q14*R14-100,1),IF(ROUND(100/Q14*R14-100,1)&gt;999,999,-999)))</f>
        <v>-13.8</v>
      </c>
      <c r="T14" s="533"/>
      <c r="U14" s="534"/>
      <c r="V14" s="487"/>
      <c r="W14" s="533"/>
      <c r="X14" s="534"/>
      <c r="Y14" s="487"/>
      <c r="Z14" s="533"/>
      <c r="AA14" s="534"/>
      <c r="AB14" s="487"/>
      <c r="AC14" s="533"/>
      <c r="AD14" s="534"/>
      <c r="AE14" s="487"/>
      <c r="AF14" s="533">
        <v>1.6040000000000001</v>
      </c>
      <c r="AG14" s="534">
        <v>1.5920000000000001</v>
      </c>
      <c r="AH14" s="487">
        <f t="shared" ref="AH14:AH28" si="1">IF(AF14=0, "    ---- ", IF(ABS(ROUND(100/AF14*AG14-100,1))&lt;999,ROUND(100/AF14*AG14-100,1),IF(ROUND(100/AF14*AG14-100,1)&gt;999,999,-999)))</f>
        <v>-0.7</v>
      </c>
      <c r="AI14" s="533"/>
      <c r="AJ14" s="534"/>
      <c r="AK14" s="487"/>
      <c r="AL14" s="534">
        <f>B14+E14+H14+K14+Q14+T14+W14+Z14+AF14+AI14</f>
        <v>992.76164475000007</v>
      </c>
      <c r="AM14" s="534">
        <f>C14+F14+I14+L14+R14+U14+X14+AA14+AG14+AJ14</f>
        <v>855.96876674999999</v>
      </c>
      <c r="AN14" s="487">
        <f t="shared" ref="AN14:AN28" si="2">IF(AL14=0, "    ---- ", IF(ABS(ROUND(100/AL14*AM14-100,1))&lt;999,ROUND(100/AL14*AM14-100,1),IF(ROUND(100/AL14*AM14-100,1)&gt;999,999,-999)))</f>
        <v>-13.8</v>
      </c>
      <c r="AO14" s="534">
        <f>B14+E14+H14+K14+N14+Q14+T14+W14+Z14+AC14+AF14+AI14</f>
        <v>992.76164475000007</v>
      </c>
      <c r="AP14" s="534">
        <f>C14+F14+I14+L14+O14+R14+U14+X14+AA14+AD14+AG14+AJ14</f>
        <v>855.96876674999999</v>
      </c>
      <c r="AQ14" s="487">
        <f t="shared" ref="AQ14:AQ29" si="3">IF(AO14=0, "    ---- ", IF(ABS(ROUND(100/AO14*AP14-100,1))&lt;999,ROUND(100/AO14*AP14-100,1),IF(ROUND(100/AO14*AP14-100,1)&gt;999,999,-999)))</f>
        <v>-13.8</v>
      </c>
      <c r="AR14" s="537"/>
      <c r="AS14" s="537"/>
      <c r="AT14" s="491"/>
      <c r="AU14" s="491"/>
      <c r="AV14" s="491"/>
    </row>
    <row r="15" spans="1:63" s="301" customFormat="1" ht="20.100000000000001" customHeight="1" x14ac:dyDescent="0.3">
      <c r="A15" s="504" t="s">
        <v>281</v>
      </c>
      <c r="B15" s="490"/>
      <c r="C15" s="487"/>
      <c r="D15" s="487"/>
      <c r="E15" s="490">
        <v>68</v>
      </c>
      <c r="F15" s="487">
        <v>89.585999999999999</v>
      </c>
      <c r="G15" s="487">
        <f t="shared" ref="G15:G28" si="4">IF(E15=0, "    ---- ", IF(ABS(ROUND(100/E15*F15-100,1))&lt;999,ROUND(100/E15*F15-100,1),IF(ROUND(100/E15*F15-100,1)&gt;999,999,-999)))</f>
        <v>31.7</v>
      </c>
      <c r="H15" s="490"/>
      <c r="I15" s="487"/>
      <c r="J15" s="487"/>
      <c r="K15" s="533"/>
      <c r="L15" s="534"/>
      <c r="M15" s="534"/>
      <c r="N15" s="535"/>
      <c r="O15" s="536"/>
      <c r="P15" s="487"/>
      <c r="Q15" s="533">
        <v>5941.5990547199999</v>
      </c>
      <c r="R15" s="534">
        <v>6468.8348577200004</v>
      </c>
      <c r="S15" s="487">
        <f t="shared" si="0"/>
        <v>8.9</v>
      </c>
      <c r="T15" s="533"/>
      <c r="U15" s="534"/>
      <c r="V15" s="487"/>
      <c r="W15" s="533"/>
      <c r="X15" s="534"/>
      <c r="Y15" s="487"/>
      <c r="Z15" s="533">
        <v>976</v>
      </c>
      <c r="AA15" s="534">
        <v>1006</v>
      </c>
      <c r="AB15" s="487">
        <f t="shared" ref="AB15:AB28" si="5">IF(Z15=0, "    ---- ", IF(ABS(ROUND(100/Z15*AA15-100,1))&lt;999,ROUND(100/Z15*AA15-100,1),IF(ROUND(100/Z15*AA15-100,1)&gt;999,999,-999)))</f>
        <v>3.1</v>
      </c>
      <c r="AC15" s="533"/>
      <c r="AD15" s="534"/>
      <c r="AE15" s="487"/>
      <c r="AF15" s="533">
        <v>931.01099999999997</v>
      </c>
      <c r="AG15" s="534">
        <v>1108.922</v>
      </c>
      <c r="AH15" s="487">
        <f t="shared" si="1"/>
        <v>19.100000000000001</v>
      </c>
      <c r="AI15" s="533">
        <v>13515.3</v>
      </c>
      <c r="AJ15" s="534">
        <v>12832</v>
      </c>
      <c r="AK15" s="487">
        <f t="shared" ref="AK15:AK28" si="6">IF(AI15=0, "    ---- ", IF(ABS(ROUND(100/AI15*AJ15-100,1))&lt;999,ROUND(100/AI15*AJ15-100,1),IF(ROUND(100/AI15*AJ15-100,1)&gt;999,999,-999)))</f>
        <v>-5.0999999999999996</v>
      </c>
      <c r="AL15" s="534">
        <f t="shared" ref="AL15:AM29" si="7">B15+E15+H15+K15+Q15+T15+W15+Z15+AF15+AI15</f>
        <v>21431.91005472</v>
      </c>
      <c r="AM15" s="534">
        <f t="shared" si="7"/>
        <v>21505.342857720003</v>
      </c>
      <c r="AN15" s="487">
        <f t="shared" si="2"/>
        <v>0.3</v>
      </c>
      <c r="AO15" s="534">
        <f t="shared" ref="AO15:AP29" si="8">B15+E15+H15+K15+N15+Q15+T15+W15+Z15+AC15+AF15+AI15</f>
        <v>21431.91005472</v>
      </c>
      <c r="AP15" s="534">
        <f t="shared" si="8"/>
        <v>21505.342857720003</v>
      </c>
      <c r="AQ15" s="487">
        <f t="shared" si="3"/>
        <v>0.3</v>
      </c>
      <c r="AR15" s="537"/>
      <c r="AS15" s="537"/>
      <c r="AT15" s="491"/>
      <c r="AU15" s="491"/>
      <c r="AV15" s="491"/>
    </row>
    <row r="16" spans="1:63" s="301" customFormat="1" ht="20.100000000000001" customHeight="1" x14ac:dyDescent="0.3">
      <c r="A16" s="504" t="s">
        <v>282</v>
      </c>
      <c r="B16" s="490"/>
      <c r="C16" s="487"/>
      <c r="D16" s="487"/>
      <c r="E16" s="490">
        <v>4395.0910000000003</v>
      </c>
      <c r="F16" s="487">
        <f>SUM(F17+F19)</f>
        <v>3633.915</v>
      </c>
      <c r="G16" s="487">
        <f t="shared" si="4"/>
        <v>-17.3</v>
      </c>
      <c r="H16" s="490">
        <v>33.201999999999998</v>
      </c>
      <c r="I16" s="487">
        <f>SUM(I17+I19)</f>
        <v>60.356000000000002</v>
      </c>
      <c r="J16" s="487">
        <f t="shared" ref="J16:J17" si="9">IF(H16=0, "    ---- ", IF(ABS(ROUND(100/H16*I16-100,1))&lt;999,ROUND(100/H16*I16-100,1),IF(ROUND(100/H16*I16-100,1)&gt;999,999,-999)))</f>
        <v>81.8</v>
      </c>
      <c r="K16" s="533"/>
      <c r="L16" s="534"/>
      <c r="M16" s="534"/>
      <c r="N16" s="535"/>
      <c r="O16" s="536"/>
      <c r="P16" s="487"/>
      <c r="Q16" s="533">
        <v>14096.017248160002</v>
      </c>
      <c r="R16" s="534">
        <f>SUM(R17+R19)</f>
        <v>16675.42128499</v>
      </c>
      <c r="S16" s="487">
        <f t="shared" si="0"/>
        <v>18.3</v>
      </c>
      <c r="T16" s="533">
        <v>153.30000000000001</v>
      </c>
      <c r="U16" s="534">
        <f>SUM(U17+U19)</f>
        <v>226.6</v>
      </c>
      <c r="V16" s="487">
        <f t="shared" ref="V16" si="10">IF(T16=0, "    ---- ", IF(ABS(ROUND(100/T16*U16-100,1))&lt;999,ROUND(100/T16*U16-100,1),IF(ROUND(100/T16*U16-100,1)&gt;999,999,-999)))</f>
        <v>47.8</v>
      </c>
      <c r="W16" s="533"/>
      <c r="X16" s="534"/>
      <c r="Y16" s="487"/>
      <c r="Z16" s="533">
        <v>4362</v>
      </c>
      <c r="AA16" s="534">
        <f>SUM(AA17+AA19)</f>
        <v>4429</v>
      </c>
      <c r="AB16" s="487">
        <f t="shared" si="5"/>
        <v>1.5</v>
      </c>
      <c r="AC16" s="533"/>
      <c r="AD16" s="534"/>
      <c r="AE16" s="487"/>
      <c r="AF16" s="533">
        <v>1055.087</v>
      </c>
      <c r="AG16" s="534">
        <f>SUM(AG17+AG19)</f>
        <v>1231.049</v>
      </c>
      <c r="AH16" s="487">
        <f t="shared" si="1"/>
        <v>16.7</v>
      </c>
      <c r="AI16" s="533">
        <v>3752</v>
      </c>
      <c r="AJ16" s="534">
        <f>SUM(AJ17+AJ19)</f>
        <v>4337</v>
      </c>
      <c r="AK16" s="487">
        <f t="shared" si="6"/>
        <v>15.6</v>
      </c>
      <c r="AL16" s="534">
        <f t="shared" si="7"/>
        <v>27846.697248160002</v>
      </c>
      <c r="AM16" s="534">
        <f t="shared" si="7"/>
        <v>30593.341284989998</v>
      </c>
      <c r="AN16" s="487">
        <f t="shared" si="2"/>
        <v>9.9</v>
      </c>
      <c r="AO16" s="534">
        <f t="shared" si="8"/>
        <v>27846.697248160002</v>
      </c>
      <c r="AP16" s="534">
        <f t="shared" si="8"/>
        <v>30593.341284989998</v>
      </c>
      <c r="AQ16" s="487">
        <f t="shared" si="3"/>
        <v>9.9</v>
      </c>
      <c r="AR16" s="537"/>
      <c r="AS16" s="537"/>
      <c r="AT16" s="491"/>
      <c r="AU16" s="491"/>
      <c r="AV16" s="491"/>
    </row>
    <row r="17" spans="1:49" s="301" customFormat="1" ht="20.100000000000001" customHeight="1" x14ac:dyDescent="0.3">
      <c r="A17" s="504" t="s">
        <v>283</v>
      </c>
      <c r="B17" s="490"/>
      <c r="C17" s="487"/>
      <c r="D17" s="487"/>
      <c r="E17" s="490">
        <v>2542.299</v>
      </c>
      <c r="F17" s="487">
        <v>1795.079</v>
      </c>
      <c r="G17" s="487">
        <f t="shared" si="4"/>
        <v>-29.4</v>
      </c>
      <c r="H17" s="490">
        <v>33.201999999999998</v>
      </c>
      <c r="I17" s="487">
        <v>60.356000000000002</v>
      </c>
      <c r="J17" s="487">
        <f t="shared" si="9"/>
        <v>81.8</v>
      </c>
      <c r="K17" s="533"/>
      <c r="L17" s="534"/>
      <c r="M17" s="534"/>
      <c r="N17" s="535"/>
      <c r="O17" s="536"/>
      <c r="P17" s="487"/>
      <c r="Q17" s="533">
        <v>6523.9951552700004</v>
      </c>
      <c r="R17" s="534">
        <v>6927.1890667899997</v>
      </c>
      <c r="S17" s="487">
        <f t="shared" si="0"/>
        <v>6.2</v>
      </c>
      <c r="T17" s="533"/>
      <c r="U17" s="534"/>
      <c r="V17" s="487"/>
      <c r="W17" s="533"/>
      <c r="X17" s="534"/>
      <c r="Y17" s="487"/>
      <c r="Z17" s="533">
        <v>369</v>
      </c>
      <c r="AA17" s="534">
        <v>186</v>
      </c>
      <c r="AB17" s="487">
        <f t="shared" si="5"/>
        <v>-49.6</v>
      </c>
      <c r="AC17" s="533"/>
      <c r="AD17" s="534"/>
      <c r="AE17" s="487"/>
      <c r="AF17" s="533">
        <v>180.20099999999999</v>
      </c>
      <c r="AG17" s="534">
        <v>130.03700000000001</v>
      </c>
      <c r="AH17" s="487">
        <f t="shared" si="1"/>
        <v>-27.8</v>
      </c>
      <c r="AI17" s="533"/>
      <c r="AJ17" s="534"/>
      <c r="AK17" s="487"/>
      <c r="AL17" s="534">
        <f t="shared" si="7"/>
        <v>9648.6971552699997</v>
      </c>
      <c r="AM17" s="534">
        <f t="shared" si="7"/>
        <v>9098.6610667900004</v>
      </c>
      <c r="AN17" s="487">
        <f t="shared" si="2"/>
        <v>-5.7</v>
      </c>
      <c r="AO17" s="534">
        <f t="shared" si="8"/>
        <v>9648.6971552699997</v>
      </c>
      <c r="AP17" s="534">
        <f t="shared" si="8"/>
        <v>9098.6610667900004</v>
      </c>
      <c r="AQ17" s="487">
        <f t="shared" si="3"/>
        <v>-5.7</v>
      </c>
      <c r="AR17" s="537"/>
      <c r="AS17" s="537"/>
      <c r="AT17" s="491"/>
      <c r="AU17" s="491"/>
      <c r="AV17" s="491"/>
    </row>
    <row r="18" spans="1:49" s="301" customFormat="1" ht="20.100000000000001" customHeight="1" x14ac:dyDescent="0.3">
      <c r="A18" s="504" t="s">
        <v>284</v>
      </c>
      <c r="B18" s="490"/>
      <c r="C18" s="487"/>
      <c r="D18" s="487"/>
      <c r="E18" s="490">
        <v>2542.299</v>
      </c>
      <c r="F18" s="487">
        <v>1795.079</v>
      </c>
      <c r="G18" s="487">
        <f t="shared" si="4"/>
        <v>-29.4</v>
      </c>
      <c r="H18" s="490"/>
      <c r="I18" s="487"/>
      <c r="J18" s="487"/>
      <c r="K18" s="533"/>
      <c r="L18" s="534"/>
      <c r="M18" s="534"/>
      <c r="N18" s="535"/>
      <c r="O18" s="536"/>
      <c r="P18" s="487"/>
      <c r="Q18" s="533">
        <v>6523.9951552700004</v>
      </c>
      <c r="R18" s="534">
        <v>6927.1890667899997</v>
      </c>
      <c r="S18" s="487">
        <f t="shared" si="0"/>
        <v>6.2</v>
      </c>
      <c r="T18" s="533"/>
      <c r="U18" s="534"/>
      <c r="V18" s="487"/>
      <c r="W18" s="533"/>
      <c r="X18" s="534"/>
      <c r="Y18" s="487"/>
      <c r="Z18" s="533"/>
      <c r="AA18" s="534"/>
      <c r="AB18" s="487"/>
      <c r="AC18" s="533"/>
      <c r="AD18" s="534"/>
      <c r="AE18" s="487"/>
      <c r="AF18" s="533">
        <v>27.969212660000014</v>
      </c>
      <c r="AG18" s="534">
        <v>27.979119110000013</v>
      </c>
      <c r="AH18" s="487">
        <f t="shared" si="1"/>
        <v>0</v>
      </c>
      <c r="AI18" s="533"/>
      <c r="AJ18" s="534"/>
      <c r="AK18" s="487"/>
      <c r="AL18" s="534">
        <f t="shared" si="7"/>
        <v>9094.2633679299997</v>
      </c>
      <c r="AM18" s="534">
        <f t="shared" si="7"/>
        <v>8750.2471858999997</v>
      </c>
      <c r="AN18" s="487">
        <f t="shared" si="2"/>
        <v>-3.8</v>
      </c>
      <c r="AO18" s="534">
        <f t="shared" si="8"/>
        <v>9094.2633679299997</v>
      </c>
      <c r="AP18" s="534">
        <f t="shared" si="8"/>
        <v>8750.2471858999997</v>
      </c>
      <c r="AQ18" s="487">
        <f t="shared" si="3"/>
        <v>-3.8</v>
      </c>
      <c r="AR18" s="537"/>
      <c r="AS18" s="537"/>
      <c r="AT18" s="491"/>
      <c r="AU18" s="491"/>
      <c r="AV18" s="491"/>
    </row>
    <row r="19" spans="1:49" s="301" customFormat="1" ht="20.100000000000001" customHeight="1" x14ac:dyDescent="0.3">
      <c r="A19" s="504" t="s">
        <v>285</v>
      </c>
      <c r="B19" s="490"/>
      <c r="C19" s="487"/>
      <c r="D19" s="487"/>
      <c r="E19" s="490">
        <v>1852.7919999999999</v>
      </c>
      <c r="F19" s="487">
        <v>1838.836</v>
      </c>
      <c r="G19" s="487">
        <f t="shared" si="4"/>
        <v>-0.8</v>
      </c>
      <c r="H19" s="490"/>
      <c r="I19" s="487"/>
      <c r="J19" s="487"/>
      <c r="K19" s="533"/>
      <c r="L19" s="534"/>
      <c r="M19" s="534"/>
      <c r="N19" s="535"/>
      <c r="O19" s="536"/>
      <c r="P19" s="487"/>
      <c r="Q19" s="533">
        <v>7572.0220928900007</v>
      </c>
      <c r="R19" s="534">
        <v>9748.2322182000007</v>
      </c>
      <c r="S19" s="487">
        <f t="shared" si="0"/>
        <v>28.7</v>
      </c>
      <c r="T19" s="533">
        <v>153.30000000000001</v>
      </c>
      <c r="U19" s="534">
        <v>226.6</v>
      </c>
      <c r="V19" s="487">
        <f t="shared" ref="V19:V28" si="11">IF(T19=0, "    ---- ", IF(ABS(ROUND(100/T19*U19-100,1))&lt;999,ROUND(100/T19*U19-100,1),IF(ROUND(100/T19*U19-100,1)&gt;999,999,-999)))</f>
        <v>47.8</v>
      </c>
      <c r="W19" s="533"/>
      <c r="X19" s="534"/>
      <c r="Y19" s="487"/>
      <c r="Z19" s="533">
        <v>3993</v>
      </c>
      <c r="AA19" s="534">
        <v>4243</v>
      </c>
      <c r="AB19" s="487">
        <f t="shared" si="5"/>
        <v>6.3</v>
      </c>
      <c r="AC19" s="533"/>
      <c r="AD19" s="534"/>
      <c r="AE19" s="487"/>
      <c r="AF19" s="533">
        <v>874.88599999999997</v>
      </c>
      <c r="AG19" s="534">
        <v>1101.0119999999999</v>
      </c>
      <c r="AH19" s="487">
        <f t="shared" si="1"/>
        <v>25.8</v>
      </c>
      <c r="AI19" s="533">
        <v>3174</v>
      </c>
      <c r="AJ19" s="534">
        <v>4337</v>
      </c>
      <c r="AK19" s="487">
        <f t="shared" si="6"/>
        <v>36.6</v>
      </c>
      <c r="AL19" s="534">
        <f t="shared" si="7"/>
        <v>17620.000092890001</v>
      </c>
      <c r="AM19" s="534">
        <f t="shared" si="7"/>
        <v>21494.680218199999</v>
      </c>
      <c r="AN19" s="487">
        <f t="shared" si="2"/>
        <v>22</v>
      </c>
      <c r="AO19" s="534">
        <f t="shared" si="8"/>
        <v>17620.000092890001</v>
      </c>
      <c r="AP19" s="534">
        <f t="shared" si="8"/>
        <v>21494.680218199999</v>
      </c>
      <c r="AQ19" s="487">
        <f t="shared" si="3"/>
        <v>22</v>
      </c>
      <c r="AR19" s="537"/>
      <c r="AS19" s="537"/>
      <c r="AT19" s="491"/>
      <c r="AU19" s="491"/>
      <c r="AV19" s="491"/>
    </row>
    <row r="20" spans="1:49" s="301" customFormat="1" ht="20.100000000000001" customHeight="1" x14ac:dyDescent="0.3">
      <c r="A20" s="504" t="s">
        <v>286</v>
      </c>
      <c r="B20" s="490">
        <v>234.81100000000001</v>
      </c>
      <c r="C20" s="487">
        <f>SUM(C21:C25)</f>
        <v>233.06800000000001</v>
      </c>
      <c r="D20" s="487">
        <f>IF(B20=0, "    ---- ", IF(ABS(ROUND(100/B20*C20-100,1))&lt;999,ROUND(100/B20*C20-100,1),IF(ROUND(100/B20*C20-100,1)&gt;999,999,-999)))</f>
        <v>-0.7</v>
      </c>
      <c r="E20" s="490">
        <v>25298.588</v>
      </c>
      <c r="F20" s="487">
        <f>SUM(F21:F25)</f>
        <v>27976.662</v>
      </c>
      <c r="G20" s="487">
        <f t="shared" si="4"/>
        <v>10.6</v>
      </c>
      <c r="H20" s="490">
        <v>193.55799999999999</v>
      </c>
      <c r="I20" s="487">
        <f>SUM(I21:I25)</f>
        <v>259.03699999999998</v>
      </c>
      <c r="J20" s="487">
        <f t="shared" ref="J20:J28" si="12">IF(H20=0, "    ---- ", IF(ABS(ROUND(100/H20*I20-100,1))&lt;999,ROUND(100/H20*I20-100,1),IF(ROUND(100/H20*I20-100,1)&gt;999,999,-999)))</f>
        <v>33.799999999999997</v>
      </c>
      <c r="K20" s="533">
        <v>696.12399999999991</v>
      </c>
      <c r="L20" s="534">
        <f>SUM(L21:L25)</f>
        <v>922.90000000000009</v>
      </c>
      <c r="M20" s="534">
        <f t="shared" ref="M20:M28" si="13">IF(K20=0, "    ---- ", IF(ABS(ROUND(100/K20*L20-100,1))&lt;999,ROUND(100/K20*L20-100,1),IF(ROUND(100/K20*L20-100,1)&gt;999,999,-999)))</f>
        <v>32.6</v>
      </c>
      <c r="N20" s="535"/>
      <c r="O20" s="536"/>
      <c r="P20" s="487"/>
      <c r="Q20" s="533">
        <v>11361.971119829997</v>
      </c>
      <c r="R20" s="534">
        <f>SUM(R21:R25)</f>
        <v>12071.497837420002</v>
      </c>
      <c r="S20" s="487">
        <f t="shared" si="0"/>
        <v>6.2</v>
      </c>
      <c r="T20" s="533">
        <v>148.6</v>
      </c>
      <c r="U20" s="534">
        <f>SUM(U21:U25)</f>
        <v>290.7</v>
      </c>
      <c r="V20" s="487">
        <f t="shared" si="11"/>
        <v>95.6</v>
      </c>
      <c r="W20" s="533">
        <v>8601.1400000000012</v>
      </c>
      <c r="X20" s="534">
        <f>SUM(X21:X25)</f>
        <v>9982.5299999999988</v>
      </c>
      <c r="Y20" s="487">
        <f t="shared" ref="Y20:Y28" si="14">IF(W20=0, "    ---- ", IF(ABS(ROUND(100/W20*X20-100,1))&lt;999,ROUND(100/W20*X20-100,1),IF(ROUND(100/W20*X20-100,1)&gt;999,999,-999)))</f>
        <v>16.100000000000001</v>
      </c>
      <c r="Z20" s="533">
        <v>3049</v>
      </c>
      <c r="AA20" s="534">
        <f>SUM(AA21:AA25)</f>
        <v>3183</v>
      </c>
      <c r="AB20" s="487">
        <f t="shared" si="5"/>
        <v>4.4000000000000004</v>
      </c>
      <c r="AC20" s="533"/>
      <c r="AD20" s="534"/>
      <c r="AE20" s="487"/>
      <c r="AF20" s="533">
        <v>3961.2429999999995</v>
      </c>
      <c r="AG20" s="534">
        <f>SUM(AG21:AG25)</f>
        <v>4136.4310000000005</v>
      </c>
      <c r="AH20" s="487">
        <f t="shared" si="1"/>
        <v>4.4000000000000004</v>
      </c>
      <c r="AI20" s="533">
        <v>14441</v>
      </c>
      <c r="AJ20" s="534">
        <f>SUM(AJ21:AJ25)</f>
        <v>16295</v>
      </c>
      <c r="AK20" s="487">
        <f t="shared" si="6"/>
        <v>12.8</v>
      </c>
      <c r="AL20" s="534">
        <f t="shared" si="7"/>
        <v>67986.03511982999</v>
      </c>
      <c r="AM20" s="534">
        <f t="shared" si="7"/>
        <v>75350.825837419994</v>
      </c>
      <c r="AN20" s="487">
        <f t="shared" si="2"/>
        <v>10.8</v>
      </c>
      <c r="AO20" s="534">
        <f t="shared" si="8"/>
        <v>67986.03511982999</v>
      </c>
      <c r="AP20" s="534">
        <f t="shared" si="8"/>
        <v>75350.825837419994</v>
      </c>
      <c r="AQ20" s="487">
        <f t="shared" si="3"/>
        <v>10.8</v>
      </c>
      <c r="AR20" s="537"/>
      <c r="AS20" s="537"/>
      <c r="AT20" s="491"/>
      <c r="AU20" s="491"/>
      <c r="AV20" s="491"/>
    </row>
    <row r="21" spans="1:49" s="301" customFormat="1" ht="20.100000000000001" customHeight="1" x14ac:dyDescent="0.3">
      <c r="A21" s="504" t="s">
        <v>287</v>
      </c>
      <c r="B21" s="490">
        <v>2.996</v>
      </c>
      <c r="C21" s="487">
        <v>5.4180000000000001</v>
      </c>
      <c r="D21" s="487">
        <f>IF(B21=0, "    ---- ", IF(ABS(ROUND(100/B21*C21-100,1))&lt;999,ROUND(100/B21*C21-100,1),IF(ROUND(100/B21*C21-100,1)&gt;999,999,-999)))</f>
        <v>80.8</v>
      </c>
      <c r="E21" s="490">
        <v>1013.545</v>
      </c>
      <c r="F21" s="487">
        <v>1225.383</v>
      </c>
      <c r="G21" s="487">
        <f t="shared" si="4"/>
        <v>20.9</v>
      </c>
      <c r="H21" s="490">
        <v>25.74</v>
      </c>
      <c r="I21" s="487">
        <v>37.183</v>
      </c>
      <c r="J21" s="487">
        <f t="shared" si="12"/>
        <v>44.5</v>
      </c>
      <c r="K21" s="533">
        <v>10.125999999999999</v>
      </c>
      <c r="L21" s="534">
        <v>19.7</v>
      </c>
      <c r="M21" s="534">
        <f t="shared" si="13"/>
        <v>94.5</v>
      </c>
      <c r="N21" s="535"/>
      <c r="O21" s="536"/>
      <c r="P21" s="487"/>
      <c r="Q21" s="533">
        <v>433.78537499999999</v>
      </c>
      <c r="R21" s="534">
        <v>537.87490000000003</v>
      </c>
      <c r="S21" s="487">
        <f t="shared" si="0"/>
        <v>24</v>
      </c>
      <c r="T21" s="533">
        <v>6.5</v>
      </c>
      <c r="U21" s="534">
        <v>7</v>
      </c>
      <c r="V21" s="487">
        <f t="shared" si="11"/>
        <v>7.7</v>
      </c>
      <c r="W21" s="533">
        <v>4.51</v>
      </c>
      <c r="X21" s="534">
        <v>192</v>
      </c>
      <c r="Y21" s="487">
        <f t="shared" si="14"/>
        <v>999</v>
      </c>
      <c r="Z21" s="533">
        <v>1467</v>
      </c>
      <c r="AA21" s="534">
        <v>1400</v>
      </c>
      <c r="AB21" s="487">
        <f t="shared" si="5"/>
        <v>-4.5999999999999996</v>
      </c>
      <c r="AC21" s="533"/>
      <c r="AD21" s="534"/>
      <c r="AE21" s="487"/>
      <c r="AF21" s="533">
        <v>1.278</v>
      </c>
      <c r="AG21" s="534">
        <v>0.52700000000000002</v>
      </c>
      <c r="AH21" s="487">
        <f t="shared" si="1"/>
        <v>-58.8</v>
      </c>
      <c r="AI21" s="533">
        <v>80</v>
      </c>
      <c r="AJ21" s="534">
        <v>22</v>
      </c>
      <c r="AK21" s="487">
        <f t="shared" si="6"/>
        <v>-72.5</v>
      </c>
      <c r="AL21" s="534">
        <f t="shared" si="7"/>
        <v>3045.4803749999996</v>
      </c>
      <c r="AM21" s="534">
        <f t="shared" si="7"/>
        <v>3447.0859</v>
      </c>
      <c r="AN21" s="487">
        <f t="shared" si="2"/>
        <v>13.2</v>
      </c>
      <c r="AO21" s="534">
        <f t="shared" si="8"/>
        <v>3045.4803749999996</v>
      </c>
      <c r="AP21" s="534">
        <f t="shared" si="8"/>
        <v>3447.0859</v>
      </c>
      <c r="AQ21" s="487">
        <f t="shared" si="3"/>
        <v>13.2</v>
      </c>
      <c r="AR21" s="537"/>
      <c r="AS21" s="537"/>
      <c r="AT21" s="491"/>
      <c r="AU21" s="491"/>
      <c r="AV21" s="491"/>
    </row>
    <row r="22" spans="1:49" s="301" customFormat="1" ht="20.100000000000001" customHeight="1" x14ac:dyDescent="0.3">
      <c r="A22" s="504" t="s">
        <v>288</v>
      </c>
      <c r="B22" s="490">
        <v>231.815</v>
      </c>
      <c r="C22" s="487">
        <v>227.65</v>
      </c>
      <c r="D22" s="487">
        <f>IF(B22=0, "    ---- ", IF(ABS(ROUND(100/B22*C22-100,1))&lt;999,ROUND(100/B22*C22-100,1),IF(ROUND(100/B22*C22-100,1)&gt;999,999,-999)))</f>
        <v>-1.8</v>
      </c>
      <c r="E22" s="490">
        <v>24071.108</v>
      </c>
      <c r="F22" s="487">
        <v>26738.57</v>
      </c>
      <c r="G22" s="487">
        <f t="shared" si="4"/>
        <v>11.1</v>
      </c>
      <c r="H22" s="490">
        <v>145.80099999999999</v>
      </c>
      <c r="I22" s="487">
        <v>185.357</v>
      </c>
      <c r="J22" s="487">
        <f t="shared" si="12"/>
        <v>27.1</v>
      </c>
      <c r="K22" s="533">
        <v>589.65</v>
      </c>
      <c r="L22" s="534">
        <v>805.5</v>
      </c>
      <c r="M22" s="534">
        <f t="shared" si="13"/>
        <v>36.6</v>
      </c>
      <c r="N22" s="535"/>
      <c r="O22" s="536"/>
      <c r="P22" s="487"/>
      <c r="Q22" s="533">
        <v>9009.5775597099982</v>
      </c>
      <c r="R22" s="534">
        <v>8873.0011446900007</v>
      </c>
      <c r="S22" s="487">
        <f t="shared" si="0"/>
        <v>-1.5</v>
      </c>
      <c r="T22" s="533">
        <v>125.5</v>
      </c>
      <c r="U22" s="534">
        <v>274.89999999999998</v>
      </c>
      <c r="V22" s="487">
        <f t="shared" si="11"/>
        <v>119</v>
      </c>
      <c r="W22" s="533">
        <v>8596.3000000000011</v>
      </c>
      <c r="X22" s="534">
        <v>9622.2099999999991</v>
      </c>
      <c r="Y22" s="487">
        <f t="shared" si="14"/>
        <v>11.9</v>
      </c>
      <c r="Z22" s="533">
        <v>1598</v>
      </c>
      <c r="AA22" s="534">
        <v>1763</v>
      </c>
      <c r="AB22" s="487">
        <f t="shared" si="5"/>
        <v>10.3</v>
      </c>
      <c r="AC22" s="533"/>
      <c r="AD22" s="534"/>
      <c r="AE22" s="487"/>
      <c r="AF22" s="533">
        <v>3777.8229999999999</v>
      </c>
      <c r="AG22" s="534">
        <v>3221.03</v>
      </c>
      <c r="AH22" s="487">
        <f t="shared" si="1"/>
        <v>-14.7</v>
      </c>
      <c r="AI22" s="533">
        <v>13377</v>
      </c>
      <c r="AJ22" s="534">
        <v>14999</v>
      </c>
      <c r="AK22" s="487">
        <f t="shared" si="6"/>
        <v>12.1</v>
      </c>
      <c r="AL22" s="534">
        <f t="shared" si="7"/>
        <v>61522.574559709996</v>
      </c>
      <c r="AM22" s="534">
        <f t="shared" si="7"/>
        <v>66710.218144690007</v>
      </c>
      <c r="AN22" s="487">
        <f t="shared" si="2"/>
        <v>8.4</v>
      </c>
      <c r="AO22" s="534">
        <f t="shared" si="8"/>
        <v>61522.574559709996</v>
      </c>
      <c r="AP22" s="534">
        <f t="shared" si="8"/>
        <v>66710.218144690007</v>
      </c>
      <c r="AQ22" s="487">
        <f t="shared" si="3"/>
        <v>8.4</v>
      </c>
      <c r="AR22" s="537"/>
      <c r="AS22" s="537"/>
      <c r="AT22" s="491"/>
      <c r="AU22" s="491"/>
      <c r="AV22" s="491"/>
    </row>
    <row r="23" spans="1:49" s="301" customFormat="1" ht="20.100000000000001" customHeight="1" x14ac:dyDescent="0.3">
      <c r="A23" s="504" t="s">
        <v>289</v>
      </c>
      <c r="B23" s="490"/>
      <c r="C23" s="487"/>
      <c r="D23" s="487"/>
      <c r="E23" s="490">
        <v>207.327</v>
      </c>
      <c r="F23" s="487">
        <v>3.8540000000000001</v>
      </c>
      <c r="G23" s="487">
        <f t="shared" si="4"/>
        <v>-98.1</v>
      </c>
      <c r="H23" s="490"/>
      <c r="I23" s="487"/>
      <c r="J23" s="487"/>
      <c r="K23" s="533"/>
      <c r="L23" s="534"/>
      <c r="M23" s="534"/>
      <c r="N23" s="535"/>
      <c r="O23" s="536"/>
      <c r="P23" s="487"/>
      <c r="Q23" s="533">
        <v>1201.8507045199999</v>
      </c>
      <c r="R23" s="534">
        <v>1629.3112922100001</v>
      </c>
      <c r="S23" s="487">
        <f t="shared" si="0"/>
        <v>35.6</v>
      </c>
      <c r="T23" s="533">
        <v>15.6</v>
      </c>
      <c r="U23" s="534">
        <v>8.8000000000000007</v>
      </c>
      <c r="V23" s="487">
        <f t="shared" si="11"/>
        <v>-43.6</v>
      </c>
      <c r="W23" s="533">
        <v>0.33</v>
      </c>
      <c r="X23" s="534">
        <v>168.32</v>
      </c>
      <c r="Y23" s="487">
        <f t="shared" si="14"/>
        <v>999</v>
      </c>
      <c r="Z23" s="533"/>
      <c r="AA23" s="534"/>
      <c r="AB23" s="487"/>
      <c r="AC23" s="533"/>
      <c r="AD23" s="534"/>
      <c r="AE23" s="487"/>
      <c r="AF23" s="533"/>
      <c r="AG23" s="534"/>
      <c r="AH23" s="487"/>
      <c r="AI23" s="533"/>
      <c r="AJ23" s="534"/>
      <c r="AK23" s="487"/>
      <c r="AL23" s="534">
        <f t="shared" si="7"/>
        <v>1425.1077045199997</v>
      </c>
      <c r="AM23" s="534">
        <f t="shared" si="7"/>
        <v>1810.2852922100001</v>
      </c>
      <c r="AN23" s="487">
        <f t="shared" si="2"/>
        <v>27</v>
      </c>
      <c r="AO23" s="534">
        <f t="shared" si="8"/>
        <v>1425.1077045199997</v>
      </c>
      <c r="AP23" s="534">
        <f t="shared" si="8"/>
        <v>1810.2852922100001</v>
      </c>
      <c r="AQ23" s="487">
        <f t="shared" si="3"/>
        <v>27</v>
      </c>
      <c r="AR23" s="537"/>
      <c r="AS23" s="537"/>
      <c r="AT23" s="491"/>
      <c r="AU23" s="491"/>
      <c r="AV23" s="491"/>
    </row>
    <row r="24" spans="1:49" s="301" customFormat="1" ht="20.100000000000001" customHeight="1" x14ac:dyDescent="0.3">
      <c r="A24" s="504" t="s">
        <v>290</v>
      </c>
      <c r="B24" s="490"/>
      <c r="C24" s="487"/>
      <c r="D24" s="487"/>
      <c r="E24" s="490"/>
      <c r="F24" s="487"/>
      <c r="G24" s="487"/>
      <c r="H24" s="490"/>
      <c r="I24" s="487"/>
      <c r="J24" s="487"/>
      <c r="K24" s="533"/>
      <c r="L24" s="534"/>
      <c r="M24" s="534"/>
      <c r="N24" s="535"/>
      <c r="O24" s="536"/>
      <c r="P24" s="487"/>
      <c r="Q24" s="533">
        <v>706.53804991999993</v>
      </c>
      <c r="R24" s="534">
        <v>531.24430643999995</v>
      </c>
      <c r="S24" s="487">
        <f t="shared" si="0"/>
        <v>-24.8</v>
      </c>
      <c r="T24" s="533"/>
      <c r="U24" s="534"/>
      <c r="V24" s="487"/>
      <c r="W24" s="533"/>
      <c r="X24" s="534"/>
      <c r="Y24" s="487"/>
      <c r="Z24" s="533">
        <v>-16</v>
      </c>
      <c r="AA24" s="534">
        <v>20</v>
      </c>
      <c r="AB24" s="487">
        <f t="shared" si="5"/>
        <v>-225</v>
      </c>
      <c r="AC24" s="533"/>
      <c r="AD24" s="534"/>
      <c r="AE24" s="487"/>
      <c r="AF24" s="533"/>
      <c r="AG24" s="534"/>
      <c r="AH24" s="487"/>
      <c r="AI24" s="533">
        <v>984</v>
      </c>
      <c r="AJ24" s="534">
        <v>1274</v>
      </c>
      <c r="AK24" s="487">
        <f t="shared" si="6"/>
        <v>29.5</v>
      </c>
      <c r="AL24" s="534">
        <f t="shared" si="7"/>
        <v>1674.53804992</v>
      </c>
      <c r="AM24" s="534">
        <f t="shared" si="7"/>
        <v>1825.2443064399999</v>
      </c>
      <c r="AN24" s="487">
        <f t="shared" si="2"/>
        <v>9</v>
      </c>
      <c r="AO24" s="534">
        <f t="shared" si="8"/>
        <v>1674.53804992</v>
      </c>
      <c r="AP24" s="534">
        <f t="shared" si="8"/>
        <v>1825.2443064399999</v>
      </c>
      <c r="AQ24" s="487">
        <f t="shared" si="3"/>
        <v>9</v>
      </c>
      <c r="AR24" s="537"/>
      <c r="AS24" s="537"/>
      <c r="AT24" s="491"/>
      <c r="AU24" s="491"/>
      <c r="AV24" s="491"/>
    </row>
    <row r="25" spans="1:49" s="301" customFormat="1" ht="20.100000000000001" customHeight="1" x14ac:dyDescent="0.3">
      <c r="A25" s="504" t="s">
        <v>291</v>
      </c>
      <c r="B25" s="490"/>
      <c r="C25" s="487"/>
      <c r="D25" s="487"/>
      <c r="E25" s="490">
        <v>6.6079999999999997</v>
      </c>
      <c r="F25" s="487">
        <v>8.8550000000000004</v>
      </c>
      <c r="G25" s="487">
        <f t="shared" si="4"/>
        <v>34</v>
      </c>
      <c r="H25" s="490">
        <v>22.016999999999999</v>
      </c>
      <c r="I25" s="487">
        <v>36.497</v>
      </c>
      <c r="J25" s="487">
        <f t="shared" si="12"/>
        <v>65.8</v>
      </c>
      <c r="K25" s="533">
        <v>96.347999999999999</v>
      </c>
      <c r="L25" s="534">
        <v>97.7</v>
      </c>
      <c r="M25" s="483">
        <f t="shared" ref="M25" si="15">IF(K25=0, "    ---- ", IF(ABS(ROUND(100/K25*L25-100,1))&lt;999,ROUND(100/K25*L25-100,1),IF(ROUND(100/K25*L25-100,1)&gt;999,999,-999)))</f>
        <v>1.4</v>
      </c>
      <c r="N25" s="535"/>
      <c r="O25" s="536"/>
      <c r="P25" s="487"/>
      <c r="Q25" s="533">
        <v>10.21943068</v>
      </c>
      <c r="R25" s="534">
        <v>500.06619408</v>
      </c>
      <c r="S25" s="487">
        <f t="shared" si="0"/>
        <v>999</v>
      </c>
      <c r="T25" s="533">
        <v>1</v>
      </c>
      <c r="U25" s="534">
        <v>0</v>
      </c>
      <c r="V25" s="487">
        <f t="shared" si="11"/>
        <v>-100</v>
      </c>
      <c r="W25" s="533"/>
      <c r="X25" s="534"/>
      <c r="Y25" s="487"/>
      <c r="Z25" s="533"/>
      <c r="AA25" s="534"/>
      <c r="AB25" s="487"/>
      <c r="AC25" s="533"/>
      <c r="AD25" s="534"/>
      <c r="AE25" s="487"/>
      <c r="AF25" s="533">
        <v>182.142</v>
      </c>
      <c r="AG25" s="534">
        <v>914.87400000000002</v>
      </c>
      <c r="AH25" s="487">
        <f t="shared" si="1"/>
        <v>402.3</v>
      </c>
      <c r="AI25" s="533"/>
      <c r="AJ25" s="534"/>
      <c r="AK25" s="487"/>
      <c r="AL25" s="534">
        <f t="shared" si="7"/>
        <v>318.33443067999997</v>
      </c>
      <c r="AM25" s="534">
        <f t="shared" si="7"/>
        <v>1557.99219408</v>
      </c>
      <c r="AN25" s="487">
        <f t="shared" si="2"/>
        <v>389.4</v>
      </c>
      <c r="AO25" s="534">
        <f t="shared" si="8"/>
        <v>318.33443067999997</v>
      </c>
      <c r="AP25" s="534">
        <f t="shared" si="8"/>
        <v>1557.99219408</v>
      </c>
      <c r="AQ25" s="487">
        <f t="shared" si="3"/>
        <v>389.4</v>
      </c>
      <c r="AR25" s="537"/>
      <c r="AS25" s="537"/>
      <c r="AT25" s="491"/>
      <c r="AU25" s="491"/>
      <c r="AV25" s="491"/>
    </row>
    <row r="26" spans="1:49" s="301" customFormat="1" ht="20.100000000000001" customHeight="1" x14ac:dyDescent="0.3">
      <c r="A26" s="504" t="s">
        <v>292</v>
      </c>
      <c r="B26" s="490"/>
      <c r="C26" s="487"/>
      <c r="D26" s="487"/>
      <c r="E26" s="490"/>
      <c r="F26" s="487"/>
      <c r="G26" s="487"/>
      <c r="H26" s="490"/>
      <c r="I26" s="487"/>
      <c r="J26" s="487"/>
      <c r="K26" s="533"/>
      <c r="L26" s="534"/>
      <c r="M26" s="534"/>
      <c r="N26" s="535"/>
      <c r="O26" s="536"/>
      <c r="P26" s="487"/>
      <c r="Q26" s="533"/>
      <c r="R26" s="534"/>
      <c r="S26" s="487"/>
      <c r="T26" s="533"/>
      <c r="U26" s="534"/>
      <c r="V26" s="487"/>
      <c r="W26" s="533"/>
      <c r="X26" s="534"/>
      <c r="Y26" s="487"/>
      <c r="Z26" s="533"/>
      <c r="AA26" s="534"/>
      <c r="AB26" s="487"/>
      <c r="AC26" s="533"/>
      <c r="AD26" s="534"/>
      <c r="AE26" s="487"/>
      <c r="AF26" s="533"/>
      <c r="AG26" s="534"/>
      <c r="AH26" s="487"/>
      <c r="AI26" s="533"/>
      <c r="AJ26" s="534"/>
      <c r="AK26" s="487"/>
      <c r="AL26" s="534">
        <f t="shared" si="7"/>
        <v>0</v>
      </c>
      <c r="AM26" s="534">
        <f t="shared" si="7"/>
        <v>0</v>
      </c>
      <c r="AN26" s="487" t="str">
        <f t="shared" si="2"/>
        <v xml:space="preserve">    ---- </v>
      </c>
      <c r="AO26" s="534">
        <f t="shared" si="8"/>
        <v>0</v>
      </c>
      <c r="AP26" s="534">
        <f t="shared" si="8"/>
        <v>0</v>
      </c>
      <c r="AQ26" s="487" t="str">
        <f t="shared" si="3"/>
        <v xml:space="preserve">    ---- </v>
      </c>
      <c r="AR26" s="537"/>
      <c r="AS26" s="537"/>
      <c r="AT26" s="491"/>
      <c r="AU26" s="491"/>
      <c r="AV26" s="491"/>
    </row>
    <row r="27" spans="1:49" s="301" customFormat="1" ht="20.100000000000001" customHeight="1" x14ac:dyDescent="0.3">
      <c r="A27" s="538" t="s">
        <v>293</v>
      </c>
      <c r="B27" s="490">
        <v>234.81100000000001</v>
      </c>
      <c r="C27" s="487">
        <f>SUM(C14+C15+C16+C20+C26)</f>
        <v>233.06800000000001</v>
      </c>
      <c r="D27" s="487">
        <f>IF(B27=0, "    ---- ", IF(ABS(ROUND(100/B27*C27-100,1))&lt;999,ROUND(100/B27*C27-100,1),IF(ROUND(100/B27*C27-100,1)&gt;999,999,-999)))</f>
        <v>-0.7</v>
      </c>
      <c r="E27" s="490">
        <v>29761.679</v>
      </c>
      <c r="F27" s="487">
        <f>SUM(F14+F15+F16+F20+F26)</f>
        <v>31700.163</v>
      </c>
      <c r="G27" s="487">
        <f t="shared" si="4"/>
        <v>6.5</v>
      </c>
      <c r="H27" s="490">
        <v>226.76</v>
      </c>
      <c r="I27" s="487">
        <f>SUM(I14+I15+I16+I20+I26)</f>
        <v>319.39299999999997</v>
      </c>
      <c r="J27" s="487">
        <f t="shared" si="12"/>
        <v>40.9</v>
      </c>
      <c r="K27" s="533">
        <v>696.12399999999991</v>
      </c>
      <c r="L27" s="534">
        <f>SUM(L14+L15+L16+L20+L26)</f>
        <v>922.90000000000009</v>
      </c>
      <c r="M27" s="534">
        <f t="shared" si="13"/>
        <v>32.6</v>
      </c>
      <c r="N27" s="535"/>
      <c r="O27" s="536"/>
      <c r="P27" s="487"/>
      <c r="Q27" s="533">
        <v>32390.745067459997</v>
      </c>
      <c r="R27" s="534">
        <f>SUM(R14+R15+R16+R20+R26)</f>
        <v>36070.130746880001</v>
      </c>
      <c r="S27" s="487">
        <f t="shared" si="0"/>
        <v>11.4</v>
      </c>
      <c r="T27" s="533">
        <v>301.89999999999998</v>
      </c>
      <c r="U27" s="534">
        <f>SUM(U14+U15+U16+U20+U26)</f>
        <v>517.29999999999995</v>
      </c>
      <c r="V27" s="487">
        <f t="shared" si="11"/>
        <v>71.3</v>
      </c>
      <c r="W27" s="533">
        <v>8601.1400000000012</v>
      </c>
      <c r="X27" s="534">
        <f>SUM(X14+X15+X16+X20+X26)</f>
        <v>9982.5299999999988</v>
      </c>
      <c r="Y27" s="487">
        <f t="shared" si="14"/>
        <v>16.100000000000001</v>
      </c>
      <c r="Z27" s="533">
        <v>8387</v>
      </c>
      <c r="AA27" s="534">
        <f>SUM(AA14+AA15+AA16+AA20+AA26)</f>
        <v>8618</v>
      </c>
      <c r="AB27" s="487">
        <f t="shared" si="5"/>
        <v>2.8</v>
      </c>
      <c r="AC27" s="533"/>
      <c r="AD27" s="534"/>
      <c r="AE27" s="487"/>
      <c r="AF27" s="533">
        <v>5948.9449999999997</v>
      </c>
      <c r="AG27" s="534">
        <f>SUM(AG14+AG15+AG16+AG20+AG26)</f>
        <v>6477.9940000000006</v>
      </c>
      <c r="AH27" s="487">
        <f t="shared" si="1"/>
        <v>8.9</v>
      </c>
      <c r="AI27" s="533">
        <v>31708.3</v>
      </c>
      <c r="AJ27" s="534">
        <f>SUM(AJ14+AJ15+AJ16+AJ20+AJ26)</f>
        <v>33464</v>
      </c>
      <c r="AK27" s="487">
        <f t="shared" si="6"/>
        <v>5.5</v>
      </c>
      <c r="AL27" s="534">
        <f t="shared" si="7"/>
        <v>118257.40406746</v>
      </c>
      <c r="AM27" s="534">
        <f t="shared" si="7"/>
        <v>128305.47874688001</v>
      </c>
      <c r="AN27" s="487">
        <f t="shared" si="2"/>
        <v>8.5</v>
      </c>
      <c r="AO27" s="534">
        <f t="shared" si="8"/>
        <v>118257.40406746</v>
      </c>
      <c r="AP27" s="534">
        <f t="shared" si="8"/>
        <v>128305.47874688001</v>
      </c>
      <c r="AQ27" s="487">
        <f t="shared" si="3"/>
        <v>8.5</v>
      </c>
      <c r="AR27" s="537"/>
      <c r="AS27" s="537"/>
      <c r="AT27" s="491"/>
      <c r="AU27" s="491"/>
      <c r="AV27" s="491"/>
    </row>
    <row r="28" spans="1:49" s="301" customFormat="1" ht="20.100000000000001" customHeight="1" x14ac:dyDescent="0.3">
      <c r="A28" s="504" t="s">
        <v>294</v>
      </c>
      <c r="B28" s="490">
        <v>141</v>
      </c>
      <c r="C28" s="487">
        <v>264.37900000000002</v>
      </c>
      <c r="D28" s="487">
        <f>IF(B28=0, "    ---- ", IF(ABS(ROUND(100/B28*C28-100,1))&lt;999,ROUND(100/B28*C28-100,1),IF(ROUND(100/B28*C28-100,1)&gt;999,999,-999)))</f>
        <v>87.5</v>
      </c>
      <c r="E28" s="490">
        <v>955</v>
      </c>
      <c r="F28" s="487">
        <v>1209.3599999999999</v>
      </c>
      <c r="G28" s="487">
        <f t="shared" si="4"/>
        <v>26.6</v>
      </c>
      <c r="H28" s="490">
        <v>442.22199999999998</v>
      </c>
      <c r="I28" s="487">
        <v>496.46199999999999</v>
      </c>
      <c r="J28" s="487">
        <f t="shared" si="12"/>
        <v>12.3</v>
      </c>
      <c r="K28" s="533">
        <v>371.387</v>
      </c>
      <c r="L28" s="534">
        <v>264.3</v>
      </c>
      <c r="M28" s="534">
        <f t="shared" si="13"/>
        <v>-28.8</v>
      </c>
      <c r="N28" s="535">
        <v>140</v>
      </c>
      <c r="O28" s="536">
        <v>144</v>
      </c>
      <c r="P28" s="487">
        <f t="shared" ref="P28" si="16">IF(N28=0, "    ---- ", IF(ABS(ROUND(100/N28*O28-100,1))&lt;999,ROUND(100/N28*O28-100,1),IF(ROUND(100/N28*O28-100,1)&gt;999,999,-999)))</f>
        <v>2.9</v>
      </c>
      <c r="Q28" s="533">
        <v>2596</v>
      </c>
      <c r="R28" s="534">
        <v>2127.75903668</v>
      </c>
      <c r="S28" s="487">
        <f t="shared" si="0"/>
        <v>-18</v>
      </c>
      <c r="T28" s="533">
        <v>37.299999999999997</v>
      </c>
      <c r="U28" s="534">
        <v>38.299999999999997</v>
      </c>
      <c r="V28" s="487">
        <f t="shared" si="11"/>
        <v>2.7</v>
      </c>
      <c r="W28" s="533">
        <v>1118.4000000000001</v>
      </c>
      <c r="X28" s="534">
        <v>342</v>
      </c>
      <c r="Y28" s="487">
        <f t="shared" si="14"/>
        <v>-69.400000000000006</v>
      </c>
      <c r="Z28" s="533">
        <v>595</v>
      </c>
      <c r="AA28" s="534">
        <v>1129</v>
      </c>
      <c r="AB28" s="487">
        <f t="shared" si="5"/>
        <v>89.7</v>
      </c>
      <c r="AC28" s="533">
        <v>32</v>
      </c>
      <c r="AD28" s="534">
        <v>49</v>
      </c>
      <c r="AE28" s="487">
        <f>IF(AC28=0, "    ---- ", IF(ABS(ROUND(100/AC28*AD28-100,1))&lt;999,ROUND(100/AC28*AD28-100,1),IF(ROUND(100/AC28*AD28-100,1)&gt;999,999,-999)))</f>
        <v>53.1</v>
      </c>
      <c r="AF28" s="533">
        <v>553.55899999999997</v>
      </c>
      <c r="AG28" s="534">
        <v>472.54599999999999</v>
      </c>
      <c r="AH28" s="487">
        <f t="shared" si="1"/>
        <v>-14.6</v>
      </c>
      <c r="AI28" s="533">
        <v>2563.1999999999998</v>
      </c>
      <c r="AJ28" s="534">
        <v>3867</v>
      </c>
      <c r="AK28" s="487">
        <f t="shared" si="6"/>
        <v>50.9</v>
      </c>
      <c r="AL28" s="534">
        <f t="shared" si="7"/>
        <v>9373.0680000000011</v>
      </c>
      <c r="AM28" s="534">
        <f t="shared" si="7"/>
        <v>10211.106036680001</v>
      </c>
      <c r="AN28" s="487">
        <f t="shared" si="2"/>
        <v>8.9</v>
      </c>
      <c r="AO28" s="534">
        <f t="shared" si="8"/>
        <v>9545.0680000000011</v>
      </c>
      <c r="AP28" s="534">
        <f t="shared" si="8"/>
        <v>10404.106036680001</v>
      </c>
      <c r="AQ28" s="487">
        <f t="shared" si="3"/>
        <v>9</v>
      </c>
      <c r="AR28" s="537"/>
      <c r="AS28" s="537"/>
      <c r="AT28" s="491"/>
      <c r="AU28" s="491"/>
      <c r="AV28" s="491"/>
    </row>
    <row r="29" spans="1:49" s="301" customFormat="1" ht="20.100000000000001" customHeight="1" x14ac:dyDescent="0.3">
      <c r="A29" s="504" t="s">
        <v>295</v>
      </c>
      <c r="B29" s="490">
        <v>375.81100000000004</v>
      </c>
      <c r="C29" s="487">
        <f>SUM(C27+C28)</f>
        <v>497.447</v>
      </c>
      <c r="D29" s="487">
        <f>IF(B29=0, "    ---- ", IF(ABS(ROUND(100/B29*C29-100,1))&lt;999,ROUND(100/B29*C29-100,1),IF(ROUND(100/B29*C29-100,1)&gt;999,999,-999)))</f>
        <v>32.4</v>
      </c>
      <c r="E29" s="490">
        <v>30716.679</v>
      </c>
      <c r="F29" s="487">
        <f>SUM(F27+F28)</f>
        <v>32909.523000000001</v>
      </c>
      <c r="G29" s="487">
        <f>IF(E29=0, "    ---- ", IF(ABS(ROUND(100/E29*F29-100,1))&lt;999,ROUND(100/E29*F29-100,1),IF(ROUND(100/E29*F29-100,1)&gt;999,999,-999)))</f>
        <v>7.1</v>
      </c>
      <c r="H29" s="490">
        <v>668.98199999999997</v>
      </c>
      <c r="I29" s="487">
        <f>SUM(I27+I28)</f>
        <v>815.85500000000002</v>
      </c>
      <c r="J29" s="487">
        <f>IF(H29=0, "    ---- ", IF(ABS(ROUND(100/H29*I29-100,1))&lt;999,ROUND(100/H29*I29-100,1),IF(ROUND(100/H29*I29-100,1)&gt;999,999,-999)))</f>
        <v>22</v>
      </c>
      <c r="K29" s="490">
        <v>1067.511</v>
      </c>
      <c r="L29" s="487">
        <f>SUM(L27+L28)</f>
        <v>1187.2</v>
      </c>
      <c r="M29" s="487">
        <f>IF(K29=0, "    ---- ", IF(ABS(ROUND(100/K29*L29-100,1))&lt;999,ROUND(100/K29*L29-100,1),IF(ROUND(100/K29*L29-100,1)&gt;999,999,-999)))</f>
        <v>11.2</v>
      </c>
      <c r="N29" s="490">
        <v>140</v>
      </c>
      <c r="O29" s="487">
        <f>SUM(O27+O28)</f>
        <v>144</v>
      </c>
      <c r="P29" s="487">
        <f>IF(N29=0, "    ---- ", IF(ABS(ROUND(100/N29*O29-100,1))&lt;999,ROUND(100/N29*O29-100,1),IF(ROUND(100/N29*O29-100,1)&gt;999,999,-999)))</f>
        <v>2.9</v>
      </c>
      <c r="Q29" s="487">
        <f>SUM(Q27+Q28)</f>
        <v>34986.745067459997</v>
      </c>
      <c r="R29" s="487">
        <f>SUM(R27+R28)</f>
        <v>38197.88978356</v>
      </c>
      <c r="S29" s="487">
        <f>IF(Q29=0, "    ---- ", IF(ABS(ROUND(100/Q29*R29-100,1))&lt;999,ROUND(100/Q29*R29-100,1),IF(ROUND(100/Q29*R29-100,1)&gt;999,999,-999)))</f>
        <v>9.1999999999999993</v>
      </c>
      <c r="T29" s="490">
        <v>339.2</v>
      </c>
      <c r="U29" s="487">
        <f>SUM(U27+U28)</f>
        <v>555.59999999999991</v>
      </c>
      <c r="V29" s="487">
        <f>IF(T29=0, "    ---- ", IF(ABS(ROUND(100/T29*U29-100,1))&lt;999,ROUND(100/T29*U29-100,1),IF(ROUND(100/T29*U29-100,1)&gt;999,999,-999)))</f>
        <v>63.8</v>
      </c>
      <c r="W29" s="490">
        <v>9719.5400000000009</v>
      </c>
      <c r="X29" s="487">
        <f>SUM(X27+X28)</f>
        <v>10324.529999999999</v>
      </c>
      <c r="Y29" s="487">
        <f>IF(W29=0, "    ---- ", IF(ABS(ROUND(100/W29*X29-100,1))&lt;999,ROUND(100/W29*X29-100,1),IF(ROUND(100/W29*X29-100,1)&gt;999,999,-999)))</f>
        <v>6.2</v>
      </c>
      <c r="Z29" s="490">
        <v>8982</v>
      </c>
      <c r="AA29" s="487">
        <f>SUM(AA27+AA28)</f>
        <v>9747</v>
      </c>
      <c r="AB29" s="487">
        <f>IF(Z29=0, "    ---- ", IF(ABS(ROUND(100/Z29*AA29-100,1))&lt;999,ROUND(100/Z29*AA29-100,1),IF(ROUND(100/Z29*AA29-100,1)&gt;999,999,-999)))</f>
        <v>8.5</v>
      </c>
      <c r="AC29" s="490">
        <v>32</v>
      </c>
      <c r="AD29" s="487">
        <f>SUM(AD27+AD28)</f>
        <v>49</v>
      </c>
      <c r="AE29" s="487">
        <f>IF(AC29=0, "    ---- ", IF(ABS(ROUND(100/AC29*AD29-100,1))&lt;999,ROUND(100/AC29*AD29-100,1),IF(ROUND(100/AC29*AD29-100,1)&gt;999,999,-999)))</f>
        <v>53.1</v>
      </c>
      <c r="AF29" s="490">
        <v>6502.5039999999999</v>
      </c>
      <c r="AG29" s="487">
        <f>SUM(AG27+AG28)</f>
        <v>6950.5400000000009</v>
      </c>
      <c r="AH29" s="487">
        <f>IF(AF29=0, "    ---- ", IF(ABS(ROUND(100/AF29*AG29-100,1))&lt;999,ROUND(100/AF29*AG29-100,1),IF(ROUND(100/AF29*AG29-100,1)&gt;999,999,-999)))</f>
        <v>6.9</v>
      </c>
      <c r="AI29" s="490">
        <v>34271.5</v>
      </c>
      <c r="AJ29" s="487">
        <f>SUM(AJ27+AJ28)</f>
        <v>37331</v>
      </c>
      <c r="AK29" s="487">
        <f>IF(AI29=0, "    ---- ", IF(ABS(ROUND(100/AI29*AJ29-100,1))&lt;999,ROUND(100/AI29*AJ29-100,1),IF(ROUND(100/AI29*AJ29-100,1)&gt;999,999,-999)))</f>
        <v>8.9</v>
      </c>
      <c r="AL29" s="534">
        <f t="shared" si="7"/>
        <v>127630.47206746</v>
      </c>
      <c r="AM29" s="534">
        <f t="shared" si="7"/>
        <v>138516.58478356001</v>
      </c>
      <c r="AN29" s="487">
        <f>IF(AL29=0, "    ---- ", IF(ABS(ROUND(100/AL29*AM29-100,1))&lt;999,ROUND(100/AL29*AM29-100,1),IF(ROUND(100/AL29*AM29-100,1)&gt;999,999,-999)))</f>
        <v>8.5</v>
      </c>
      <c r="AO29" s="534">
        <f t="shared" si="8"/>
        <v>127802.47206746</v>
      </c>
      <c r="AP29" s="534">
        <f t="shared" si="8"/>
        <v>138709.58478356001</v>
      </c>
      <c r="AQ29" s="539">
        <f t="shared" si="3"/>
        <v>8.5</v>
      </c>
      <c r="AR29" s="537"/>
      <c r="AS29" s="537"/>
      <c r="AT29" s="540"/>
      <c r="AU29" s="491"/>
      <c r="AV29" s="491"/>
      <c r="AW29" s="302"/>
    </row>
    <row r="30" spans="1:49" s="105" customFormat="1" ht="20.100000000000001" customHeight="1" x14ac:dyDescent="0.3">
      <c r="A30" s="504"/>
      <c r="B30" s="482"/>
      <c r="C30" s="483"/>
      <c r="D30" s="489"/>
      <c r="E30" s="482"/>
      <c r="F30" s="483"/>
      <c r="G30" s="489"/>
      <c r="H30" s="482"/>
      <c r="I30" s="483"/>
      <c r="J30" s="489"/>
      <c r="K30" s="488"/>
      <c r="L30" s="489"/>
      <c r="M30" s="483"/>
      <c r="N30" s="482"/>
      <c r="O30" s="483"/>
      <c r="P30" s="371"/>
      <c r="Q30" s="482"/>
      <c r="R30" s="483"/>
      <c r="S30" s="371"/>
      <c r="T30" s="482"/>
      <c r="U30" s="483"/>
      <c r="V30" s="371"/>
      <c r="W30" s="482"/>
      <c r="X30" s="483"/>
      <c r="Y30" s="371"/>
      <c r="Z30" s="482"/>
      <c r="AA30" s="483"/>
      <c r="AB30" s="371"/>
      <c r="AC30" s="482"/>
      <c r="AD30" s="483"/>
      <c r="AE30" s="371"/>
      <c r="AF30" s="482"/>
      <c r="AG30" s="483"/>
      <c r="AH30" s="371"/>
      <c r="AI30" s="482"/>
      <c r="AJ30" s="483"/>
      <c r="AK30" s="371"/>
      <c r="AL30" s="483"/>
      <c r="AM30" s="483"/>
      <c r="AN30" s="371"/>
      <c r="AO30" s="483"/>
      <c r="AP30" s="483"/>
      <c r="AQ30" s="541"/>
      <c r="AR30" s="527"/>
      <c r="AS30" s="527"/>
      <c r="AT30" s="486"/>
      <c r="AU30" s="486"/>
      <c r="AV30" s="486"/>
    </row>
    <row r="31" spans="1:49" s="105" customFormat="1" ht="20.100000000000001" customHeight="1" x14ac:dyDescent="0.3">
      <c r="A31" s="506" t="s">
        <v>296</v>
      </c>
      <c r="B31" s="488"/>
      <c r="C31" s="489"/>
      <c r="D31" s="489"/>
      <c r="E31" s="488"/>
      <c r="F31" s="489"/>
      <c r="G31" s="489"/>
      <c r="H31" s="488"/>
      <c r="I31" s="489"/>
      <c r="J31" s="489"/>
      <c r="K31" s="488"/>
      <c r="L31" s="489"/>
      <c r="M31" s="483"/>
      <c r="N31" s="488"/>
      <c r="O31" s="489"/>
      <c r="P31" s="371"/>
      <c r="Q31" s="488"/>
      <c r="R31" s="489"/>
      <c r="S31" s="371"/>
      <c r="T31" s="488"/>
      <c r="U31" s="489"/>
      <c r="V31" s="371"/>
      <c r="W31" s="488"/>
      <c r="X31" s="489"/>
      <c r="Y31" s="371"/>
      <c r="Z31" s="488"/>
      <c r="AA31" s="489"/>
      <c r="AB31" s="371"/>
      <c r="AC31" s="488"/>
      <c r="AD31" s="489"/>
      <c r="AE31" s="371"/>
      <c r="AF31" s="488"/>
      <c r="AG31" s="489"/>
      <c r="AH31" s="371"/>
      <c r="AI31" s="488"/>
      <c r="AJ31" s="489"/>
      <c r="AK31" s="371"/>
      <c r="AL31" s="483"/>
      <c r="AM31" s="483"/>
      <c r="AN31" s="371"/>
      <c r="AO31" s="483"/>
      <c r="AP31" s="483"/>
      <c r="AQ31" s="541"/>
      <c r="AR31" s="527"/>
      <c r="AS31" s="527"/>
      <c r="AT31" s="486"/>
      <c r="AU31" s="486"/>
      <c r="AV31" s="486"/>
    </row>
    <row r="32" spans="1:49" s="105" customFormat="1" ht="20.100000000000001" customHeight="1" x14ac:dyDescent="0.3">
      <c r="A32" s="506" t="s">
        <v>297</v>
      </c>
      <c r="B32" s="488"/>
      <c r="C32" s="489"/>
      <c r="D32" s="371"/>
      <c r="E32" s="488"/>
      <c r="F32" s="489"/>
      <c r="G32" s="371"/>
      <c r="H32" s="488"/>
      <c r="I32" s="489"/>
      <c r="J32" s="371"/>
      <c r="K32" s="488"/>
      <c r="L32" s="489"/>
      <c r="M32" s="483"/>
      <c r="N32" s="488"/>
      <c r="O32" s="489"/>
      <c r="P32" s="371"/>
      <c r="Q32" s="488"/>
      <c r="R32" s="489"/>
      <c r="S32" s="371"/>
      <c r="T32" s="488"/>
      <c r="U32" s="489"/>
      <c r="V32" s="371"/>
      <c r="W32" s="488"/>
      <c r="X32" s="489"/>
      <c r="Y32" s="371"/>
      <c r="Z32" s="488"/>
      <c r="AA32" s="489"/>
      <c r="AB32" s="371"/>
      <c r="AC32" s="488"/>
      <c r="AD32" s="489"/>
      <c r="AE32" s="371"/>
      <c r="AF32" s="488"/>
      <c r="AG32" s="489"/>
      <c r="AH32" s="371"/>
      <c r="AI32" s="488"/>
      <c r="AJ32" s="489"/>
      <c r="AK32" s="371"/>
      <c r="AL32" s="483"/>
      <c r="AM32" s="483"/>
      <c r="AN32" s="371"/>
      <c r="AO32" s="483"/>
      <c r="AP32" s="483"/>
      <c r="AQ32" s="541"/>
      <c r="AR32" s="527"/>
      <c r="AS32" s="527"/>
      <c r="AT32" s="486"/>
      <c r="AU32" s="486"/>
      <c r="AV32" s="486"/>
    </row>
    <row r="33" spans="1:49" s="105" customFormat="1" ht="20.100000000000001" customHeight="1" x14ac:dyDescent="0.3">
      <c r="A33" s="504" t="s">
        <v>298</v>
      </c>
      <c r="B33" s="488"/>
      <c r="C33" s="489"/>
      <c r="D33" s="489"/>
      <c r="E33" s="488">
        <v>41.616</v>
      </c>
      <c r="F33" s="489">
        <v>33.582000000000001</v>
      </c>
      <c r="G33" s="489">
        <f t="shared" ref="G33:G91" si="17">IF(E33=0, "    ---- ", IF(ABS(ROUND(100/E33*F33-100,1))&lt;999,ROUND(100/E33*F33-100,1),IF(ROUND(100/E33*F33-100,1)&gt;999,999,-999)))</f>
        <v>-19.3</v>
      </c>
      <c r="H33" s="488"/>
      <c r="I33" s="489"/>
      <c r="J33" s="489"/>
      <c r="K33" s="488"/>
      <c r="L33" s="489"/>
      <c r="M33" s="483"/>
      <c r="N33" s="488"/>
      <c r="O33" s="489"/>
      <c r="P33" s="371"/>
      <c r="Q33" s="488"/>
      <c r="R33" s="489"/>
      <c r="S33" s="371"/>
      <c r="T33" s="488"/>
      <c r="U33" s="489"/>
      <c r="V33" s="371"/>
      <c r="W33" s="488">
        <v>1.9699999999999998E-6</v>
      </c>
      <c r="X33" s="489">
        <v>1.9699999999999998E-6</v>
      </c>
      <c r="Y33" s="371">
        <f t="shared" ref="Y33:Y91" si="18">IF(W33=0, "    ---- ", IF(ABS(ROUND(100/W33*X33-100,1))&lt;999,ROUND(100/W33*X33-100,1),IF(ROUND(100/W33*X33-100,1)&gt;999,999,-999)))</f>
        <v>0</v>
      </c>
      <c r="Z33" s="488"/>
      <c r="AA33" s="489"/>
      <c r="AB33" s="371"/>
      <c r="AC33" s="488"/>
      <c r="AD33" s="489"/>
      <c r="AE33" s="371"/>
      <c r="AF33" s="488">
        <v>0.98099999999999998</v>
      </c>
      <c r="AG33" s="489">
        <v>0.99299999999999999</v>
      </c>
      <c r="AH33" s="371">
        <f t="shared" ref="AH33:AH91" si="19">IF(AF33=0, "    ---- ", IF(ABS(ROUND(100/AF33*AG33-100,1))&lt;999,ROUND(100/AF33*AG33-100,1),IF(ROUND(100/AF33*AG33-100,1)&gt;999,999,-999)))</f>
        <v>1.2</v>
      </c>
      <c r="AI33" s="488"/>
      <c r="AJ33" s="489"/>
      <c r="AK33" s="371"/>
      <c r="AL33" s="483">
        <f>B33+E33+H33+K33+Q33+T33+W33+Z33+AF33+AI33</f>
        <v>42.597001970000001</v>
      </c>
      <c r="AM33" s="483">
        <f>C33+F33+I33+L33+R33+U33+X33+AA33+AG33+AJ33</f>
        <v>34.575001970000002</v>
      </c>
      <c r="AN33" s="371">
        <f t="shared" ref="AN33:AN91" si="20">IF(AL33=0, "    ---- ", IF(ABS(ROUND(100/AL33*AM33-100,1))&lt;999,ROUND(100/AL33*AM33-100,1),IF(ROUND(100/AL33*AM33-100,1)&gt;999,999,-999)))</f>
        <v>-18.8</v>
      </c>
      <c r="AO33" s="483">
        <f>B33+E33+H33+K33+N33+Q33+T33+W33+Z33+AC33+AF33+AI33</f>
        <v>42.597001970000001</v>
      </c>
      <c r="AP33" s="483">
        <f>C33+F33+I33+L33+O33+R33+U33+X33+AA33+AD33+AG33+AJ33</f>
        <v>34.575001970000002</v>
      </c>
      <c r="AQ33" s="541">
        <f t="shared" ref="AQ33:AQ91" si="21">IF(AO33=0, "    ---- ", IF(ABS(ROUND(100/AO33*AP33-100,1))&lt;999,ROUND(100/AO33*AP33-100,1),IF(ROUND(100/AO33*AP33-100,1)&gt;999,999,-999)))</f>
        <v>-18.8</v>
      </c>
      <c r="AR33" s="527"/>
      <c r="AS33" s="527"/>
      <c r="AT33" s="542"/>
      <c r="AU33" s="486"/>
      <c r="AV33" s="486"/>
      <c r="AW33" s="303"/>
    </row>
    <row r="34" spans="1:49" s="105" customFormat="1" ht="20.100000000000001" customHeight="1" x14ac:dyDescent="0.3">
      <c r="A34" s="504" t="s">
        <v>299</v>
      </c>
      <c r="B34" s="488"/>
      <c r="C34" s="489"/>
      <c r="D34" s="489"/>
      <c r="E34" s="488">
        <v>20828.067999999999</v>
      </c>
      <c r="F34" s="489">
        <v>21258.143</v>
      </c>
      <c r="G34" s="489">
        <f t="shared" si="17"/>
        <v>2.1</v>
      </c>
      <c r="H34" s="488"/>
      <c r="I34" s="489"/>
      <c r="J34" s="489"/>
      <c r="K34" s="488"/>
      <c r="L34" s="489">
        <v>859.6</v>
      </c>
      <c r="M34" s="483" t="str">
        <f>IF(K34=0, "    ---- ", IF(ABS(ROUND(100/K34*L34-100,1))&lt;999,ROUND(100/K34*L34-100,1),IF(ROUND(100/K34*L34-100,1)&gt;999,999,-999)))</f>
        <v xml:space="preserve">    ---- </v>
      </c>
      <c r="N34" s="488"/>
      <c r="O34" s="489"/>
      <c r="P34" s="371"/>
      <c r="Q34" s="488">
        <v>55887.879598580002</v>
      </c>
      <c r="R34" s="489">
        <v>59185.830227449995</v>
      </c>
      <c r="S34" s="371">
        <f>IF(Q34=0, "    ---- ", IF(ABS(ROUND(100/Q34*R34-100,1))&lt;999,ROUND(100/Q34*R34-100,1),IF(ROUND(100/Q34*R34-100,1)&gt;999,999,-999)))</f>
        <v>5.9</v>
      </c>
      <c r="T34" s="488">
        <v>187.8</v>
      </c>
      <c r="U34" s="489">
        <v>197.9</v>
      </c>
      <c r="V34" s="371">
        <f>IF(T34=0, "    ---- ", IF(ABS(ROUND(100/T34*U34-100,1))&lt;999,ROUND(100/T34*U34-100,1),IF(ROUND(100/T34*U34-100,1)&gt;999,999,-999)))</f>
        <v>5.4</v>
      </c>
      <c r="W34" s="488">
        <v>5827.8934920000002</v>
      </c>
      <c r="X34" s="489">
        <v>5615.5928337700007</v>
      </c>
      <c r="Y34" s="371">
        <f t="shared" si="18"/>
        <v>-3.6</v>
      </c>
      <c r="Z34" s="488">
        <v>12842</v>
      </c>
      <c r="AA34" s="489">
        <v>13709</v>
      </c>
      <c r="AB34" s="371">
        <f t="shared" ref="AB34:AB42" si="22">IF(Z34=0, "    ---- ", IF(ABS(ROUND(100/Z34*AA34-100,1))&lt;999,ROUND(100/Z34*AA34-100,1),IF(ROUND(100/Z34*AA34-100,1)&gt;999,999,-999)))</f>
        <v>6.8</v>
      </c>
      <c r="AC34" s="488"/>
      <c r="AD34" s="489"/>
      <c r="AE34" s="371"/>
      <c r="AF34" s="488">
        <v>3483.319</v>
      </c>
      <c r="AG34" s="489">
        <v>4161.7060000000001</v>
      </c>
      <c r="AH34" s="371">
        <f t="shared" si="19"/>
        <v>19.5</v>
      </c>
      <c r="AI34" s="488">
        <v>21362</v>
      </c>
      <c r="AJ34" s="489">
        <v>19953</v>
      </c>
      <c r="AK34" s="371">
        <f t="shared" ref="AK34:AK91" si="23">IF(AI34=0, "    ---- ", IF(ABS(ROUND(100/AI34*AJ34-100,1))&lt;999,ROUND(100/AI34*AJ34-100,1),IF(ROUND(100/AI34*AJ34-100,1)&gt;999,999,-999)))</f>
        <v>-6.6</v>
      </c>
      <c r="AL34" s="483">
        <f t="shared" ref="AL34:AM46" si="24">B34+E34+H34+K34+Q34+T34+W34+Z34+AF34+AI34</f>
        <v>120418.96009058002</v>
      </c>
      <c r="AM34" s="483">
        <f t="shared" si="24"/>
        <v>124940.77206121999</v>
      </c>
      <c r="AN34" s="371">
        <f t="shared" si="20"/>
        <v>3.8</v>
      </c>
      <c r="AO34" s="483">
        <f t="shared" ref="AO34:AP46" si="25">B34+E34+H34+K34+N34+Q34+T34+W34+Z34+AC34+AF34+AI34</f>
        <v>120418.96009058002</v>
      </c>
      <c r="AP34" s="483">
        <f t="shared" si="25"/>
        <v>124940.77206121999</v>
      </c>
      <c r="AQ34" s="541">
        <f t="shared" si="21"/>
        <v>3.8</v>
      </c>
      <c r="AR34" s="527"/>
      <c r="AS34" s="527"/>
      <c r="AT34" s="542"/>
      <c r="AU34" s="486"/>
      <c r="AV34" s="486"/>
      <c r="AW34" s="303"/>
    </row>
    <row r="35" spans="1:49" s="105" customFormat="1" ht="20.100000000000001" customHeight="1" x14ac:dyDescent="0.3">
      <c r="A35" s="504" t="s">
        <v>300</v>
      </c>
      <c r="B35" s="483"/>
      <c r="C35" s="489"/>
      <c r="D35" s="489"/>
      <c r="E35" s="488">
        <v>114318.66100000001</v>
      </c>
      <c r="F35" s="489">
        <f>SUM(F36+F38)</f>
        <v>107771.33799999999</v>
      </c>
      <c r="G35" s="489">
        <f t="shared" si="17"/>
        <v>-5.7</v>
      </c>
      <c r="H35" s="488">
        <v>118.56</v>
      </c>
      <c r="I35" s="489">
        <f>SUM(I36+I38)</f>
        <v>151.941</v>
      </c>
      <c r="J35" s="487">
        <f t="shared" ref="J35:J36" si="26">IF(H35=0, "    ---- ", IF(ABS(ROUND(100/H35*I35-100,1))&lt;999,ROUND(100/H35*I35-100,1),IF(ROUND(100/H35*I35-100,1)&gt;999,999,-999)))</f>
        <v>28.2</v>
      </c>
      <c r="K35" s="488">
        <v>3901.3609999999999</v>
      </c>
      <c r="L35" s="489">
        <f>SUM(L36+L38)</f>
        <v>4623.2</v>
      </c>
      <c r="M35" s="483">
        <f>IF(K35=0, "    ---- ", IF(ABS(ROUND(100/K35*L35-100,1))&lt;999,ROUND(100/K35*L35-100,1),IF(ROUND(100/K35*L35-100,1)&gt;999,999,-999)))</f>
        <v>18.5</v>
      </c>
      <c r="N35" s="488"/>
      <c r="O35" s="489"/>
      <c r="P35" s="371"/>
      <c r="Q35" s="488">
        <v>177076.59588765999</v>
      </c>
      <c r="R35" s="489">
        <f>SUM(R36+R38)</f>
        <v>191161.80717301997</v>
      </c>
      <c r="S35" s="371">
        <f>IF(Q35=0, "    ---- ", IF(ABS(ROUND(100/Q35*R35-100,1))&lt;999,ROUND(100/Q35*R35-100,1),IF(ROUND(100/Q35*R35-100,1)&gt;999,999,-999)))</f>
        <v>8</v>
      </c>
      <c r="T35" s="488">
        <v>751.8</v>
      </c>
      <c r="U35" s="489">
        <f>SUM(U36+U38)</f>
        <v>996.7</v>
      </c>
      <c r="V35" s="371">
        <f>IF(T35=0, "    ---- ", IF(ABS(ROUND(100/T35*U35-100,1))&lt;999,ROUND(100/T35*U35-100,1),IF(ROUND(100/T35*U35-100,1)&gt;999,999,-999)))</f>
        <v>32.6</v>
      </c>
      <c r="W35" s="488">
        <v>26494.383190099899</v>
      </c>
      <c r="X35" s="489">
        <f>SUM(X36+X38)</f>
        <v>30413.554870229902</v>
      </c>
      <c r="Y35" s="371">
        <f t="shared" si="18"/>
        <v>14.8</v>
      </c>
      <c r="Z35" s="488">
        <v>20794</v>
      </c>
      <c r="AA35" s="489">
        <f>SUM(AA36+AA38)</f>
        <v>20858</v>
      </c>
      <c r="AB35" s="371">
        <f t="shared" si="22"/>
        <v>0.3</v>
      </c>
      <c r="AC35" s="488"/>
      <c r="AD35" s="489"/>
      <c r="AE35" s="371"/>
      <c r="AF35" s="488">
        <v>7638.7289999999994</v>
      </c>
      <c r="AG35" s="489">
        <f>SUM(AG36+AG38)</f>
        <v>8408.5580000000009</v>
      </c>
      <c r="AH35" s="371">
        <f t="shared" si="19"/>
        <v>10.1</v>
      </c>
      <c r="AI35" s="488">
        <v>118007.3</v>
      </c>
      <c r="AJ35" s="489">
        <f>SUM(AJ36+AJ38)</f>
        <v>123484</v>
      </c>
      <c r="AK35" s="371">
        <f t="shared" si="23"/>
        <v>4.5999999999999996</v>
      </c>
      <c r="AL35" s="483">
        <f t="shared" si="24"/>
        <v>469101.39007775986</v>
      </c>
      <c r="AM35" s="483">
        <f t="shared" si="24"/>
        <v>487869.09904324991</v>
      </c>
      <c r="AN35" s="371">
        <f t="shared" si="20"/>
        <v>4</v>
      </c>
      <c r="AO35" s="483">
        <f t="shared" si="25"/>
        <v>469101.39007775986</v>
      </c>
      <c r="AP35" s="483">
        <f t="shared" si="25"/>
        <v>487869.09904324991</v>
      </c>
      <c r="AQ35" s="541">
        <f t="shared" si="21"/>
        <v>4</v>
      </c>
      <c r="AR35" s="527"/>
      <c r="AS35" s="527"/>
      <c r="AT35" s="542"/>
      <c r="AU35" s="486"/>
      <c r="AV35" s="486"/>
      <c r="AW35" s="303"/>
    </row>
    <row r="36" spans="1:49" s="105" customFormat="1" ht="20.100000000000001" customHeight="1" x14ac:dyDescent="0.3">
      <c r="A36" s="504" t="s">
        <v>301</v>
      </c>
      <c r="B36" s="488"/>
      <c r="C36" s="489"/>
      <c r="D36" s="371"/>
      <c r="E36" s="488">
        <v>79389.831000000006</v>
      </c>
      <c r="F36" s="489">
        <v>71361.380999999994</v>
      </c>
      <c r="G36" s="371">
        <f t="shared" si="17"/>
        <v>-10.1</v>
      </c>
      <c r="H36" s="488">
        <v>118.56</v>
      </c>
      <c r="I36" s="489">
        <v>151.941</v>
      </c>
      <c r="J36" s="487">
        <f t="shared" si="26"/>
        <v>28.2</v>
      </c>
      <c r="K36" s="488">
        <v>29.193999999999999</v>
      </c>
      <c r="L36" s="489">
        <v>29.2</v>
      </c>
      <c r="M36" s="483">
        <f>IF(K36=0, "    ---- ", IF(ABS(ROUND(100/K36*L36-100,1))&lt;999,ROUND(100/K36*L36-100,1),IF(ROUND(100/K36*L36-100,1)&gt;999,999,-999)))</f>
        <v>0</v>
      </c>
      <c r="N36" s="488"/>
      <c r="O36" s="489"/>
      <c r="P36" s="371"/>
      <c r="Q36" s="488">
        <v>25928.321329450002</v>
      </c>
      <c r="R36" s="489">
        <v>24469.34521191</v>
      </c>
      <c r="S36" s="371">
        <f>IF(Q36=0, "    ---- ", IF(ABS(ROUND(100/Q36*R36-100,1))&lt;999,ROUND(100/Q36*R36-100,1),IF(ROUND(100/Q36*R36-100,1)&gt;999,999,-999)))</f>
        <v>-5.6</v>
      </c>
      <c r="T36" s="488">
        <v>91.4</v>
      </c>
      <c r="U36" s="489">
        <v>120.5</v>
      </c>
      <c r="V36" s="371">
        <f>IF(T36=0, "    ---- ", IF(ABS(ROUND(100/T36*U36-100,1))&lt;999,ROUND(100/T36*U36-100,1),IF(ROUND(100/T36*U36-100,1)&gt;999,999,-999)))</f>
        <v>31.8</v>
      </c>
      <c r="W36" s="488">
        <v>523.64260489000003</v>
      </c>
      <c r="X36" s="489">
        <v>809.21192501999997</v>
      </c>
      <c r="Y36" s="371">
        <f t="shared" si="18"/>
        <v>54.5</v>
      </c>
      <c r="Z36" s="488">
        <v>2397</v>
      </c>
      <c r="AA36" s="489">
        <v>1067</v>
      </c>
      <c r="AB36" s="371">
        <f t="shared" si="22"/>
        <v>-55.5</v>
      </c>
      <c r="AC36" s="488"/>
      <c r="AD36" s="489"/>
      <c r="AE36" s="371"/>
      <c r="AF36" s="488">
        <v>1730.646</v>
      </c>
      <c r="AG36" s="489">
        <v>1341.8440000000001</v>
      </c>
      <c r="AH36" s="371">
        <f t="shared" si="19"/>
        <v>-22.5</v>
      </c>
      <c r="AI36" s="488">
        <v>15688</v>
      </c>
      <c r="AJ36" s="489">
        <v>15166</v>
      </c>
      <c r="AK36" s="371">
        <f t="shared" si="23"/>
        <v>-3.3</v>
      </c>
      <c r="AL36" s="483">
        <f t="shared" si="24"/>
        <v>125896.59493434</v>
      </c>
      <c r="AM36" s="483">
        <f t="shared" si="24"/>
        <v>114516.42313693</v>
      </c>
      <c r="AN36" s="371">
        <f t="shared" si="20"/>
        <v>-9</v>
      </c>
      <c r="AO36" s="483">
        <f t="shared" si="25"/>
        <v>125896.59493434</v>
      </c>
      <c r="AP36" s="483">
        <f t="shared" si="25"/>
        <v>114516.42313693</v>
      </c>
      <c r="AQ36" s="541">
        <f t="shared" si="21"/>
        <v>-9</v>
      </c>
      <c r="AR36" s="527"/>
      <c r="AS36" s="527"/>
      <c r="AT36" s="542"/>
      <c r="AU36" s="486"/>
      <c r="AV36" s="486"/>
      <c r="AW36" s="303"/>
    </row>
    <row r="37" spans="1:49" s="105" customFormat="1" ht="20.100000000000001" customHeight="1" x14ac:dyDescent="0.3">
      <c r="A37" s="504" t="s">
        <v>284</v>
      </c>
      <c r="B37" s="488"/>
      <c r="C37" s="489"/>
      <c r="D37" s="489"/>
      <c r="E37" s="488">
        <v>79389.831000000006</v>
      </c>
      <c r="F37" s="489">
        <v>71361.380999999994</v>
      </c>
      <c r="G37" s="489">
        <f t="shared" si="17"/>
        <v>-10.1</v>
      </c>
      <c r="H37" s="488"/>
      <c r="I37" s="489"/>
      <c r="J37" s="489"/>
      <c r="K37" s="488">
        <v>29.193999999999999</v>
      </c>
      <c r="L37" s="489">
        <v>29.2</v>
      </c>
      <c r="M37" s="483">
        <f>IF(K37=0, "    ---- ", IF(ABS(ROUND(100/K37*L37-100,1))&lt;999,ROUND(100/K37*L37-100,1),IF(ROUND(100/K37*L37-100,1)&gt;999,999,-999)))</f>
        <v>0</v>
      </c>
      <c r="N37" s="488"/>
      <c r="O37" s="489"/>
      <c r="P37" s="371"/>
      <c r="Q37" s="488">
        <v>25928.321329450002</v>
      </c>
      <c r="R37" s="489">
        <v>24469.34521191</v>
      </c>
      <c r="S37" s="371">
        <f>IF(Q37=0, "    ---- ", IF(ABS(ROUND(100/Q37*R37-100,1))&lt;999,ROUND(100/Q37*R37-100,1),IF(ROUND(100/Q37*R37-100,1)&gt;999,999,-999)))</f>
        <v>-5.6</v>
      </c>
      <c r="T37" s="488"/>
      <c r="U37" s="489"/>
      <c r="V37" s="371"/>
      <c r="W37" s="488">
        <v>523.64260489000003</v>
      </c>
      <c r="X37" s="489">
        <v>809.21192501999997</v>
      </c>
      <c r="Y37" s="371">
        <f t="shared" si="18"/>
        <v>54.5</v>
      </c>
      <c r="Z37" s="488"/>
      <c r="AA37" s="489"/>
      <c r="AB37" s="371"/>
      <c r="AC37" s="488"/>
      <c r="AD37" s="489"/>
      <c r="AE37" s="371"/>
      <c r="AF37" s="488">
        <v>180.9758970999992</v>
      </c>
      <c r="AG37" s="489">
        <v>180.97930505999983</v>
      </c>
      <c r="AH37" s="371">
        <f t="shared" si="19"/>
        <v>0</v>
      </c>
      <c r="AI37" s="488">
        <v>15688</v>
      </c>
      <c r="AJ37" s="489">
        <v>15166</v>
      </c>
      <c r="AK37" s="371">
        <f t="shared" si="23"/>
        <v>-3.3</v>
      </c>
      <c r="AL37" s="483">
        <f t="shared" si="24"/>
        <v>121739.96483144001</v>
      </c>
      <c r="AM37" s="483">
        <f t="shared" si="24"/>
        <v>112016.11744198999</v>
      </c>
      <c r="AN37" s="371">
        <f t="shared" si="20"/>
        <v>-8</v>
      </c>
      <c r="AO37" s="483">
        <f t="shared" si="25"/>
        <v>121739.96483144001</v>
      </c>
      <c r="AP37" s="483">
        <f t="shared" si="25"/>
        <v>112016.11744198999</v>
      </c>
      <c r="AQ37" s="541">
        <f t="shared" si="21"/>
        <v>-8</v>
      </c>
      <c r="AR37" s="527"/>
      <c r="AS37" s="527"/>
      <c r="AT37" s="542"/>
      <c r="AU37" s="486"/>
      <c r="AV37" s="486"/>
      <c r="AW37" s="303"/>
    </row>
    <row r="38" spans="1:49" s="105" customFormat="1" ht="20.100000000000001" customHeight="1" x14ac:dyDescent="0.3">
      <c r="A38" s="504" t="s">
        <v>302</v>
      </c>
      <c r="B38" s="488"/>
      <c r="C38" s="489"/>
      <c r="D38" s="489"/>
      <c r="E38" s="488">
        <v>34928.83</v>
      </c>
      <c r="F38" s="489">
        <v>36409.957000000002</v>
      </c>
      <c r="G38" s="489">
        <f t="shared" si="17"/>
        <v>4.2</v>
      </c>
      <c r="H38" s="488"/>
      <c r="I38" s="489"/>
      <c r="J38" s="489"/>
      <c r="K38" s="488">
        <v>3872.1669999999999</v>
      </c>
      <c r="L38" s="489">
        <v>4594</v>
      </c>
      <c r="M38" s="483">
        <f t="shared" ref="M38:M57" si="27">IF(K38=0, "    ---- ", IF(ABS(ROUND(100/K38*L38-100,1))&lt;999,ROUND(100/K38*L38-100,1),IF(ROUND(100/K38*L38-100,1)&gt;999,999,-999)))</f>
        <v>18.600000000000001</v>
      </c>
      <c r="N38" s="488"/>
      <c r="O38" s="489"/>
      <c r="P38" s="371"/>
      <c r="Q38" s="488">
        <v>151148.27455820999</v>
      </c>
      <c r="R38" s="489">
        <v>166692.46196110998</v>
      </c>
      <c r="S38" s="371">
        <f t="shared" ref="S38:S45" si="28">IF(Q38=0, "    ---- ", IF(ABS(ROUND(100/Q38*R38-100,1))&lt;999,ROUND(100/Q38*R38-100,1),IF(ROUND(100/Q38*R38-100,1)&gt;999,999,-999)))</f>
        <v>10.3</v>
      </c>
      <c r="T38" s="488">
        <v>660.4</v>
      </c>
      <c r="U38" s="489">
        <v>876.2</v>
      </c>
      <c r="V38" s="371">
        <f>IF(T38=0, "    ---- ", IF(ABS(ROUND(100/T38*U38-100,1))&lt;999,ROUND(100/T38*U38-100,1),IF(ROUND(100/T38*U38-100,1)&gt;999,999,-999)))</f>
        <v>32.700000000000003</v>
      </c>
      <c r="W38" s="488">
        <v>25970.7405852099</v>
      </c>
      <c r="X38" s="489">
        <v>29604.342945209901</v>
      </c>
      <c r="Y38" s="371">
        <f t="shared" si="18"/>
        <v>14</v>
      </c>
      <c r="Z38" s="488">
        <v>18397</v>
      </c>
      <c r="AA38" s="489">
        <v>19791</v>
      </c>
      <c r="AB38" s="371">
        <f t="shared" si="22"/>
        <v>7.6</v>
      </c>
      <c r="AC38" s="488"/>
      <c r="AD38" s="489"/>
      <c r="AE38" s="371"/>
      <c r="AF38" s="488">
        <v>5908.0829999999996</v>
      </c>
      <c r="AG38" s="489">
        <v>7066.7139999999999</v>
      </c>
      <c r="AH38" s="371">
        <f t="shared" si="19"/>
        <v>19.600000000000001</v>
      </c>
      <c r="AI38" s="488">
        <v>102319.3</v>
      </c>
      <c r="AJ38" s="489">
        <v>108318</v>
      </c>
      <c r="AK38" s="371">
        <f t="shared" si="23"/>
        <v>5.9</v>
      </c>
      <c r="AL38" s="483">
        <f t="shared" si="24"/>
        <v>343204.79514341988</v>
      </c>
      <c r="AM38" s="483">
        <f t="shared" si="24"/>
        <v>373352.67590631987</v>
      </c>
      <c r="AN38" s="371">
        <f t="shared" si="20"/>
        <v>8.8000000000000007</v>
      </c>
      <c r="AO38" s="483">
        <f t="shared" si="25"/>
        <v>343204.79514341988</v>
      </c>
      <c r="AP38" s="483">
        <f t="shared" si="25"/>
        <v>373352.67590631987</v>
      </c>
      <c r="AQ38" s="541">
        <f t="shared" si="21"/>
        <v>8.8000000000000007</v>
      </c>
      <c r="AR38" s="527"/>
      <c r="AS38" s="527"/>
      <c r="AT38" s="542"/>
      <c r="AU38" s="486"/>
      <c r="AV38" s="486"/>
      <c r="AW38" s="303"/>
    </row>
    <row r="39" spans="1:49" s="105" customFormat="1" ht="20.100000000000001" customHeight="1" x14ac:dyDescent="0.3">
      <c r="A39" s="504" t="s">
        <v>303</v>
      </c>
      <c r="B39" s="483">
        <v>982.92600000000004</v>
      </c>
      <c r="C39" s="489">
        <f>SUM(C40:C44)</f>
        <v>1056.297</v>
      </c>
      <c r="D39" s="489">
        <f>IF(B39=0, "    ---- ", IF(ABS(ROUND(100/B39*C39-100,1))&lt;999,ROUND(100/B39*C39-100,1),IF(ROUND(100/B39*C39-100,1)&gt;999,999,-999)))</f>
        <v>7.5</v>
      </c>
      <c r="E39" s="488">
        <v>74884.202000000005</v>
      </c>
      <c r="F39" s="489">
        <f>SUM(F40:F44)</f>
        <v>79331.831999999995</v>
      </c>
      <c r="G39" s="489">
        <f t="shared" si="17"/>
        <v>5.9</v>
      </c>
      <c r="H39" s="488">
        <v>691.40599999999995</v>
      </c>
      <c r="I39" s="489">
        <f>SUM(I40:I44)</f>
        <v>652.11</v>
      </c>
      <c r="J39" s="489">
        <f t="shared" ref="J39:J46" si="29">IF(H39=0, "    ---- ", IF(ABS(ROUND(100/H39*I39-100,1))&lt;999,ROUND(100/H39*I39-100,1),IF(ROUND(100/H39*I39-100,1)&gt;999,999,-999)))</f>
        <v>-5.7</v>
      </c>
      <c r="K39" s="488">
        <v>1666.5170000000003</v>
      </c>
      <c r="L39" s="489">
        <f>SUM(L40:L44)</f>
        <v>691.3</v>
      </c>
      <c r="M39" s="483">
        <f t="shared" si="27"/>
        <v>-58.5</v>
      </c>
      <c r="N39" s="488"/>
      <c r="O39" s="489"/>
      <c r="P39" s="371"/>
      <c r="Q39" s="488">
        <v>236449.66065477001</v>
      </c>
      <c r="R39" s="489">
        <f>SUM(R40:R44)</f>
        <v>244798.82688786002</v>
      </c>
      <c r="S39" s="371">
        <f t="shared" si="28"/>
        <v>3.5</v>
      </c>
      <c r="T39" s="488">
        <v>648.69999999999993</v>
      </c>
      <c r="U39" s="489">
        <f>SUM(U40:U44)</f>
        <v>470</v>
      </c>
      <c r="V39" s="371">
        <f>IF(T39=0, "    ---- ", IF(ABS(ROUND(100/T39*U39-100,1))&lt;999,ROUND(100/T39*U39-100,1),IF(ROUND(100/T39*U39-100,1)&gt;999,999,-999)))</f>
        <v>-27.5</v>
      </c>
      <c r="W39" s="488">
        <v>17434.740626869901</v>
      </c>
      <c r="X39" s="489">
        <f>SUM(X40:X44)</f>
        <v>14162.821125759998</v>
      </c>
      <c r="Y39" s="371">
        <f t="shared" si="18"/>
        <v>-18.8</v>
      </c>
      <c r="Z39" s="488">
        <v>42924</v>
      </c>
      <c r="AA39" s="489">
        <f>SUM(AA40:AA44)</f>
        <v>48110</v>
      </c>
      <c r="AB39" s="371">
        <f t="shared" si="22"/>
        <v>12.1</v>
      </c>
      <c r="AC39" s="488"/>
      <c r="AD39" s="489"/>
      <c r="AE39" s="371"/>
      <c r="AF39" s="488">
        <v>10279.689</v>
      </c>
      <c r="AG39" s="489">
        <f>SUM(AG40:AG44)</f>
        <v>10064.225</v>
      </c>
      <c r="AH39" s="371">
        <f t="shared" si="19"/>
        <v>-2.1</v>
      </c>
      <c r="AI39" s="488">
        <v>45833</v>
      </c>
      <c r="AJ39" s="489">
        <f>SUM(AJ40:AJ44)</f>
        <v>45804</v>
      </c>
      <c r="AK39" s="371">
        <f t="shared" si="23"/>
        <v>-0.1</v>
      </c>
      <c r="AL39" s="483">
        <f t="shared" si="24"/>
        <v>431794.84128163994</v>
      </c>
      <c r="AM39" s="483">
        <f t="shared" si="24"/>
        <v>445141.41201361996</v>
      </c>
      <c r="AN39" s="371">
        <f t="shared" si="20"/>
        <v>3.1</v>
      </c>
      <c r="AO39" s="483">
        <f t="shared" si="25"/>
        <v>431794.84128163994</v>
      </c>
      <c r="AP39" s="483">
        <f t="shared" si="25"/>
        <v>445141.41201361996</v>
      </c>
      <c r="AQ39" s="541">
        <f t="shared" si="21"/>
        <v>3.1</v>
      </c>
      <c r="AR39" s="527"/>
      <c r="AS39" s="527"/>
      <c r="AT39" s="542"/>
      <c r="AU39" s="486"/>
      <c r="AV39" s="486"/>
      <c r="AW39" s="303"/>
    </row>
    <row r="40" spans="1:49" s="105" customFormat="1" ht="20.100000000000001" customHeight="1" x14ac:dyDescent="0.3">
      <c r="A40" s="504" t="s">
        <v>304</v>
      </c>
      <c r="B40" s="488">
        <v>23.271999999999998</v>
      </c>
      <c r="C40" s="489">
        <v>38.890999999999998</v>
      </c>
      <c r="D40" s="371">
        <f>IF(B40=0, "    ---- ", IF(ABS(ROUND(100/B40*C40-100,1))&lt;999,ROUND(100/B40*C40-100,1),IF(ROUND(100/B40*C40-100,1)&gt;999,999,-999)))</f>
        <v>67.099999999999994</v>
      </c>
      <c r="E40" s="488">
        <v>16926.68</v>
      </c>
      <c r="F40" s="489">
        <v>17653.728999999999</v>
      </c>
      <c r="G40" s="371">
        <f t="shared" si="17"/>
        <v>4.3</v>
      </c>
      <c r="H40" s="488">
        <v>91.944999999999993</v>
      </c>
      <c r="I40" s="489">
        <v>93.605000000000004</v>
      </c>
      <c r="J40" s="371">
        <f t="shared" si="29"/>
        <v>1.8</v>
      </c>
      <c r="K40" s="488">
        <v>746.94799999999998</v>
      </c>
      <c r="L40" s="489"/>
      <c r="M40" s="483">
        <f t="shared" si="27"/>
        <v>-100</v>
      </c>
      <c r="N40" s="488"/>
      <c r="O40" s="489"/>
      <c r="P40" s="371"/>
      <c r="Q40" s="488">
        <v>99091.730233940005</v>
      </c>
      <c r="R40" s="489">
        <v>107518.81337097001</v>
      </c>
      <c r="S40" s="371">
        <f t="shared" si="28"/>
        <v>8.5</v>
      </c>
      <c r="T40" s="488">
        <v>193.7</v>
      </c>
      <c r="U40" s="489">
        <v>46.9</v>
      </c>
      <c r="V40" s="371">
        <f>IF(T40=0, "    ---- ", IF(ABS(ROUND(100/T40*U40-100,1))&lt;999,ROUND(100/T40*U40-100,1),IF(ROUND(100/T40*U40-100,1)&gt;999,999,-999)))</f>
        <v>-75.8</v>
      </c>
      <c r="W40" s="488">
        <v>5136.3916823</v>
      </c>
      <c r="X40" s="489">
        <v>4897.9167382299993</v>
      </c>
      <c r="Y40" s="371">
        <f t="shared" si="18"/>
        <v>-4.5999999999999996</v>
      </c>
      <c r="Z40" s="488">
        <v>23778</v>
      </c>
      <c r="AA40" s="489">
        <v>27744</v>
      </c>
      <c r="AB40" s="371">
        <f t="shared" si="22"/>
        <v>16.7</v>
      </c>
      <c r="AC40" s="488"/>
      <c r="AD40" s="489"/>
      <c r="AE40" s="371"/>
      <c r="AF40" s="488">
        <v>2853.0349999999999</v>
      </c>
      <c r="AG40" s="489">
        <v>2960.3649999999998</v>
      </c>
      <c r="AH40" s="371">
        <f t="shared" si="19"/>
        <v>3.8</v>
      </c>
      <c r="AI40" s="488">
        <v>10955</v>
      </c>
      <c r="AJ40" s="489">
        <v>14083</v>
      </c>
      <c r="AK40" s="371">
        <f t="shared" si="23"/>
        <v>28.6</v>
      </c>
      <c r="AL40" s="483">
        <f t="shared" si="24"/>
        <v>159796.70191624001</v>
      </c>
      <c r="AM40" s="483">
        <f t="shared" si="24"/>
        <v>175037.22010919999</v>
      </c>
      <c r="AN40" s="371">
        <f t="shared" si="20"/>
        <v>9.5</v>
      </c>
      <c r="AO40" s="483">
        <f t="shared" si="25"/>
        <v>159796.70191624001</v>
      </c>
      <c r="AP40" s="483">
        <f t="shared" si="25"/>
        <v>175037.22010919999</v>
      </c>
      <c r="AQ40" s="541">
        <f t="shared" si="21"/>
        <v>9.5</v>
      </c>
      <c r="AR40" s="527"/>
      <c r="AS40" s="527"/>
      <c r="AT40" s="542"/>
      <c r="AU40" s="486"/>
      <c r="AV40" s="486"/>
      <c r="AW40" s="303"/>
    </row>
    <row r="41" spans="1:49" s="105" customFormat="1" ht="20.100000000000001" customHeight="1" x14ac:dyDescent="0.3">
      <c r="A41" s="504" t="s">
        <v>305</v>
      </c>
      <c r="B41" s="488">
        <v>914.18799999999999</v>
      </c>
      <c r="C41" s="489">
        <v>948.56299999999999</v>
      </c>
      <c r="D41" s="489">
        <f>IF(B41=0, "    ---- ", IF(ABS(ROUND(100/B41*C41-100,1))&lt;999,ROUND(100/B41*C41-100,1),IF(ROUND(100/B41*C41-100,1)&gt;999,999,-999)))</f>
        <v>3.8</v>
      </c>
      <c r="E41" s="488">
        <v>53322.737000000001</v>
      </c>
      <c r="F41" s="489">
        <v>58305.228000000003</v>
      </c>
      <c r="G41" s="489">
        <f t="shared" si="17"/>
        <v>9.3000000000000007</v>
      </c>
      <c r="H41" s="488">
        <v>520.81500000000005</v>
      </c>
      <c r="I41" s="489">
        <v>466.625</v>
      </c>
      <c r="J41" s="489">
        <f>IF(H41=0, "    ---- ", IF(ABS(ROUND(100/H41*I41-100,1))&lt;999,ROUND(100/H41*I41-100,1),IF(ROUND(100/H41*I41-100,1)&gt;999,999,-999)))</f>
        <v>-10.4</v>
      </c>
      <c r="K41" s="488">
        <v>601.90499999999997</v>
      </c>
      <c r="L41" s="489">
        <v>529.4</v>
      </c>
      <c r="M41" s="483">
        <f t="shared" si="27"/>
        <v>-12</v>
      </c>
      <c r="N41" s="488"/>
      <c r="O41" s="489"/>
      <c r="P41" s="371"/>
      <c r="Q41" s="488">
        <v>124126.05698815</v>
      </c>
      <c r="R41" s="489">
        <v>123378.33492944</v>
      </c>
      <c r="S41" s="371">
        <f t="shared" si="28"/>
        <v>-0.6</v>
      </c>
      <c r="T41" s="488">
        <v>417.8</v>
      </c>
      <c r="U41" s="489">
        <v>396.6</v>
      </c>
      <c r="V41" s="371">
        <f>IF(T41=0, "    ---- ", IF(ABS(ROUND(100/T41*U41-100,1))&lt;999,ROUND(100/T41*U41-100,1),IF(ROUND(100/T41*U41-100,1)&gt;999,999,-999)))</f>
        <v>-5.0999999999999996</v>
      </c>
      <c r="W41" s="488">
        <v>11976.209271879899</v>
      </c>
      <c r="X41" s="489">
        <v>8999.9091957000001</v>
      </c>
      <c r="Y41" s="371">
        <f t="shared" si="18"/>
        <v>-24.9</v>
      </c>
      <c r="Z41" s="488">
        <v>18396</v>
      </c>
      <c r="AA41" s="489">
        <v>17960</v>
      </c>
      <c r="AB41" s="371">
        <f t="shared" si="22"/>
        <v>-2.4</v>
      </c>
      <c r="AC41" s="488"/>
      <c r="AD41" s="489"/>
      <c r="AE41" s="371"/>
      <c r="AF41" s="488">
        <v>7273.8739999999998</v>
      </c>
      <c r="AG41" s="489">
        <v>6919.1139999999996</v>
      </c>
      <c r="AH41" s="371">
        <f t="shared" si="19"/>
        <v>-4.9000000000000004</v>
      </c>
      <c r="AI41" s="488">
        <v>34726</v>
      </c>
      <c r="AJ41" s="489">
        <v>31562</v>
      </c>
      <c r="AK41" s="371">
        <f t="shared" si="23"/>
        <v>-9.1</v>
      </c>
      <c r="AL41" s="483">
        <f t="shared" si="24"/>
        <v>252275.58526002991</v>
      </c>
      <c r="AM41" s="483">
        <f t="shared" si="24"/>
        <v>249465.77412513999</v>
      </c>
      <c r="AN41" s="371">
        <f t="shared" si="20"/>
        <v>-1.1000000000000001</v>
      </c>
      <c r="AO41" s="483">
        <f t="shared" si="25"/>
        <v>252275.58526002991</v>
      </c>
      <c r="AP41" s="483">
        <f t="shared" si="25"/>
        <v>249465.77412513999</v>
      </c>
      <c r="AQ41" s="541">
        <f t="shared" si="21"/>
        <v>-1.1000000000000001</v>
      </c>
      <c r="AR41" s="527"/>
      <c r="AS41" s="527"/>
      <c r="AT41" s="542"/>
      <c r="AU41" s="486"/>
      <c r="AV41" s="486"/>
      <c r="AW41" s="303"/>
    </row>
    <row r="42" spans="1:49" s="105" customFormat="1" ht="20.100000000000001" customHeight="1" x14ac:dyDescent="0.3">
      <c r="A42" s="504" t="s">
        <v>306</v>
      </c>
      <c r="B42" s="488"/>
      <c r="C42" s="489"/>
      <c r="D42" s="489"/>
      <c r="E42" s="488">
        <v>3550.4430000000002</v>
      </c>
      <c r="F42" s="489">
        <v>2288.9290000000001</v>
      </c>
      <c r="G42" s="489">
        <f t="shared" si="17"/>
        <v>-35.5</v>
      </c>
      <c r="H42" s="488"/>
      <c r="I42" s="489"/>
      <c r="J42" s="489"/>
      <c r="K42" s="488">
        <v>0.48699999999999999</v>
      </c>
      <c r="L42" s="489"/>
      <c r="M42" s="483">
        <f t="shared" si="27"/>
        <v>-100</v>
      </c>
      <c r="N42" s="488"/>
      <c r="O42" s="489"/>
      <c r="P42" s="371"/>
      <c r="Q42" s="488">
        <v>9693.4784259699991</v>
      </c>
      <c r="R42" s="489">
        <v>11894.04627714</v>
      </c>
      <c r="S42" s="371">
        <f t="shared" si="28"/>
        <v>22.7</v>
      </c>
      <c r="T42" s="488">
        <v>31.8</v>
      </c>
      <c r="U42" s="489">
        <v>26.5</v>
      </c>
      <c r="V42" s="371">
        <f>IF(T42=0, "    ---- ", IF(ABS(ROUND(100/T42*U42-100,1))&lt;999,ROUND(100/T42*U42-100,1),IF(ROUND(100/T42*U42-100,1)&gt;999,999,-999)))</f>
        <v>-16.7</v>
      </c>
      <c r="W42" s="488"/>
      <c r="X42" s="489"/>
      <c r="Y42" s="371"/>
      <c r="Z42" s="488">
        <v>102</v>
      </c>
      <c r="AA42" s="489">
        <v>54</v>
      </c>
      <c r="AB42" s="371">
        <f t="shared" si="22"/>
        <v>-47.1</v>
      </c>
      <c r="AC42" s="488"/>
      <c r="AD42" s="489"/>
      <c r="AE42" s="371"/>
      <c r="AF42" s="488"/>
      <c r="AG42" s="489"/>
      <c r="AH42" s="371"/>
      <c r="AI42" s="488"/>
      <c r="AJ42" s="489"/>
      <c r="AK42" s="371"/>
      <c r="AL42" s="483">
        <f t="shared" si="24"/>
        <v>13378.208425969999</v>
      </c>
      <c r="AM42" s="483">
        <f t="shared" si="24"/>
        <v>14263.47527714</v>
      </c>
      <c r="AN42" s="371">
        <f t="shared" si="20"/>
        <v>6.6</v>
      </c>
      <c r="AO42" s="483">
        <f t="shared" si="25"/>
        <v>13378.208425969999</v>
      </c>
      <c r="AP42" s="483">
        <f t="shared" si="25"/>
        <v>14263.47527714</v>
      </c>
      <c r="AQ42" s="541">
        <f t="shared" si="21"/>
        <v>6.6</v>
      </c>
      <c r="AR42" s="527"/>
      <c r="AS42" s="527"/>
      <c r="AT42" s="542"/>
      <c r="AU42" s="486"/>
      <c r="AV42" s="486"/>
      <c r="AW42" s="303"/>
    </row>
    <row r="43" spans="1:49" s="105" customFormat="1" ht="20.100000000000001" customHeight="1" x14ac:dyDescent="0.3">
      <c r="A43" s="504" t="s">
        <v>307</v>
      </c>
      <c r="B43" s="488">
        <v>0.748</v>
      </c>
      <c r="C43" s="489">
        <v>0.56499999999999995</v>
      </c>
      <c r="D43" s="489">
        <f>IF(B43=0, "    ---- ", IF(ABS(ROUND(100/B43*C43-100,1))&lt;999,ROUND(100/B43*C43-100,1),IF(ROUND(100/B43*C43-100,1)&gt;999,999,-999)))</f>
        <v>-24.5</v>
      </c>
      <c r="E43" s="488">
        <v>271.24799999999999</v>
      </c>
      <c r="F43" s="489">
        <v>250.29</v>
      </c>
      <c r="G43" s="489">
        <f t="shared" si="17"/>
        <v>-7.7</v>
      </c>
      <c r="H43" s="488"/>
      <c r="I43" s="489"/>
      <c r="J43" s="489"/>
      <c r="K43" s="488"/>
      <c r="L43" s="489"/>
      <c r="M43" s="483"/>
      <c r="N43" s="488"/>
      <c r="O43" s="489"/>
      <c r="P43" s="371"/>
      <c r="Q43" s="488">
        <v>400.33162444999999</v>
      </c>
      <c r="R43" s="489">
        <v>1345.2007042</v>
      </c>
      <c r="S43" s="371">
        <f t="shared" si="28"/>
        <v>236</v>
      </c>
      <c r="T43" s="488"/>
      <c r="U43" s="489"/>
      <c r="V43" s="371"/>
      <c r="W43" s="488">
        <v>201.68329218</v>
      </c>
      <c r="X43" s="489">
        <v>11.50823014</v>
      </c>
      <c r="Y43" s="371">
        <f t="shared" si="18"/>
        <v>-94.3</v>
      </c>
      <c r="Z43" s="488">
        <v>-463</v>
      </c>
      <c r="AA43" s="489">
        <v>331</v>
      </c>
      <c r="AB43" s="371">
        <f>IF(Z43=0, "    ---- ", IF(ABS(ROUND(100/Z43*AA43-100,1))&lt;999,ROUND(100/Z43*AA43-100,1),IF(ROUND(100/Z43*AA43-100,1)&gt;999,999,-999)))</f>
        <v>-171.5</v>
      </c>
      <c r="AC43" s="488"/>
      <c r="AD43" s="489"/>
      <c r="AE43" s="371"/>
      <c r="AF43" s="488">
        <v>6.53</v>
      </c>
      <c r="AG43" s="489">
        <v>24.530999999999999</v>
      </c>
      <c r="AH43" s="371">
        <f t="shared" si="19"/>
        <v>275.7</v>
      </c>
      <c r="AI43" s="488">
        <v>152</v>
      </c>
      <c r="AJ43" s="489">
        <v>159</v>
      </c>
      <c r="AK43" s="371">
        <f t="shared" si="23"/>
        <v>4.5999999999999996</v>
      </c>
      <c r="AL43" s="483">
        <f t="shared" si="24"/>
        <v>569.54091662999997</v>
      </c>
      <c r="AM43" s="483">
        <f t="shared" si="24"/>
        <v>2122.0949343399998</v>
      </c>
      <c r="AN43" s="371">
        <f t="shared" si="20"/>
        <v>272.60000000000002</v>
      </c>
      <c r="AO43" s="483">
        <f t="shared" si="25"/>
        <v>569.54091662999997</v>
      </c>
      <c r="AP43" s="483">
        <f t="shared" si="25"/>
        <v>2122.0949343399998</v>
      </c>
      <c r="AQ43" s="541">
        <f t="shared" si="21"/>
        <v>272.60000000000002</v>
      </c>
      <c r="AR43" s="527"/>
      <c r="AS43" s="527"/>
      <c r="AT43" s="542"/>
      <c r="AU43" s="486"/>
      <c r="AV43" s="486"/>
      <c r="AW43" s="303"/>
    </row>
    <row r="44" spans="1:49" s="105" customFormat="1" ht="20.100000000000001" customHeight="1" x14ac:dyDescent="0.3">
      <c r="A44" s="504" t="s">
        <v>308</v>
      </c>
      <c r="B44" s="488">
        <v>44.718000000000004</v>
      </c>
      <c r="C44" s="489">
        <v>68.278000000000006</v>
      </c>
      <c r="D44" s="489">
        <f>IF(B44=0, "    ---- ", IF(ABS(ROUND(100/B44*C44-100,1))&lt;999,ROUND(100/B44*C44-100,1),IF(ROUND(100/B44*C44-100,1)&gt;999,999,-999)))</f>
        <v>52.7</v>
      </c>
      <c r="E44" s="488">
        <v>813.09400000000005</v>
      </c>
      <c r="F44" s="489">
        <v>833.65599999999995</v>
      </c>
      <c r="G44" s="489">
        <f t="shared" si="17"/>
        <v>2.5</v>
      </c>
      <c r="H44" s="488">
        <v>78.646000000000001</v>
      </c>
      <c r="I44" s="489">
        <v>91.88</v>
      </c>
      <c r="J44" s="489">
        <f t="shared" si="29"/>
        <v>16.8</v>
      </c>
      <c r="K44" s="488">
        <v>317.17700000000002</v>
      </c>
      <c r="L44" s="489">
        <v>161.9</v>
      </c>
      <c r="M44" s="483">
        <f t="shared" si="27"/>
        <v>-49</v>
      </c>
      <c r="N44" s="488"/>
      <c r="O44" s="489"/>
      <c r="P44" s="371"/>
      <c r="Q44" s="488">
        <v>3138.0633822600003</v>
      </c>
      <c r="R44" s="489">
        <v>662.43160610999996</v>
      </c>
      <c r="S44" s="371">
        <f t="shared" si="28"/>
        <v>-78.900000000000006</v>
      </c>
      <c r="T44" s="488">
        <v>5.4</v>
      </c>
      <c r="U44" s="489"/>
      <c r="V44" s="371">
        <f>IF(T44=0, "    ---- ", IF(ABS(ROUND(100/T44*U44-100,1))&lt;999,ROUND(100/T44*U44-100,1),IF(ROUND(100/T44*U44-100,1)&gt;999,999,-999)))</f>
        <v>-100</v>
      </c>
      <c r="W44" s="488">
        <v>120.45638051</v>
      </c>
      <c r="X44" s="489">
        <v>253.48696168999999</v>
      </c>
      <c r="Y44" s="371">
        <f t="shared" si="18"/>
        <v>110.4</v>
      </c>
      <c r="Z44" s="488">
        <v>1111</v>
      </c>
      <c r="AA44" s="489">
        <v>2021</v>
      </c>
      <c r="AB44" s="371">
        <f>IF(Z44=0, "    ---- ", IF(ABS(ROUND(100/Z44*AA44-100,1))&lt;999,ROUND(100/Z44*AA44-100,1),IF(ROUND(100/Z44*AA44-100,1)&gt;999,999,-999)))</f>
        <v>81.900000000000006</v>
      </c>
      <c r="AC44" s="488"/>
      <c r="AD44" s="489"/>
      <c r="AE44" s="371"/>
      <c r="AF44" s="488">
        <v>146.25</v>
      </c>
      <c r="AG44" s="489">
        <v>160.215</v>
      </c>
      <c r="AH44" s="371">
        <f t="shared" si="19"/>
        <v>9.5</v>
      </c>
      <c r="AI44" s="488"/>
      <c r="AJ44" s="489"/>
      <c r="AK44" s="371"/>
      <c r="AL44" s="483">
        <f t="shared" si="24"/>
        <v>5774.8047627699998</v>
      </c>
      <c r="AM44" s="483">
        <f t="shared" si="24"/>
        <v>4252.8475677999995</v>
      </c>
      <c r="AN44" s="371">
        <f t="shared" si="20"/>
        <v>-26.4</v>
      </c>
      <c r="AO44" s="483">
        <f t="shared" si="25"/>
        <v>5774.8047627699998</v>
      </c>
      <c r="AP44" s="483">
        <f t="shared" si="25"/>
        <v>4252.8475677999995</v>
      </c>
      <c r="AQ44" s="541">
        <f t="shared" si="21"/>
        <v>-26.4</v>
      </c>
      <c r="AR44" s="527"/>
      <c r="AS44" s="527"/>
      <c r="AT44" s="542"/>
      <c r="AU44" s="486"/>
      <c r="AV44" s="486"/>
      <c r="AW44" s="303"/>
    </row>
    <row r="45" spans="1:49" s="105" customFormat="1" ht="20.100000000000001" customHeight="1" x14ac:dyDescent="0.3">
      <c r="A45" s="538" t="s">
        <v>309</v>
      </c>
      <c r="B45" s="483">
        <v>982.92600000000004</v>
      </c>
      <c r="C45" s="489">
        <f>SUM(C33+C34+C35+C39)</f>
        <v>1056.297</v>
      </c>
      <c r="D45" s="371">
        <f>IF(B45=0, "    ---- ", IF(ABS(ROUND(100/B45*C45-100,1))&lt;999,ROUND(100/B45*C45-100,1),IF(ROUND(100/B45*C45-100,1)&gt;999,999,-999)))</f>
        <v>7.5</v>
      </c>
      <c r="E45" s="488">
        <v>210072.54700000002</v>
      </c>
      <c r="F45" s="489">
        <f>SUM(F33+F34+F35+F39)</f>
        <v>208394.89499999999</v>
      </c>
      <c r="G45" s="371">
        <f t="shared" si="17"/>
        <v>-0.8</v>
      </c>
      <c r="H45" s="488">
        <v>809.96599999999989</v>
      </c>
      <c r="I45" s="489">
        <f>SUM(I33+I34+I35+I39)</f>
        <v>804.05100000000004</v>
      </c>
      <c r="J45" s="371">
        <f t="shared" si="29"/>
        <v>-0.7</v>
      </c>
      <c r="K45" s="488">
        <v>5567.8780000000006</v>
      </c>
      <c r="L45" s="489">
        <f>SUM(L33+L34+L35+L39)</f>
        <v>6174.1</v>
      </c>
      <c r="M45" s="483">
        <f t="shared" si="27"/>
        <v>10.9</v>
      </c>
      <c r="N45" s="488"/>
      <c r="O45" s="489"/>
      <c r="P45" s="371"/>
      <c r="Q45" s="488">
        <v>469414.13614100998</v>
      </c>
      <c r="R45" s="489">
        <f>SUM(R33+R34+R35+R39)</f>
        <v>495146.46428833</v>
      </c>
      <c r="S45" s="371">
        <f t="shared" si="28"/>
        <v>5.5</v>
      </c>
      <c r="T45" s="488">
        <v>1588.2999999999997</v>
      </c>
      <c r="U45" s="489">
        <f>SUM(U33+U34+U35+U39)</f>
        <v>1664.6000000000001</v>
      </c>
      <c r="V45" s="371">
        <f>IF(T45=0, "    ---- ", IF(ABS(ROUND(100/T45*U45-100,1))&lt;999,ROUND(100/T45*U45-100,1),IF(ROUND(100/T45*U45-100,1)&gt;999,999,-999)))</f>
        <v>4.8</v>
      </c>
      <c r="W45" s="488">
        <v>49757.017310939802</v>
      </c>
      <c r="X45" s="489">
        <f>SUM(X33+X34+X35+X39)</f>
        <v>50191.968831729901</v>
      </c>
      <c r="Y45" s="371">
        <f t="shared" si="18"/>
        <v>0.9</v>
      </c>
      <c r="Z45" s="488">
        <v>76560</v>
      </c>
      <c r="AA45" s="489">
        <f>SUM(AA33+AA34+AA35+AA39)</f>
        <v>82677</v>
      </c>
      <c r="AB45" s="371">
        <f>IF(Z45=0, "    ---- ", IF(ABS(ROUND(100/Z45*AA45-100,1))&lt;999,ROUND(100/Z45*AA45-100,1),IF(ROUND(100/Z45*AA45-100,1)&gt;999,999,-999)))</f>
        <v>8</v>
      </c>
      <c r="AC45" s="488"/>
      <c r="AD45" s="489"/>
      <c r="AE45" s="371"/>
      <c r="AF45" s="488">
        <v>21402.718000000001</v>
      </c>
      <c r="AG45" s="489">
        <f>SUM(AG33+AG34+AG35+AG39)</f>
        <v>22635.482000000004</v>
      </c>
      <c r="AH45" s="371">
        <f t="shared" si="19"/>
        <v>5.8</v>
      </c>
      <c r="AI45" s="488">
        <v>185202.3</v>
      </c>
      <c r="AJ45" s="489">
        <f>SUM(AJ33+AJ34+AJ35+AJ39)</f>
        <v>189241</v>
      </c>
      <c r="AK45" s="371">
        <f t="shared" si="23"/>
        <v>2.2000000000000002</v>
      </c>
      <c r="AL45" s="483">
        <f t="shared" si="24"/>
        <v>1021357.7884519498</v>
      </c>
      <c r="AM45" s="483">
        <f t="shared" si="24"/>
        <v>1057985.8581200601</v>
      </c>
      <c r="AN45" s="371">
        <f t="shared" si="20"/>
        <v>3.6</v>
      </c>
      <c r="AO45" s="483">
        <f t="shared" si="25"/>
        <v>1021357.7884519498</v>
      </c>
      <c r="AP45" s="483">
        <f t="shared" si="25"/>
        <v>1057985.8581200601</v>
      </c>
      <c r="AQ45" s="541">
        <f t="shared" si="21"/>
        <v>3.6</v>
      </c>
      <c r="AR45" s="527"/>
      <c r="AS45" s="527"/>
      <c r="AT45" s="542"/>
      <c r="AU45" s="486"/>
      <c r="AV45" s="486"/>
      <c r="AW45" s="303"/>
    </row>
    <row r="46" spans="1:49" s="105" customFormat="1" ht="20.100000000000001" customHeight="1" x14ac:dyDescent="0.3">
      <c r="A46" s="506" t="s">
        <v>429</v>
      </c>
      <c r="B46" s="488">
        <v>112.271</v>
      </c>
      <c r="C46" s="489">
        <v>127.095</v>
      </c>
      <c r="D46" s="371">
        <f>IF(B46=0, "    ---- ", IF(ABS(ROUND(100/B46*C46-100,1))&lt;999,ROUND(100/B46*C46-100,1),IF(ROUND(100/B46*C46-100,1)&gt;999,999,-999)))</f>
        <v>13.2</v>
      </c>
      <c r="E46" s="488"/>
      <c r="F46" s="489"/>
      <c r="G46" s="371"/>
      <c r="H46" s="488">
        <v>96</v>
      </c>
      <c r="I46" s="489">
        <v>107.61799999999999</v>
      </c>
      <c r="J46" s="371">
        <f t="shared" si="29"/>
        <v>12.1</v>
      </c>
      <c r="K46" s="488">
        <v>30.315999999999999</v>
      </c>
      <c r="L46" s="489">
        <v>27.3</v>
      </c>
      <c r="M46" s="483">
        <f t="shared" si="27"/>
        <v>-9.9</v>
      </c>
      <c r="N46" s="488"/>
      <c r="O46" s="489"/>
      <c r="P46" s="371"/>
      <c r="Q46" s="488"/>
      <c r="R46" s="489"/>
      <c r="S46" s="371"/>
      <c r="T46" s="488"/>
      <c r="U46" s="489"/>
      <c r="V46" s="371"/>
      <c r="W46" s="488">
        <v>90.05</v>
      </c>
      <c r="X46" s="489">
        <v>93.3</v>
      </c>
      <c r="Y46" s="371">
        <f t="shared" si="18"/>
        <v>3.6</v>
      </c>
      <c r="Z46" s="488"/>
      <c r="AA46" s="489"/>
      <c r="AB46" s="371"/>
      <c r="AC46" s="488"/>
      <c r="AD46" s="489"/>
      <c r="AE46" s="371"/>
      <c r="AF46" s="488">
        <v>426.31099999999998</v>
      </c>
      <c r="AG46" s="489">
        <v>446.34199999999998</v>
      </c>
      <c r="AH46" s="371">
        <f t="shared" si="19"/>
        <v>4.7</v>
      </c>
      <c r="AI46" s="488">
        <v>106</v>
      </c>
      <c r="AJ46" s="489"/>
      <c r="AK46" s="371"/>
      <c r="AL46" s="483">
        <f t="shared" si="24"/>
        <v>860.94799999999998</v>
      </c>
      <c r="AM46" s="483">
        <f t="shared" si="24"/>
        <v>801.65499999999997</v>
      </c>
      <c r="AN46" s="371">
        <f t="shared" si="20"/>
        <v>-6.9</v>
      </c>
      <c r="AO46" s="483">
        <f t="shared" si="25"/>
        <v>860.94799999999998</v>
      </c>
      <c r="AP46" s="483">
        <f t="shared" si="25"/>
        <v>801.65499999999997</v>
      </c>
      <c r="AQ46" s="541">
        <f t="shared" si="21"/>
        <v>-6.9</v>
      </c>
      <c r="AR46" s="527"/>
      <c r="AS46" s="527"/>
      <c r="AT46" s="542"/>
      <c r="AU46" s="486"/>
      <c r="AV46" s="486"/>
      <c r="AW46" s="303"/>
    </row>
    <row r="47" spans="1:49" s="105" customFormat="1" ht="20.100000000000001" customHeight="1" x14ac:dyDescent="0.3">
      <c r="A47" s="506" t="s">
        <v>310</v>
      </c>
      <c r="B47" s="488"/>
      <c r="C47" s="489"/>
      <c r="D47" s="489"/>
      <c r="E47" s="488"/>
      <c r="F47" s="489"/>
      <c r="G47" s="489"/>
      <c r="H47" s="488"/>
      <c r="I47" s="489"/>
      <c r="J47" s="489"/>
      <c r="K47" s="488"/>
      <c r="L47" s="489"/>
      <c r="M47" s="483"/>
      <c r="N47" s="488"/>
      <c r="O47" s="489"/>
      <c r="P47" s="371"/>
      <c r="Q47" s="488"/>
      <c r="R47" s="489"/>
      <c r="S47" s="371"/>
      <c r="T47" s="488"/>
      <c r="U47" s="489"/>
      <c r="V47" s="371"/>
      <c r="W47" s="488"/>
      <c r="X47" s="489"/>
      <c r="Y47" s="371"/>
      <c r="Z47" s="488"/>
      <c r="AA47" s="489"/>
      <c r="AB47" s="371"/>
      <c r="AC47" s="488"/>
      <c r="AD47" s="489"/>
      <c r="AE47" s="371"/>
      <c r="AF47" s="488"/>
      <c r="AG47" s="489"/>
      <c r="AH47" s="371"/>
      <c r="AI47" s="488"/>
      <c r="AJ47" s="489"/>
      <c r="AK47" s="371"/>
      <c r="AL47" s="483"/>
      <c r="AM47" s="483"/>
      <c r="AN47" s="371"/>
      <c r="AO47" s="483"/>
      <c r="AP47" s="483"/>
      <c r="AQ47" s="541"/>
      <c r="AR47" s="527"/>
      <c r="AS47" s="527"/>
      <c r="AT47" s="542"/>
      <c r="AU47" s="486"/>
      <c r="AV47" s="486"/>
      <c r="AW47" s="303"/>
    </row>
    <row r="48" spans="1:49" s="105" customFormat="1" ht="20.100000000000001" customHeight="1" x14ac:dyDescent="0.3">
      <c r="A48" s="504" t="s">
        <v>311</v>
      </c>
      <c r="B48" s="488"/>
      <c r="C48" s="489"/>
      <c r="D48" s="489"/>
      <c r="E48" s="488"/>
      <c r="F48" s="489"/>
      <c r="G48" s="489"/>
      <c r="H48" s="488"/>
      <c r="I48" s="489"/>
      <c r="J48" s="489"/>
      <c r="K48" s="488"/>
      <c r="L48" s="489"/>
      <c r="M48" s="483"/>
      <c r="N48" s="488"/>
      <c r="O48" s="489"/>
      <c r="P48" s="371"/>
      <c r="Q48" s="488"/>
      <c r="R48" s="489"/>
      <c r="S48" s="371"/>
      <c r="T48" s="488"/>
      <c r="U48" s="489"/>
      <c r="V48" s="371"/>
      <c r="W48" s="488"/>
      <c r="X48" s="489"/>
      <c r="Y48" s="371"/>
      <c r="Z48" s="488"/>
      <c r="AA48" s="489"/>
      <c r="AB48" s="371"/>
      <c r="AC48" s="488"/>
      <c r="AD48" s="489"/>
      <c r="AE48" s="371"/>
      <c r="AF48" s="488"/>
      <c r="AG48" s="489"/>
      <c r="AH48" s="371"/>
      <c r="AI48" s="488"/>
      <c r="AJ48" s="489"/>
      <c r="AK48" s="371"/>
      <c r="AL48" s="483">
        <f>B48+E48+H48+K48+Q48+T48+W48+Z48+AF48+AI48</f>
        <v>0</v>
      </c>
      <c r="AM48" s="483">
        <f>C48+F48+I48+L48+R48+U48+X48+AA48+AG48+AJ48</f>
        <v>0</v>
      </c>
      <c r="AN48" s="371" t="str">
        <f t="shared" si="20"/>
        <v xml:space="preserve">    ---- </v>
      </c>
      <c r="AO48" s="483">
        <f>B48+E48+H48+K48+N48+Q48+T48+W48+Z48+AC48+AF48+AI48</f>
        <v>0</v>
      </c>
      <c r="AP48" s="483">
        <f>C48+F48+I48+L48+O48+R48+U48+X48+AA48+AD48+AG48+AJ48</f>
        <v>0</v>
      </c>
      <c r="AQ48" s="541" t="str">
        <f t="shared" si="21"/>
        <v xml:space="preserve">    ---- </v>
      </c>
      <c r="AR48" s="527"/>
      <c r="AS48" s="527"/>
      <c r="AT48" s="542"/>
      <c r="AU48" s="486"/>
      <c r="AV48" s="486"/>
      <c r="AW48" s="303"/>
    </row>
    <row r="49" spans="1:49" s="105" customFormat="1" ht="20.100000000000001" customHeight="1" x14ac:dyDescent="0.3">
      <c r="A49" s="504" t="s">
        <v>312</v>
      </c>
      <c r="B49" s="488"/>
      <c r="C49" s="489"/>
      <c r="D49" s="489"/>
      <c r="E49" s="488"/>
      <c r="F49" s="489"/>
      <c r="G49" s="489"/>
      <c r="H49" s="488"/>
      <c r="I49" s="489"/>
      <c r="J49" s="489"/>
      <c r="K49" s="488"/>
      <c r="L49" s="489"/>
      <c r="M49" s="483"/>
      <c r="N49" s="488"/>
      <c r="O49" s="489"/>
      <c r="P49" s="371"/>
      <c r="Q49" s="488">
        <v>273.27737588000002</v>
      </c>
      <c r="R49" s="489">
        <v>288.44931087999998</v>
      </c>
      <c r="S49" s="371">
        <f t="shared" ref="S49:S60" si="30">IF(Q49=0, "    ---- ", IF(ABS(ROUND(100/Q49*R49-100,1))&lt;999,ROUND(100/Q49*R49-100,1),IF(ROUND(100/Q49*R49-100,1)&gt;999,999,-999)))</f>
        <v>5.6</v>
      </c>
      <c r="T49" s="488"/>
      <c r="U49" s="489"/>
      <c r="V49" s="371"/>
      <c r="W49" s="488"/>
      <c r="X49" s="489"/>
      <c r="Y49" s="371"/>
      <c r="Z49" s="488"/>
      <c r="AA49" s="489"/>
      <c r="AB49" s="371"/>
      <c r="AC49" s="488"/>
      <c r="AD49" s="489"/>
      <c r="AE49" s="371"/>
      <c r="AF49" s="488"/>
      <c r="AG49" s="489"/>
      <c r="AH49" s="371"/>
      <c r="AI49" s="488">
        <v>3065.2</v>
      </c>
      <c r="AJ49" s="489">
        <v>3847</v>
      </c>
      <c r="AK49" s="371">
        <f t="shared" si="23"/>
        <v>25.5</v>
      </c>
      <c r="AL49" s="483">
        <f t="shared" ref="AL49:AM62" si="31">B49+E49+H49+K49+Q49+T49+W49+Z49+AF49+AI49</f>
        <v>3338.4773758799997</v>
      </c>
      <c r="AM49" s="483">
        <f t="shared" si="31"/>
        <v>4135.4493108799998</v>
      </c>
      <c r="AN49" s="371">
        <f t="shared" si="20"/>
        <v>23.9</v>
      </c>
      <c r="AO49" s="483">
        <f t="shared" ref="AO49:AP62" si="32">B49+E49+H49+K49+N49+Q49+T49+W49+Z49+AC49+AF49+AI49</f>
        <v>3338.4773758799997</v>
      </c>
      <c r="AP49" s="483">
        <f t="shared" si="32"/>
        <v>4135.4493108799998</v>
      </c>
      <c r="AQ49" s="541">
        <f t="shared" si="21"/>
        <v>23.9</v>
      </c>
      <c r="AR49" s="527"/>
      <c r="AS49" s="527"/>
      <c r="AT49" s="542"/>
      <c r="AU49" s="486"/>
      <c r="AV49" s="486"/>
      <c r="AW49" s="303"/>
    </row>
    <row r="50" spans="1:49" s="105" customFormat="1" ht="20.100000000000001" customHeight="1" x14ac:dyDescent="0.3">
      <c r="A50" s="504" t="s">
        <v>313</v>
      </c>
      <c r="B50" s="483"/>
      <c r="C50" s="489"/>
      <c r="D50" s="489"/>
      <c r="E50" s="488"/>
      <c r="F50" s="489"/>
      <c r="G50" s="489"/>
      <c r="H50" s="488"/>
      <c r="I50" s="489"/>
      <c r="J50" s="489"/>
      <c r="K50" s="488"/>
      <c r="L50" s="489"/>
      <c r="M50" s="483"/>
      <c r="N50" s="488"/>
      <c r="O50" s="489"/>
      <c r="P50" s="371"/>
      <c r="Q50" s="488">
        <v>772.11572666000006</v>
      </c>
      <c r="R50" s="489">
        <f>SUM(R51+R53)</f>
        <v>809.54137703000004</v>
      </c>
      <c r="S50" s="371">
        <f t="shared" si="30"/>
        <v>4.8</v>
      </c>
      <c r="T50" s="488"/>
      <c r="U50" s="489"/>
      <c r="V50" s="371"/>
      <c r="W50" s="488"/>
      <c r="X50" s="489"/>
      <c r="Y50" s="371"/>
      <c r="Z50" s="488"/>
      <c r="AA50" s="489"/>
      <c r="AB50" s="371"/>
      <c r="AC50" s="488"/>
      <c r="AD50" s="489"/>
      <c r="AE50" s="371"/>
      <c r="AF50" s="488"/>
      <c r="AG50" s="489"/>
      <c r="AH50" s="371"/>
      <c r="AI50" s="488">
        <v>1059.3</v>
      </c>
      <c r="AJ50" s="489">
        <f>SUM(AJ51+AJ53)</f>
        <v>218</v>
      </c>
      <c r="AK50" s="371">
        <f t="shared" si="23"/>
        <v>-79.400000000000006</v>
      </c>
      <c r="AL50" s="483">
        <f t="shared" si="31"/>
        <v>1831.41572666</v>
      </c>
      <c r="AM50" s="483">
        <f t="shared" si="31"/>
        <v>1027.5413770300001</v>
      </c>
      <c r="AN50" s="371">
        <f t="shared" si="20"/>
        <v>-43.9</v>
      </c>
      <c r="AO50" s="483">
        <f t="shared" si="32"/>
        <v>1831.41572666</v>
      </c>
      <c r="AP50" s="483">
        <f t="shared" si="32"/>
        <v>1027.5413770300001</v>
      </c>
      <c r="AQ50" s="541">
        <f t="shared" si="21"/>
        <v>-43.9</v>
      </c>
      <c r="AR50" s="527"/>
      <c r="AS50" s="527"/>
      <c r="AT50" s="542"/>
      <c r="AU50" s="486"/>
      <c r="AV50" s="486"/>
      <c r="AW50" s="303"/>
    </row>
    <row r="51" spans="1:49" s="105" customFormat="1" ht="20.100000000000001" customHeight="1" x14ac:dyDescent="0.3">
      <c r="A51" s="504" t="s">
        <v>314</v>
      </c>
      <c r="B51" s="488"/>
      <c r="C51" s="489"/>
      <c r="D51" s="371"/>
      <c r="E51" s="488"/>
      <c r="F51" s="489"/>
      <c r="G51" s="371"/>
      <c r="H51" s="488"/>
      <c r="I51" s="489"/>
      <c r="J51" s="371"/>
      <c r="K51" s="488"/>
      <c r="L51" s="489"/>
      <c r="M51" s="483"/>
      <c r="N51" s="488"/>
      <c r="O51" s="489"/>
      <c r="P51" s="371"/>
      <c r="Q51" s="488">
        <v>120.87826120999999</v>
      </c>
      <c r="R51" s="489">
        <v>89.865540809999999</v>
      </c>
      <c r="S51" s="371">
        <f t="shared" si="30"/>
        <v>-25.7</v>
      </c>
      <c r="T51" s="488"/>
      <c r="U51" s="489"/>
      <c r="V51" s="371"/>
      <c r="W51" s="488"/>
      <c r="X51" s="489"/>
      <c r="Y51" s="371"/>
      <c r="Z51" s="488"/>
      <c r="AA51" s="489"/>
      <c r="AB51" s="371"/>
      <c r="AC51" s="488"/>
      <c r="AD51" s="489"/>
      <c r="AE51" s="371"/>
      <c r="AF51" s="488"/>
      <c r="AG51" s="489"/>
      <c r="AH51" s="371"/>
      <c r="AI51" s="488"/>
      <c r="AJ51" s="489"/>
      <c r="AK51" s="371"/>
      <c r="AL51" s="483">
        <f t="shared" si="31"/>
        <v>120.87826120999999</v>
      </c>
      <c r="AM51" s="483">
        <f t="shared" si="31"/>
        <v>89.865540809999999</v>
      </c>
      <c r="AN51" s="371">
        <f t="shared" si="20"/>
        <v>-25.7</v>
      </c>
      <c r="AO51" s="483">
        <f t="shared" si="32"/>
        <v>120.87826120999999</v>
      </c>
      <c r="AP51" s="483">
        <f t="shared" si="32"/>
        <v>89.865540809999999</v>
      </c>
      <c r="AQ51" s="541">
        <f t="shared" si="21"/>
        <v>-25.7</v>
      </c>
      <c r="AR51" s="527"/>
      <c r="AS51" s="527"/>
      <c r="AT51" s="542"/>
      <c r="AU51" s="486"/>
      <c r="AV51" s="486"/>
      <c r="AW51" s="303"/>
    </row>
    <row r="52" spans="1:49" s="301" customFormat="1" ht="20.100000000000001" customHeight="1" x14ac:dyDescent="0.3">
      <c r="A52" s="504" t="s">
        <v>284</v>
      </c>
      <c r="B52" s="490"/>
      <c r="C52" s="487"/>
      <c r="D52" s="487"/>
      <c r="E52" s="490"/>
      <c r="F52" s="487"/>
      <c r="G52" s="487"/>
      <c r="H52" s="490"/>
      <c r="I52" s="487"/>
      <c r="J52" s="487"/>
      <c r="K52" s="490"/>
      <c r="L52" s="487"/>
      <c r="M52" s="534"/>
      <c r="N52" s="490"/>
      <c r="O52" s="487"/>
      <c r="P52" s="487"/>
      <c r="Q52" s="490">
        <v>120.87826120999999</v>
      </c>
      <c r="R52" s="487">
        <v>89.865540809999999</v>
      </c>
      <c r="S52" s="371">
        <f t="shared" si="30"/>
        <v>-25.7</v>
      </c>
      <c r="T52" s="490"/>
      <c r="U52" s="487"/>
      <c r="V52" s="487"/>
      <c r="W52" s="490"/>
      <c r="X52" s="487"/>
      <c r="Y52" s="487"/>
      <c r="Z52" s="490"/>
      <c r="AA52" s="487"/>
      <c r="AB52" s="487"/>
      <c r="AC52" s="490"/>
      <c r="AD52" s="487"/>
      <c r="AE52" s="487"/>
      <c r="AF52" s="490"/>
      <c r="AG52" s="487"/>
      <c r="AH52" s="487"/>
      <c r="AI52" s="490"/>
      <c r="AJ52" s="487"/>
      <c r="AK52" s="487"/>
      <c r="AL52" s="483">
        <f t="shared" si="31"/>
        <v>120.87826120999999</v>
      </c>
      <c r="AM52" s="483">
        <f t="shared" si="31"/>
        <v>89.865540809999999</v>
      </c>
      <c r="AN52" s="487">
        <f t="shared" si="20"/>
        <v>-25.7</v>
      </c>
      <c r="AO52" s="483">
        <f t="shared" si="32"/>
        <v>120.87826120999999</v>
      </c>
      <c r="AP52" s="483">
        <f t="shared" si="32"/>
        <v>89.865540809999999</v>
      </c>
      <c r="AQ52" s="539">
        <f t="shared" si="21"/>
        <v>-25.7</v>
      </c>
      <c r="AR52" s="537"/>
      <c r="AS52" s="537"/>
      <c r="AT52" s="540"/>
      <c r="AU52" s="491"/>
      <c r="AV52" s="491"/>
      <c r="AW52" s="302"/>
    </row>
    <row r="53" spans="1:49" s="105" customFormat="1" ht="20.100000000000001" customHeight="1" x14ac:dyDescent="0.3">
      <c r="A53" s="504" t="s">
        <v>315</v>
      </c>
      <c r="B53" s="488"/>
      <c r="C53" s="489"/>
      <c r="D53" s="489"/>
      <c r="E53" s="488"/>
      <c r="F53" s="489"/>
      <c r="G53" s="489"/>
      <c r="H53" s="488"/>
      <c r="I53" s="489"/>
      <c r="J53" s="489"/>
      <c r="K53" s="488"/>
      <c r="L53" s="489"/>
      <c r="M53" s="483"/>
      <c r="N53" s="488"/>
      <c r="O53" s="489"/>
      <c r="P53" s="371"/>
      <c r="Q53" s="488">
        <v>651.23746545000006</v>
      </c>
      <c r="R53" s="489">
        <v>719.67583622000006</v>
      </c>
      <c r="S53" s="371">
        <f t="shared" si="30"/>
        <v>10.5</v>
      </c>
      <c r="T53" s="488"/>
      <c r="U53" s="489"/>
      <c r="V53" s="371"/>
      <c r="W53" s="488"/>
      <c r="X53" s="489"/>
      <c r="Y53" s="371"/>
      <c r="Z53" s="488"/>
      <c r="AA53" s="489"/>
      <c r="AB53" s="371"/>
      <c r="AC53" s="488"/>
      <c r="AD53" s="489"/>
      <c r="AE53" s="371"/>
      <c r="AF53" s="488"/>
      <c r="AG53" s="489"/>
      <c r="AH53" s="371"/>
      <c r="AI53" s="488">
        <v>1059.3</v>
      </c>
      <c r="AJ53" s="489">
        <v>218</v>
      </c>
      <c r="AK53" s="371">
        <f t="shared" si="23"/>
        <v>-79.400000000000006</v>
      </c>
      <c r="AL53" s="483">
        <f t="shared" si="31"/>
        <v>1710.5374654500001</v>
      </c>
      <c r="AM53" s="483">
        <f t="shared" si="31"/>
        <v>937.67583622000006</v>
      </c>
      <c r="AN53" s="371">
        <f t="shared" si="20"/>
        <v>-45.2</v>
      </c>
      <c r="AO53" s="483">
        <f t="shared" si="32"/>
        <v>1710.5374654500001</v>
      </c>
      <c r="AP53" s="483">
        <f t="shared" si="32"/>
        <v>937.67583622000006</v>
      </c>
      <c r="AQ53" s="541">
        <f t="shared" si="21"/>
        <v>-45.2</v>
      </c>
      <c r="AR53" s="527"/>
      <c r="AS53" s="527"/>
      <c r="AT53" s="542"/>
      <c r="AU53" s="486"/>
      <c r="AV53" s="486"/>
      <c r="AW53" s="303"/>
    </row>
    <row r="54" spans="1:49" s="105" customFormat="1" ht="20.100000000000001" customHeight="1" x14ac:dyDescent="0.3">
      <c r="A54" s="504" t="s">
        <v>316</v>
      </c>
      <c r="B54" s="483">
        <v>14971.198999999999</v>
      </c>
      <c r="C54" s="489">
        <f>SUM(C55:C59)</f>
        <v>16706.584999999999</v>
      </c>
      <c r="D54" s="489">
        <f>IF(B54=0, "    ---- ", IF(ABS(ROUND(100/B54*C54-100,1))&lt;999,ROUND(100/B54*C54-100,1),IF(ROUND(100/B54*C54-100,1)&gt;999,999,-999)))</f>
        <v>11.6</v>
      </c>
      <c r="E54" s="488">
        <v>64688.135999999999</v>
      </c>
      <c r="F54" s="489">
        <f>SUM(F55:F59)</f>
        <v>74630.254000000001</v>
      </c>
      <c r="G54" s="489">
        <f t="shared" si="17"/>
        <v>15.4</v>
      </c>
      <c r="H54" s="488">
        <v>2825.2420000000002</v>
      </c>
      <c r="I54" s="489">
        <f>SUM(I55:I59)</f>
        <v>3185.848</v>
      </c>
      <c r="J54" s="489">
        <f>IF(H54=0, "    ---- ", IF(ABS(ROUND(100/H54*I54-100,1))&lt;999,ROUND(100/H54*I54-100,1),IF(ROUND(100/H54*I54-100,1)&gt;999,999,-999)))</f>
        <v>12.8</v>
      </c>
      <c r="K54" s="488">
        <v>19415.873</v>
      </c>
      <c r="L54" s="489">
        <f>SUM(L55:L59)</f>
        <v>22784</v>
      </c>
      <c r="M54" s="483">
        <f t="shared" si="27"/>
        <v>17.3</v>
      </c>
      <c r="N54" s="488"/>
      <c r="O54" s="489"/>
      <c r="P54" s="371"/>
      <c r="Q54" s="488">
        <v>1199.0787441700002</v>
      </c>
      <c r="R54" s="489">
        <f>SUM(R55:R59)</f>
        <v>1252.7597231499999</v>
      </c>
      <c r="S54" s="371">
        <f t="shared" si="30"/>
        <v>4.5</v>
      </c>
      <c r="T54" s="488">
        <v>1975.8000000000002</v>
      </c>
      <c r="U54" s="489">
        <f>SUM(U55:U59)</f>
        <v>2816.1000000000004</v>
      </c>
      <c r="V54" s="371">
        <f>IF(T54=0, "    ---- ", IF(ABS(ROUND(100/T54*U54-100,1))&lt;999,ROUND(100/T54*U54-100,1),IF(ROUND(100/T54*U54-100,1)&gt;999,999,-999)))</f>
        <v>42.5</v>
      </c>
      <c r="W54" s="488">
        <v>50143.350000000006</v>
      </c>
      <c r="X54" s="489">
        <f>SUM(X55:X59)</f>
        <v>58444.289999999994</v>
      </c>
      <c r="Y54" s="371">
        <f t="shared" si="18"/>
        <v>16.600000000000001</v>
      </c>
      <c r="Z54" s="488"/>
      <c r="AA54" s="489"/>
      <c r="AB54" s="371"/>
      <c r="AC54" s="488">
        <v>1837</v>
      </c>
      <c r="AD54" s="489">
        <f>SUM(AD55:AD59)</f>
        <v>2056</v>
      </c>
      <c r="AE54" s="371">
        <f>IF(AC54=0, "    ---- ", IF(ABS(ROUND(100/AC54*AD54-100,1))&lt;999,ROUND(100/AC54*AD54-100,1),IF(ROUND(100/AC54*AD54-100,1)&gt;999,999,-999)))</f>
        <v>11.9</v>
      </c>
      <c r="AF54" s="488">
        <v>20798.558000000001</v>
      </c>
      <c r="AG54" s="489">
        <f>SUM(AG55:AG59)</f>
        <v>26220.514999999999</v>
      </c>
      <c r="AH54" s="371">
        <f t="shared" si="19"/>
        <v>26.1</v>
      </c>
      <c r="AI54" s="488">
        <v>64044.1</v>
      </c>
      <c r="AJ54" s="489">
        <f>SUM(AJ55:AJ59)</f>
        <v>85436</v>
      </c>
      <c r="AK54" s="371">
        <f t="shared" si="23"/>
        <v>33.4</v>
      </c>
      <c r="AL54" s="483">
        <f t="shared" si="31"/>
        <v>240061.33674417</v>
      </c>
      <c r="AM54" s="483">
        <f t="shared" si="31"/>
        <v>291476.35172315</v>
      </c>
      <c r="AN54" s="371">
        <f t="shared" si="20"/>
        <v>21.4</v>
      </c>
      <c r="AO54" s="483">
        <f t="shared" si="32"/>
        <v>241898.33674417</v>
      </c>
      <c r="AP54" s="483">
        <f t="shared" si="32"/>
        <v>293532.35172315</v>
      </c>
      <c r="AQ54" s="541">
        <f t="shared" si="21"/>
        <v>21.3</v>
      </c>
      <c r="AR54" s="527"/>
      <c r="AS54" s="527"/>
      <c r="AT54" s="542"/>
      <c r="AU54" s="486"/>
      <c r="AV54" s="486"/>
      <c r="AW54" s="303"/>
    </row>
    <row r="55" spans="1:49" s="105" customFormat="1" ht="20.100000000000001" customHeight="1" x14ac:dyDescent="0.3">
      <c r="A55" s="504" t="s">
        <v>317</v>
      </c>
      <c r="B55" s="488">
        <v>8827.9519999999993</v>
      </c>
      <c r="C55" s="489">
        <v>9802.241</v>
      </c>
      <c r="D55" s="489">
        <f>IF(B55=0, "    ---- ", IF(ABS(ROUND(100/B55*C55-100,1))&lt;999,ROUND(100/B55*C55-100,1),IF(ROUND(100/B55*C55-100,1)&gt;999,999,-999)))</f>
        <v>11</v>
      </c>
      <c r="E55" s="488">
        <v>34314.885999999999</v>
      </c>
      <c r="F55" s="489">
        <v>40220.902000000002</v>
      </c>
      <c r="G55" s="489">
        <f t="shared" si="17"/>
        <v>17.2</v>
      </c>
      <c r="H55" s="488">
        <v>1814.0230000000001</v>
      </c>
      <c r="I55" s="489">
        <v>2057.7060000000001</v>
      </c>
      <c r="J55" s="489">
        <f>IF(H55=0, "    ---- ", IF(ABS(ROUND(100/H55*I55-100,1))&lt;999,ROUND(100/H55*I55-100,1),IF(ROUND(100/H55*I55-100,1)&gt;999,999,-999)))</f>
        <v>13.4</v>
      </c>
      <c r="K55" s="488">
        <v>17327.244999999999</v>
      </c>
      <c r="L55" s="489">
        <v>19953.3</v>
      </c>
      <c r="M55" s="483">
        <f t="shared" si="27"/>
        <v>15.2</v>
      </c>
      <c r="N55" s="488"/>
      <c r="O55" s="489"/>
      <c r="P55" s="371"/>
      <c r="Q55" s="488">
        <v>537.16439264999997</v>
      </c>
      <c r="R55" s="489">
        <v>605.65662555999995</v>
      </c>
      <c r="S55" s="371">
        <f t="shared" si="30"/>
        <v>12.8</v>
      </c>
      <c r="T55" s="488">
        <v>1927.9</v>
      </c>
      <c r="U55" s="489">
        <v>2809.3</v>
      </c>
      <c r="V55" s="371">
        <f>IF(T55=0, "    ---- ", IF(ABS(ROUND(100/T55*U55-100,1))&lt;999,ROUND(100/T55*U55-100,1),IF(ROUND(100/T55*U55-100,1)&gt;999,999,-999)))</f>
        <v>45.7</v>
      </c>
      <c r="W55" s="488">
        <v>50157.120000000003</v>
      </c>
      <c r="X55" s="489">
        <v>58092.34</v>
      </c>
      <c r="Y55" s="371">
        <f t="shared" si="18"/>
        <v>15.8</v>
      </c>
      <c r="Z55" s="488"/>
      <c r="AA55" s="489"/>
      <c r="AB55" s="371"/>
      <c r="AC55" s="488">
        <v>1837</v>
      </c>
      <c r="AD55" s="489">
        <v>2056</v>
      </c>
      <c r="AE55" s="371">
        <f>IF(AC55=0, "    ---- ", IF(ABS(ROUND(100/AC55*AD55-100,1))&lt;999,ROUND(100/AC55*AD55-100,1),IF(ROUND(100/AC55*AD55-100,1)&gt;999,999,-999)))</f>
        <v>11.9</v>
      </c>
      <c r="AF55" s="488">
        <v>11963.231</v>
      </c>
      <c r="AG55" s="489">
        <v>15305.967000000001</v>
      </c>
      <c r="AH55" s="371">
        <f t="shared" si="19"/>
        <v>27.9</v>
      </c>
      <c r="AI55" s="488">
        <v>41536.1</v>
      </c>
      <c r="AJ55" s="489">
        <v>52666</v>
      </c>
      <c r="AK55" s="371">
        <f t="shared" si="23"/>
        <v>26.8</v>
      </c>
      <c r="AL55" s="483">
        <f t="shared" si="31"/>
        <v>168405.62139265001</v>
      </c>
      <c r="AM55" s="483">
        <f t="shared" si="31"/>
        <v>201513.41262556001</v>
      </c>
      <c r="AN55" s="371">
        <f t="shared" si="20"/>
        <v>19.7</v>
      </c>
      <c r="AO55" s="483">
        <f t="shared" si="32"/>
        <v>170242.62139265001</v>
      </c>
      <c r="AP55" s="483">
        <f t="shared" si="32"/>
        <v>203569.41262556001</v>
      </c>
      <c r="AQ55" s="541">
        <f t="shared" si="21"/>
        <v>19.600000000000001</v>
      </c>
      <c r="AR55" s="527"/>
      <c r="AS55" s="527"/>
      <c r="AT55" s="542"/>
      <c r="AU55" s="486"/>
      <c r="AV55" s="486"/>
      <c r="AW55" s="303"/>
    </row>
    <row r="56" spans="1:49" s="105" customFormat="1" ht="20.100000000000001" customHeight="1" x14ac:dyDescent="0.3">
      <c r="A56" s="504" t="s">
        <v>318</v>
      </c>
      <c r="B56" s="488">
        <v>6051.4719999999998</v>
      </c>
      <c r="C56" s="489">
        <v>6796.62</v>
      </c>
      <c r="D56" s="489">
        <f>IF(B56=0, "    ---- ", IF(ABS(ROUND(100/B56*C56-100,1))&lt;999,ROUND(100/B56*C56-100,1),IF(ROUND(100/B56*C56-100,1)&gt;999,999,-999)))</f>
        <v>12.3</v>
      </c>
      <c r="E56" s="488">
        <v>28662.771000000001</v>
      </c>
      <c r="F56" s="489">
        <v>32878.684999999998</v>
      </c>
      <c r="G56" s="489">
        <f t="shared" si="17"/>
        <v>14.7</v>
      </c>
      <c r="H56" s="488"/>
      <c r="I56" s="489"/>
      <c r="J56" s="489"/>
      <c r="K56" s="488">
        <v>2020.463</v>
      </c>
      <c r="L56" s="489">
        <v>2775.2</v>
      </c>
      <c r="M56" s="483">
        <f t="shared" si="27"/>
        <v>37.4</v>
      </c>
      <c r="N56" s="488"/>
      <c r="O56" s="489"/>
      <c r="P56" s="371"/>
      <c r="Q56" s="488">
        <v>625.34747071000004</v>
      </c>
      <c r="R56" s="489">
        <v>594.42886320000002</v>
      </c>
      <c r="S56" s="371">
        <f t="shared" si="30"/>
        <v>-4.9000000000000004</v>
      </c>
      <c r="T56" s="488"/>
      <c r="U56" s="489"/>
      <c r="V56" s="371"/>
      <c r="W56" s="488"/>
      <c r="X56" s="489"/>
      <c r="Y56" s="371"/>
      <c r="Z56" s="488"/>
      <c r="AA56" s="489"/>
      <c r="AB56" s="371"/>
      <c r="AC56" s="488"/>
      <c r="AD56" s="489"/>
      <c r="AE56" s="371"/>
      <c r="AF56" s="488">
        <v>8793.0020000000004</v>
      </c>
      <c r="AG56" s="489">
        <v>10753.755999999999</v>
      </c>
      <c r="AH56" s="371">
        <f t="shared" si="19"/>
        <v>22.3</v>
      </c>
      <c r="AI56" s="488">
        <v>22490.5</v>
      </c>
      <c r="AJ56" s="489">
        <v>32679</v>
      </c>
      <c r="AK56" s="371">
        <f t="shared" si="23"/>
        <v>45.3</v>
      </c>
      <c r="AL56" s="483">
        <f t="shared" si="31"/>
        <v>68643.555470710009</v>
      </c>
      <c r="AM56" s="483">
        <f t="shared" si="31"/>
        <v>86477.689863200008</v>
      </c>
      <c r="AN56" s="371">
        <f t="shared" si="20"/>
        <v>26</v>
      </c>
      <c r="AO56" s="483">
        <f t="shared" si="32"/>
        <v>68643.555470710009</v>
      </c>
      <c r="AP56" s="483">
        <f t="shared" si="32"/>
        <v>86477.689863200008</v>
      </c>
      <c r="AQ56" s="541">
        <f t="shared" si="21"/>
        <v>26</v>
      </c>
      <c r="AR56" s="527"/>
      <c r="AS56" s="527"/>
      <c r="AT56" s="542"/>
      <c r="AU56" s="486"/>
      <c r="AV56" s="486"/>
      <c r="AW56" s="303"/>
    </row>
    <row r="57" spans="1:49" s="105" customFormat="1" ht="20.100000000000001" customHeight="1" x14ac:dyDescent="0.3">
      <c r="A57" s="504" t="s">
        <v>319</v>
      </c>
      <c r="B57" s="488"/>
      <c r="C57" s="489"/>
      <c r="D57" s="371"/>
      <c r="E57" s="488">
        <v>1710.479</v>
      </c>
      <c r="F57" s="489">
        <v>1530.6669999999999</v>
      </c>
      <c r="G57" s="371">
        <f t="shared" si="17"/>
        <v>-10.5</v>
      </c>
      <c r="H57" s="488"/>
      <c r="I57" s="489"/>
      <c r="J57" s="371"/>
      <c r="K57" s="488">
        <v>46.308999999999997</v>
      </c>
      <c r="L57" s="489">
        <v>32.299999999999997</v>
      </c>
      <c r="M57" s="371">
        <f t="shared" si="27"/>
        <v>-30.3</v>
      </c>
      <c r="N57" s="488"/>
      <c r="O57" s="489"/>
      <c r="P57" s="371"/>
      <c r="Q57" s="488">
        <v>35.114881420000003</v>
      </c>
      <c r="R57" s="489">
        <v>45.479678569999997</v>
      </c>
      <c r="S57" s="371">
        <f t="shared" si="30"/>
        <v>29.5</v>
      </c>
      <c r="T57" s="488">
        <v>27.5</v>
      </c>
      <c r="U57" s="489">
        <v>5.9</v>
      </c>
      <c r="V57" s="371">
        <f>IF(T57=0, "    ---- ", IF(ABS(ROUND(100/T57*U57-100,1))&lt;999,ROUND(100/T57*U57-100,1),IF(ROUND(100/T57*U57-100,1)&gt;999,999,-999)))</f>
        <v>-78.5</v>
      </c>
      <c r="W57" s="488"/>
      <c r="X57" s="489"/>
      <c r="Y57" s="371"/>
      <c r="Z57" s="488"/>
      <c r="AA57" s="489"/>
      <c r="AB57" s="371"/>
      <c r="AC57" s="488"/>
      <c r="AD57" s="489"/>
      <c r="AE57" s="371"/>
      <c r="AF57" s="488"/>
      <c r="AG57" s="489"/>
      <c r="AH57" s="371"/>
      <c r="AI57" s="488"/>
      <c r="AJ57" s="489"/>
      <c r="AK57" s="371"/>
      <c r="AL57" s="483">
        <f t="shared" si="31"/>
        <v>1819.4028814200001</v>
      </c>
      <c r="AM57" s="483">
        <f t="shared" si="31"/>
        <v>1614.34667857</v>
      </c>
      <c r="AN57" s="371">
        <f t="shared" si="20"/>
        <v>-11.3</v>
      </c>
      <c r="AO57" s="483">
        <f t="shared" si="32"/>
        <v>1819.4028814200001</v>
      </c>
      <c r="AP57" s="483">
        <f t="shared" si="32"/>
        <v>1614.34667857</v>
      </c>
      <c r="AQ57" s="541">
        <f t="shared" si="21"/>
        <v>-11.3</v>
      </c>
      <c r="AR57" s="527"/>
      <c r="AS57" s="527"/>
      <c r="AT57" s="542"/>
      <c r="AU57" s="486"/>
      <c r="AV57" s="486"/>
      <c r="AW57" s="303"/>
    </row>
    <row r="58" spans="1:49" s="105" customFormat="1" ht="20.100000000000001" customHeight="1" x14ac:dyDescent="0.3">
      <c r="A58" s="504" t="s">
        <v>320</v>
      </c>
      <c r="B58" s="488"/>
      <c r="C58" s="489"/>
      <c r="D58" s="371"/>
      <c r="E58" s="488"/>
      <c r="F58" s="489"/>
      <c r="G58" s="371"/>
      <c r="H58" s="488"/>
      <c r="I58" s="489"/>
      <c r="J58" s="371"/>
      <c r="K58" s="488"/>
      <c r="L58" s="489"/>
      <c r="M58" s="371"/>
      <c r="N58" s="488"/>
      <c r="O58" s="489"/>
      <c r="P58" s="371"/>
      <c r="Q58" s="488">
        <v>0.57741140000000002</v>
      </c>
      <c r="R58" s="489">
        <v>3.5315217900000002</v>
      </c>
      <c r="S58" s="371">
        <f t="shared" si="30"/>
        <v>511.6</v>
      </c>
      <c r="T58" s="488"/>
      <c r="U58" s="489"/>
      <c r="V58" s="371"/>
      <c r="W58" s="488"/>
      <c r="X58" s="489"/>
      <c r="Y58" s="371"/>
      <c r="Z58" s="488"/>
      <c r="AA58" s="489"/>
      <c r="AB58" s="371"/>
      <c r="AC58" s="488"/>
      <c r="AD58" s="489"/>
      <c r="AE58" s="371"/>
      <c r="AF58" s="488">
        <v>0</v>
      </c>
      <c r="AG58" s="489">
        <v>63.311999999999998</v>
      </c>
      <c r="AH58" s="371" t="str">
        <f t="shared" si="19"/>
        <v xml:space="preserve">    ---- </v>
      </c>
      <c r="AI58" s="488">
        <v>17.5</v>
      </c>
      <c r="AJ58" s="489">
        <v>91</v>
      </c>
      <c r="AK58" s="371">
        <f t="shared" si="23"/>
        <v>420</v>
      </c>
      <c r="AL58" s="483">
        <f t="shared" si="31"/>
        <v>18.077411399999999</v>
      </c>
      <c r="AM58" s="483">
        <f t="shared" si="31"/>
        <v>157.84352179000001</v>
      </c>
      <c r="AN58" s="371">
        <f t="shared" si="20"/>
        <v>773.2</v>
      </c>
      <c r="AO58" s="483">
        <f t="shared" si="32"/>
        <v>18.077411399999999</v>
      </c>
      <c r="AP58" s="483">
        <f t="shared" si="32"/>
        <v>157.84352179000001</v>
      </c>
      <c r="AQ58" s="541">
        <f t="shared" si="21"/>
        <v>773.2</v>
      </c>
      <c r="AR58" s="527"/>
      <c r="AS58" s="527"/>
      <c r="AT58" s="542"/>
      <c r="AU58" s="486"/>
      <c r="AV58" s="486"/>
      <c r="AW58" s="303"/>
    </row>
    <row r="59" spans="1:49" s="105" customFormat="1" ht="20.100000000000001" customHeight="1" x14ac:dyDescent="0.3">
      <c r="A59" s="504" t="s">
        <v>321</v>
      </c>
      <c r="B59" s="488">
        <v>91.775000000000006</v>
      </c>
      <c r="C59" s="489">
        <v>107.724</v>
      </c>
      <c r="D59" s="371">
        <f>IF(B59=0, "    ---- ", IF(ABS(ROUND(100/B59*C59-100,1))&lt;999,ROUND(100/B59*C59-100,1),IF(ROUND(100/B59*C59-100,1)&gt;999,999,-999)))</f>
        <v>17.399999999999999</v>
      </c>
      <c r="E59" s="488"/>
      <c r="F59" s="489"/>
      <c r="G59" s="371"/>
      <c r="H59" s="488">
        <v>1011.2190000000001</v>
      </c>
      <c r="I59" s="489">
        <v>1128.1420000000001</v>
      </c>
      <c r="J59" s="371">
        <f>IF(H59=0, "    ---- ", IF(ABS(ROUND(100/H59*I59-100,1))&lt;999,ROUND(100/H59*I59-100,1),IF(ROUND(100/H59*I59-100,1)&gt;999,999,-999)))</f>
        <v>11.6</v>
      </c>
      <c r="K59" s="488">
        <v>21.856000000000002</v>
      </c>
      <c r="L59" s="489">
        <v>23.2</v>
      </c>
      <c r="M59" s="371">
        <f>IF(K59=0, "    ---- ", IF(ABS(ROUND(100/K59*L59-100,1))&lt;999,ROUND(100/K59*L59-100,1),IF(ROUND(100/K59*L59-100,1)&gt;999,999,-999)))</f>
        <v>6.1</v>
      </c>
      <c r="N59" s="488"/>
      <c r="O59" s="489"/>
      <c r="P59" s="371"/>
      <c r="Q59" s="488">
        <v>0.87458798999999998</v>
      </c>
      <c r="R59" s="489">
        <v>3.6630340299999999</v>
      </c>
      <c r="S59" s="371">
        <f t="shared" si="30"/>
        <v>318.8</v>
      </c>
      <c r="T59" s="488">
        <v>20.399999999999999</v>
      </c>
      <c r="U59" s="489">
        <v>0.9</v>
      </c>
      <c r="V59" s="371">
        <f>IF(T59=0, "    ---- ", IF(ABS(ROUND(100/T59*U59-100,1))&lt;999,ROUND(100/T59*U59-100,1),IF(ROUND(100/T59*U59-100,1)&gt;999,999,-999)))</f>
        <v>-95.6</v>
      </c>
      <c r="W59" s="488">
        <v>-13.77</v>
      </c>
      <c r="X59" s="489">
        <v>351.95</v>
      </c>
      <c r="Y59" s="371">
        <f t="shared" si="18"/>
        <v>-999</v>
      </c>
      <c r="Z59" s="488"/>
      <c r="AA59" s="489"/>
      <c r="AB59" s="371"/>
      <c r="AC59" s="488"/>
      <c r="AD59" s="489"/>
      <c r="AE59" s="371"/>
      <c r="AF59" s="488">
        <v>42.325000000000003</v>
      </c>
      <c r="AG59" s="489">
        <v>97.48</v>
      </c>
      <c r="AH59" s="371">
        <f t="shared" si="19"/>
        <v>130.30000000000001</v>
      </c>
      <c r="AI59" s="488"/>
      <c r="AJ59" s="489"/>
      <c r="AK59" s="371"/>
      <c r="AL59" s="483">
        <f t="shared" si="31"/>
        <v>1174.6795879900003</v>
      </c>
      <c r="AM59" s="483">
        <f t="shared" si="31"/>
        <v>1713.0590340300002</v>
      </c>
      <c r="AN59" s="371">
        <f t="shared" si="20"/>
        <v>45.8</v>
      </c>
      <c r="AO59" s="483">
        <f t="shared" si="32"/>
        <v>1174.6795879900003</v>
      </c>
      <c r="AP59" s="483">
        <f t="shared" si="32"/>
        <v>1713.0590340300002</v>
      </c>
      <c r="AQ59" s="541">
        <f t="shared" si="21"/>
        <v>45.8</v>
      </c>
      <c r="AR59" s="527"/>
      <c r="AS59" s="527"/>
      <c r="AT59" s="542"/>
      <c r="AU59" s="486"/>
      <c r="AV59" s="486"/>
      <c r="AW59" s="303"/>
    </row>
    <row r="60" spans="1:49" s="105" customFormat="1" ht="20.100000000000001" customHeight="1" x14ac:dyDescent="0.3">
      <c r="A60" s="538" t="s">
        <v>322</v>
      </c>
      <c r="B60" s="483">
        <v>14971.198999999999</v>
      </c>
      <c r="C60" s="489">
        <f>SUM(C48+C49+C50+C54)</f>
        <v>16706.584999999999</v>
      </c>
      <c r="D60" s="371">
        <f>IF(B60=0, "    ---- ", IF(ABS(ROUND(100/B60*C60-100,1))&lt;999,ROUND(100/B60*C60-100,1),IF(ROUND(100/B60*C60-100,1)&gt;999,999,-999)))</f>
        <v>11.6</v>
      </c>
      <c r="E60" s="488">
        <v>64688.135999999999</v>
      </c>
      <c r="F60" s="489">
        <f>SUM(F48+F49+F50+F54)</f>
        <v>74630.254000000001</v>
      </c>
      <c r="G60" s="371">
        <f t="shared" si="17"/>
        <v>15.4</v>
      </c>
      <c r="H60" s="488">
        <v>2825.2420000000002</v>
      </c>
      <c r="I60" s="489">
        <f>SUM(I48+I49+I50+I54)</f>
        <v>3185.848</v>
      </c>
      <c r="J60" s="371">
        <f>IF(H60=0, "    ---- ", IF(ABS(ROUND(100/H60*I60-100,1))&lt;999,ROUND(100/H60*I60-100,1),IF(ROUND(100/H60*I60-100,1)&gt;999,999,-999)))</f>
        <v>12.8</v>
      </c>
      <c r="K60" s="488">
        <v>19415.873</v>
      </c>
      <c r="L60" s="489">
        <f>SUM(L48+L49+L50+L54)</f>
        <v>22784</v>
      </c>
      <c r="M60" s="371">
        <f>IF(K60=0, "    ---- ", IF(ABS(ROUND(100/K60*L60-100,1))&lt;999,ROUND(100/K60*L60-100,1),IF(ROUND(100/K60*L60-100,1)&gt;999,999,-999)))</f>
        <v>17.3</v>
      </c>
      <c r="N60" s="488"/>
      <c r="O60" s="489"/>
      <c r="P60" s="371"/>
      <c r="Q60" s="488">
        <v>2244.4718467100001</v>
      </c>
      <c r="R60" s="489">
        <f>SUM(R48+R49+R50+R54)</f>
        <v>2350.7504110599998</v>
      </c>
      <c r="S60" s="371">
        <f t="shared" si="30"/>
        <v>4.7</v>
      </c>
      <c r="T60" s="488">
        <v>1975.8000000000002</v>
      </c>
      <c r="U60" s="489">
        <f>SUM(U48+U49+U50+U54)</f>
        <v>2816.1000000000004</v>
      </c>
      <c r="V60" s="371">
        <f>IF(T60=0, "    ---- ", IF(ABS(ROUND(100/T60*U60-100,1))&lt;999,ROUND(100/T60*U60-100,1),IF(ROUND(100/T60*U60-100,1)&gt;999,999,-999)))</f>
        <v>42.5</v>
      </c>
      <c r="W60" s="488">
        <v>50143.350000000006</v>
      </c>
      <c r="X60" s="489">
        <f>SUM(X48+X49+X50+X54)</f>
        <v>58444.289999999994</v>
      </c>
      <c r="Y60" s="371">
        <f t="shared" si="18"/>
        <v>16.600000000000001</v>
      </c>
      <c r="Z60" s="488"/>
      <c r="AA60" s="489"/>
      <c r="AB60" s="371"/>
      <c r="AC60" s="488">
        <v>1837</v>
      </c>
      <c r="AD60" s="489">
        <f>SUM(AD48+AD49+AD50+AD54)</f>
        <v>2056</v>
      </c>
      <c r="AE60" s="371">
        <f>IF(AC60=0, "    ---- ", IF(ABS(ROUND(100/AC60*AD60-100,1))&lt;999,ROUND(100/AC60*AD60-100,1),IF(ROUND(100/AC60*AD60-100,1)&gt;999,999,-999)))</f>
        <v>11.9</v>
      </c>
      <c r="AF60" s="488">
        <v>20798.558000000001</v>
      </c>
      <c r="AG60" s="489">
        <f>SUM(AG48+AG49+AG50+AG54)</f>
        <v>26220.514999999999</v>
      </c>
      <c r="AH60" s="371">
        <f t="shared" si="19"/>
        <v>26.1</v>
      </c>
      <c r="AI60" s="488">
        <v>68168.600000000006</v>
      </c>
      <c r="AJ60" s="489">
        <f>SUM(AJ48+AJ49+AJ50+AJ54)</f>
        <v>89501</v>
      </c>
      <c r="AK60" s="371">
        <f t="shared" si="23"/>
        <v>31.3</v>
      </c>
      <c r="AL60" s="483">
        <f t="shared" si="31"/>
        <v>245231.22984670999</v>
      </c>
      <c r="AM60" s="483">
        <f t="shared" si="31"/>
        <v>296639.34241106</v>
      </c>
      <c r="AN60" s="371">
        <f t="shared" si="20"/>
        <v>21</v>
      </c>
      <c r="AO60" s="483">
        <f t="shared" si="32"/>
        <v>247068.22984670999</v>
      </c>
      <c r="AP60" s="483">
        <f t="shared" si="32"/>
        <v>298695.34241106</v>
      </c>
      <c r="AQ60" s="541">
        <f t="shared" si="21"/>
        <v>20.9</v>
      </c>
      <c r="AR60" s="527"/>
      <c r="AS60" s="527"/>
      <c r="AT60" s="542"/>
      <c r="AU60" s="486"/>
      <c r="AV60" s="486"/>
      <c r="AW60" s="303"/>
    </row>
    <row r="61" spans="1:49" s="105" customFormat="1" ht="20.100000000000001" customHeight="1" x14ac:dyDescent="0.3">
      <c r="A61" s="506" t="s">
        <v>430</v>
      </c>
      <c r="B61" s="488"/>
      <c r="C61" s="489"/>
      <c r="D61" s="371"/>
      <c r="E61" s="488"/>
      <c r="F61" s="489"/>
      <c r="G61" s="371"/>
      <c r="H61" s="488"/>
      <c r="I61" s="489"/>
      <c r="J61" s="371"/>
      <c r="K61" s="488"/>
      <c r="L61" s="489"/>
      <c r="M61" s="371"/>
      <c r="N61" s="488"/>
      <c r="O61" s="489"/>
      <c r="P61" s="371"/>
      <c r="Q61" s="488"/>
      <c r="R61" s="489"/>
      <c r="S61" s="371"/>
      <c r="T61" s="488"/>
      <c r="U61" s="489"/>
      <c r="V61" s="371"/>
      <c r="W61" s="488"/>
      <c r="X61" s="489"/>
      <c r="Y61" s="371"/>
      <c r="Z61" s="488"/>
      <c r="AA61" s="489"/>
      <c r="AB61" s="371"/>
      <c r="AC61" s="488"/>
      <c r="AD61" s="489"/>
      <c r="AE61" s="371"/>
      <c r="AF61" s="488"/>
      <c r="AG61" s="489"/>
      <c r="AH61" s="371"/>
      <c r="AI61" s="488"/>
      <c r="AJ61" s="489">
        <v>63</v>
      </c>
      <c r="AK61" s="371" t="str">
        <f t="shared" si="23"/>
        <v xml:space="preserve">    ---- </v>
      </c>
      <c r="AL61" s="483">
        <f t="shared" si="31"/>
        <v>0</v>
      </c>
      <c r="AM61" s="483">
        <f t="shared" si="31"/>
        <v>63</v>
      </c>
      <c r="AN61" s="371" t="str">
        <f t="shared" si="20"/>
        <v xml:space="preserve">    ---- </v>
      </c>
      <c r="AO61" s="483">
        <f t="shared" si="32"/>
        <v>0</v>
      </c>
      <c r="AP61" s="483">
        <f t="shared" si="32"/>
        <v>63</v>
      </c>
      <c r="AQ61" s="541" t="str">
        <f t="shared" si="21"/>
        <v xml:space="preserve">    ---- </v>
      </c>
      <c r="AR61" s="527"/>
      <c r="AS61" s="527"/>
      <c r="AT61" s="542"/>
      <c r="AU61" s="486"/>
      <c r="AV61" s="486"/>
      <c r="AW61" s="303"/>
    </row>
    <row r="62" spans="1:49" s="105" customFormat="1" ht="20.100000000000001" customHeight="1" x14ac:dyDescent="0.3">
      <c r="A62" s="504" t="s">
        <v>323</v>
      </c>
      <c r="B62" s="483">
        <v>16066.395999999999</v>
      </c>
      <c r="C62" s="489">
        <f>SUM(C45+C46+C60+C61)</f>
        <v>17889.976999999999</v>
      </c>
      <c r="D62" s="371">
        <f>IF(B62=0, "    ---- ", IF(ABS(ROUND(100/B62*C62-100,1))&lt;999,ROUND(100/B62*C62-100,1),IF(ROUND(100/B62*C62-100,1)&gt;999,999,-999)))</f>
        <v>11.4</v>
      </c>
      <c r="E62" s="488">
        <v>274760.68300000002</v>
      </c>
      <c r="F62" s="489">
        <f>SUM(F45+F46+F60+F61)</f>
        <v>283025.14899999998</v>
      </c>
      <c r="G62" s="371">
        <f t="shared" si="17"/>
        <v>3</v>
      </c>
      <c r="H62" s="488">
        <v>3731.2080000000001</v>
      </c>
      <c r="I62" s="489">
        <f>SUM(I45+I46+I60+I61)</f>
        <v>4097.5169999999998</v>
      </c>
      <c r="J62" s="371">
        <f>IF(H62=0, "    ---- ", IF(ABS(ROUND(100/H62*I62-100,1))&lt;999,ROUND(100/H62*I62-100,1),IF(ROUND(100/H62*I62-100,1)&gt;999,999,-999)))</f>
        <v>9.8000000000000007</v>
      </c>
      <c r="K62" s="488">
        <v>25014.066999999999</v>
      </c>
      <c r="L62" s="489">
        <f>SUM(L45+L46+L60+L61)</f>
        <v>28985.4</v>
      </c>
      <c r="M62" s="371">
        <f>IF(K62=0, "    ---- ", IF(ABS(ROUND(100/K62*L62-100,1))&lt;999,ROUND(100/K62*L62-100,1),IF(ROUND(100/K62*L62-100,1)&gt;999,999,-999)))</f>
        <v>15.9</v>
      </c>
      <c r="N62" s="488"/>
      <c r="O62" s="489"/>
      <c r="P62" s="371"/>
      <c r="Q62" s="488">
        <v>471658.60798772</v>
      </c>
      <c r="R62" s="489">
        <f>SUM(R45+R46+R60+R61)</f>
        <v>497497.21469939</v>
      </c>
      <c r="S62" s="371">
        <f>IF(Q62=0, "    ---- ", IF(ABS(ROUND(100/Q62*R62-100,1))&lt;999,ROUND(100/Q62*R62-100,1),IF(ROUND(100/Q62*R62-100,1)&gt;999,999,-999)))</f>
        <v>5.5</v>
      </c>
      <c r="T62" s="488">
        <v>3564.1</v>
      </c>
      <c r="U62" s="489">
        <f>SUM(U45+U46+U60+U61)</f>
        <v>4480.7000000000007</v>
      </c>
      <c r="V62" s="371">
        <f>IF(T62=0, "    ---- ", IF(ABS(ROUND(100/T62*U62-100,1))&lt;999,ROUND(100/T62*U62-100,1),IF(ROUND(100/T62*U62-100,1)&gt;999,999,-999)))</f>
        <v>25.7</v>
      </c>
      <c r="W62" s="488">
        <v>99990.417310939811</v>
      </c>
      <c r="X62" s="489">
        <f>SUM(X45+X46+X60+X61)</f>
        <v>108729.5588317299</v>
      </c>
      <c r="Y62" s="371">
        <f t="shared" si="18"/>
        <v>8.6999999999999993</v>
      </c>
      <c r="Z62" s="488">
        <v>76560</v>
      </c>
      <c r="AA62" s="489">
        <f>SUM(AA45+AA46+AA60+AA61)</f>
        <v>82677</v>
      </c>
      <c r="AB62" s="371">
        <f>IF(Z62=0, "    ---- ", IF(ABS(ROUND(100/Z62*AA62-100,1))&lt;999,ROUND(100/Z62*AA62-100,1),IF(ROUND(100/Z62*AA62-100,1)&gt;999,999,-999)))</f>
        <v>8</v>
      </c>
      <c r="AC62" s="488">
        <v>1837</v>
      </c>
      <c r="AD62" s="489">
        <f>SUM(AD45+AD46+AD60+AD61)</f>
        <v>2056</v>
      </c>
      <c r="AE62" s="371">
        <f>IF(AC62=0, "    ---- ", IF(ABS(ROUND(100/AC62*AD62-100,1))&lt;999,ROUND(100/AC62*AD62-100,1),IF(ROUND(100/AC62*AD62-100,1)&gt;999,999,-999)))</f>
        <v>11.9</v>
      </c>
      <c r="AF62" s="488">
        <v>42627.587</v>
      </c>
      <c r="AG62" s="489">
        <f>SUM(AG45+AG46+AG60+AG61)</f>
        <v>49302.339000000007</v>
      </c>
      <c r="AH62" s="371">
        <f t="shared" si="19"/>
        <v>15.7</v>
      </c>
      <c r="AI62" s="488">
        <v>253476.9</v>
      </c>
      <c r="AJ62" s="489">
        <f>SUM(AJ45+AJ46+AJ60+AJ61)</f>
        <v>278805</v>
      </c>
      <c r="AK62" s="371">
        <f t="shared" si="23"/>
        <v>10</v>
      </c>
      <c r="AL62" s="483">
        <f t="shared" si="31"/>
        <v>1267449.9662986598</v>
      </c>
      <c r="AM62" s="483">
        <f t="shared" si="31"/>
        <v>1355489.8555311197</v>
      </c>
      <c r="AN62" s="371">
        <f t="shared" si="20"/>
        <v>6.9</v>
      </c>
      <c r="AO62" s="483">
        <f t="shared" si="32"/>
        <v>1269286.9662986598</v>
      </c>
      <c r="AP62" s="483">
        <f t="shared" si="32"/>
        <v>1357545.8555311197</v>
      </c>
      <c r="AQ62" s="541">
        <f t="shared" si="21"/>
        <v>7</v>
      </c>
      <c r="AR62" s="527"/>
      <c r="AS62" s="543"/>
      <c r="AT62" s="542"/>
      <c r="AU62" s="486"/>
      <c r="AV62" s="486"/>
      <c r="AW62" s="303"/>
    </row>
    <row r="63" spans="1:49" s="113" customFormat="1" ht="20.100000000000001" customHeight="1" x14ac:dyDescent="0.3">
      <c r="A63" s="506"/>
      <c r="B63" s="529"/>
      <c r="C63" s="530"/>
      <c r="D63" s="496"/>
      <c r="E63" s="529"/>
      <c r="F63" s="530"/>
      <c r="G63" s="496"/>
      <c r="H63" s="529"/>
      <c r="I63" s="530"/>
      <c r="J63" s="496"/>
      <c r="K63" s="529"/>
      <c r="L63" s="530"/>
      <c r="M63" s="544"/>
      <c r="N63" s="529"/>
      <c r="O63" s="530"/>
      <c r="P63" s="496"/>
      <c r="Q63" s="529"/>
      <c r="R63" s="530"/>
      <c r="S63" s="496"/>
      <c r="T63" s="529"/>
      <c r="U63" s="530"/>
      <c r="V63" s="496"/>
      <c r="W63" s="529"/>
      <c r="X63" s="530"/>
      <c r="Y63" s="496"/>
      <c r="Z63" s="529"/>
      <c r="AA63" s="530"/>
      <c r="AB63" s="496"/>
      <c r="AC63" s="529"/>
      <c r="AD63" s="530"/>
      <c r="AE63" s="496"/>
      <c r="AF63" s="529"/>
      <c r="AG63" s="530"/>
      <c r="AH63" s="496"/>
      <c r="AI63" s="529"/>
      <c r="AJ63" s="530"/>
      <c r="AK63" s="496"/>
      <c r="AL63" s="544"/>
      <c r="AM63" s="544"/>
      <c r="AN63" s="496"/>
      <c r="AO63" s="544"/>
      <c r="AP63" s="544"/>
      <c r="AQ63" s="545"/>
      <c r="AR63" s="546"/>
      <c r="AS63" s="546"/>
      <c r="AT63" s="547"/>
      <c r="AU63" s="493"/>
      <c r="AV63" s="493"/>
      <c r="AW63" s="304"/>
    </row>
    <row r="64" spans="1:49" s="113" customFormat="1" ht="20.100000000000001" customHeight="1" x14ac:dyDescent="0.3">
      <c r="A64" s="506" t="s">
        <v>324</v>
      </c>
      <c r="B64" s="544">
        <v>16442.206999999999</v>
      </c>
      <c r="C64" s="530">
        <f>SUM(C29+C62)</f>
        <v>18387.423999999999</v>
      </c>
      <c r="D64" s="496">
        <f>IF(B64=0, "    ---- ", IF(ABS(ROUND(100/B64*C64-100,1))&lt;999,ROUND(100/B64*C64-100,1),IF(ROUND(100/B64*C64-100,1)&gt;999,999,-999)))</f>
        <v>11.8</v>
      </c>
      <c r="E64" s="530">
        <v>305477.36200000002</v>
      </c>
      <c r="F64" s="530">
        <f>SUM(F29+F62)</f>
        <v>315934.67199999996</v>
      </c>
      <c r="G64" s="496">
        <f t="shared" si="17"/>
        <v>3.4</v>
      </c>
      <c r="H64" s="529">
        <v>4400.1900000000005</v>
      </c>
      <c r="I64" s="530">
        <f>SUM(I29+I62)</f>
        <v>4913.3719999999994</v>
      </c>
      <c r="J64" s="496">
        <f>IF(H64=0, "    ---- ", IF(ABS(ROUND(100/H64*I64-100,1))&lt;999,ROUND(100/H64*I64-100,1),IF(ROUND(100/H64*I64-100,1)&gt;999,999,-999)))</f>
        <v>11.7</v>
      </c>
      <c r="K64" s="530">
        <v>26081.577999999998</v>
      </c>
      <c r="L64" s="530">
        <f>SUM(L29+L62)</f>
        <v>30172.600000000002</v>
      </c>
      <c r="M64" s="544">
        <f>IF(K64=0, "    ---- ", IF(ABS(ROUND(100/K64*L64-100,1))&lt;999,ROUND(100/K64*L64-100,1),IF(ROUND(100/K64*L64-100,1)&gt;999,999,-999)))</f>
        <v>15.7</v>
      </c>
      <c r="N64" s="529">
        <v>140</v>
      </c>
      <c r="O64" s="530">
        <f>SUM(O29+O62)</f>
        <v>144</v>
      </c>
      <c r="P64" s="496">
        <f>IF(N64=0, "    ---- ", IF(ABS(ROUND(100/N64*O64-100,1))&lt;999,ROUND(100/N64*O64-100,1),IF(ROUND(100/N64*O64-100,1)&gt;999,999,-999)))</f>
        <v>2.9</v>
      </c>
      <c r="Q64" s="530">
        <f>SUM(Q29+Q62)</f>
        <v>506645.35305517999</v>
      </c>
      <c r="R64" s="530">
        <f>SUM(R29+R62)</f>
        <v>535695.10448294994</v>
      </c>
      <c r="S64" s="496">
        <f>IF(Q64=0, "    ---- ", IF(ABS(ROUND(100/Q64*R64-100,1))&lt;999,ROUND(100/Q64*R64-100,1),IF(ROUND(100/Q64*R64-100,1)&gt;999,999,-999)))</f>
        <v>5.7</v>
      </c>
      <c r="T64" s="529">
        <v>3903.2999999999997</v>
      </c>
      <c r="U64" s="530">
        <f>SUM(U29+U62)</f>
        <v>5036.3000000000011</v>
      </c>
      <c r="V64" s="496">
        <f>IF(T64=0, "    ---- ", IF(ABS(ROUND(100/T64*U64-100,1))&lt;999,ROUND(100/T64*U64-100,1),IF(ROUND(100/T64*U64-100,1)&gt;999,999,-999)))</f>
        <v>29</v>
      </c>
      <c r="W64" s="529">
        <v>109709.95731093982</v>
      </c>
      <c r="X64" s="530">
        <f>SUM(X29+X62)</f>
        <v>119054.0888317299</v>
      </c>
      <c r="Y64" s="496">
        <f t="shared" si="18"/>
        <v>8.5</v>
      </c>
      <c r="Z64" s="529">
        <v>85542</v>
      </c>
      <c r="AA64" s="530">
        <f>SUM(AA29+AA62)</f>
        <v>92424</v>
      </c>
      <c r="AB64" s="496">
        <f>IF(Z64=0, "    ---- ", IF(ABS(ROUND(100/Z64*AA64-100,1))&lt;999,ROUND(100/Z64*AA64-100,1),IF(ROUND(100/Z64*AA64-100,1)&gt;999,999,-999)))</f>
        <v>8</v>
      </c>
      <c r="AC64" s="529">
        <v>1869</v>
      </c>
      <c r="AD64" s="530">
        <f>SUM(AD29+AD62)</f>
        <v>2105</v>
      </c>
      <c r="AE64" s="496">
        <f>IF(AC64=0, "    ---- ", IF(ABS(ROUND(100/AC64*AD64-100,1))&lt;999,ROUND(100/AC64*AD64-100,1),IF(ROUND(100/AC64*AD64-100,1)&gt;999,999,-999)))</f>
        <v>12.6</v>
      </c>
      <c r="AF64" s="529">
        <v>49130.091</v>
      </c>
      <c r="AG64" s="530">
        <f>SUM(AG29+AG62)</f>
        <v>56252.879000000008</v>
      </c>
      <c r="AH64" s="496">
        <f t="shared" si="19"/>
        <v>14.5</v>
      </c>
      <c r="AI64" s="529">
        <v>287748.40000000002</v>
      </c>
      <c r="AJ64" s="530">
        <f>SUM(AJ29+AJ62)</f>
        <v>316136</v>
      </c>
      <c r="AK64" s="496">
        <f t="shared" si="23"/>
        <v>9.9</v>
      </c>
      <c r="AL64" s="548">
        <f>B64+E64+H64+K64+Q64+T64+W64+Z64+AF64+AI64</f>
        <v>1395080.4383661197</v>
      </c>
      <c r="AM64" s="548">
        <f>C64+F64+I64+L64+R64+U64+X64+AA64+AG64+AJ64</f>
        <v>1494006.4403146799</v>
      </c>
      <c r="AN64" s="496">
        <f t="shared" si="20"/>
        <v>7.1</v>
      </c>
      <c r="AO64" s="548">
        <f>B64+E64+H64+K64+N64+Q64+T64+W64+Z64+AC64+AF64+AI64</f>
        <v>1397089.4383661197</v>
      </c>
      <c r="AP64" s="548">
        <f>C64+F64+I64+L64+O64+R64+U64+X64+AA64+AD64+AG64+AJ64</f>
        <v>1496255.4403146799</v>
      </c>
      <c r="AQ64" s="545">
        <f t="shared" si="21"/>
        <v>7.1</v>
      </c>
      <c r="AR64" s="546"/>
      <c r="AS64" s="546"/>
      <c r="AT64" s="542"/>
      <c r="AU64" s="493"/>
      <c r="AV64" s="493"/>
      <c r="AW64" s="303"/>
    </row>
    <row r="65" spans="1:49" s="105" customFormat="1" ht="20.100000000000001" customHeight="1" x14ac:dyDescent="0.3">
      <c r="A65" s="549"/>
      <c r="B65" s="488"/>
      <c r="C65" s="489"/>
      <c r="D65" s="371"/>
      <c r="E65" s="488"/>
      <c r="F65" s="489"/>
      <c r="G65" s="371"/>
      <c r="H65" s="488"/>
      <c r="I65" s="489"/>
      <c r="J65" s="371"/>
      <c r="K65" s="488"/>
      <c r="L65" s="489"/>
      <c r="M65" s="483"/>
      <c r="N65" s="488"/>
      <c r="O65" s="489"/>
      <c r="P65" s="371"/>
      <c r="Q65" s="488"/>
      <c r="R65" s="489"/>
      <c r="S65" s="371"/>
      <c r="T65" s="488"/>
      <c r="U65" s="489"/>
      <c r="V65" s="371"/>
      <c r="W65" s="488"/>
      <c r="X65" s="489"/>
      <c r="Y65" s="371"/>
      <c r="Z65" s="488"/>
      <c r="AA65" s="489"/>
      <c r="AB65" s="371"/>
      <c r="AC65" s="488"/>
      <c r="AD65" s="489"/>
      <c r="AE65" s="371"/>
      <c r="AF65" s="488"/>
      <c r="AG65" s="489"/>
      <c r="AH65" s="371"/>
      <c r="AI65" s="488"/>
      <c r="AJ65" s="489"/>
      <c r="AK65" s="371"/>
      <c r="AL65" s="483"/>
      <c r="AM65" s="483"/>
      <c r="AN65" s="371"/>
      <c r="AO65" s="483"/>
      <c r="AP65" s="483"/>
      <c r="AQ65" s="541"/>
      <c r="AR65" s="527"/>
      <c r="AS65" s="527"/>
      <c r="AT65" s="542"/>
      <c r="AU65" s="486"/>
      <c r="AV65" s="486"/>
      <c r="AW65" s="303"/>
    </row>
    <row r="66" spans="1:49" s="105" customFormat="1" ht="20.100000000000001" customHeight="1" x14ac:dyDescent="0.3">
      <c r="A66" s="506" t="s">
        <v>325</v>
      </c>
      <c r="B66" s="488"/>
      <c r="C66" s="489"/>
      <c r="D66" s="371"/>
      <c r="E66" s="488"/>
      <c r="F66" s="489"/>
      <c r="G66" s="371"/>
      <c r="H66" s="488"/>
      <c r="I66" s="489"/>
      <c r="J66" s="371"/>
      <c r="K66" s="488"/>
      <c r="L66" s="489"/>
      <c r="M66" s="483"/>
      <c r="N66" s="488"/>
      <c r="O66" s="489"/>
      <c r="P66" s="371"/>
      <c r="Q66" s="488"/>
      <c r="R66" s="489"/>
      <c r="S66" s="371"/>
      <c r="T66" s="488"/>
      <c r="U66" s="489"/>
      <c r="V66" s="371"/>
      <c r="W66" s="488"/>
      <c r="X66" s="489"/>
      <c r="Y66" s="371"/>
      <c r="Z66" s="488"/>
      <c r="AA66" s="489"/>
      <c r="AB66" s="371"/>
      <c r="AC66" s="488"/>
      <c r="AD66" s="489"/>
      <c r="AE66" s="371"/>
      <c r="AF66" s="488"/>
      <c r="AG66" s="489"/>
      <c r="AH66" s="371"/>
      <c r="AI66" s="488"/>
      <c r="AJ66" s="489"/>
      <c r="AK66" s="371"/>
      <c r="AL66" s="483"/>
      <c r="AM66" s="483"/>
      <c r="AN66" s="371"/>
      <c r="AO66" s="483"/>
      <c r="AP66" s="483"/>
      <c r="AQ66" s="541"/>
      <c r="AR66" s="527"/>
      <c r="AS66" s="527"/>
      <c r="AT66" s="542"/>
      <c r="AU66" s="486"/>
      <c r="AV66" s="486"/>
      <c r="AW66" s="303"/>
    </row>
    <row r="67" spans="1:49" s="105" customFormat="1" ht="20.100000000000001" customHeight="1" x14ac:dyDescent="0.3">
      <c r="A67" s="506"/>
      <c r="B67" s="488"/>
      <c r="C67" s="489"/>
      <c r="D67" s="371"/>
      <c r="E67" s="488"/>
      <c r="F67" s="489"/>
      <c r="G67" s="371"/>
      <c r="H67" s="488"/>
      <c r="I67" s="489"/>
      <c r="J67" s="371"/>
      <c r="K67" s="488"/>
      <c r="L67" s="489"/>
      <c r="M67" s="483"/>
      <c r="N67" s="488"/>
      <c r="O67" s="489"/>
      <c r="P67" s="371"/>
      <c r="Q67" s="488"/>
      <c r="R67" s="489"/>
      <c r="S67" s="371"/>
      <c r="T67" s="488"/>
      <c r="U67" s="489"/>
      <c r="V67" s="371"/>
      <c r="W67" s="488"/>
      <c r="X67" s="489"/>
      <c r="Y67" s="371"/>
      <c r="Z67" s="488"/>
      <c r="AA67" s="489"/>
      <c r="AB67" s="371"/>
      <c r="AC67" s="488"/>
      <c r="AD67" s="489"/>
      <c r="AE67" s="371"/>
      <c r="AF67" s="488"/>
      <c r="AG67" s="489"/>
      <c r="AH67" s="371"/>
      <c r="AI67" s="488"/>
      <c r="AJ67" s="489"/>
      <c r="AK67" s="371"/>
      <c r="AL67" s="483"/>
      <c r="AM67" s="483"/>
      <c r="AN67" s="371"/>
      <c r="AO67" s="483"/>
      <c r="AP67" s="483"/>
      <c r="AQ67" s="541"/>
      <c r="AR67" s="527"/>
      <c r="AS67" s="527"/>
      <c r="AT67" s="542"/>
      <c r="AU67" s="486"/>
      <c r="AV67" s="486"/>
      <c r="AW67" s="303"/>
    </row>
    <row r="68" spans="1:49" s="105" customFormat="1" ht="20.100000000000001" customHeight="1" x14ac:dyDescent="0.3">
      <c r="A68" s="504" t="s">
        <v>326</v>
      </c>
      <c r="B68" s="488">
        <v>141.16</v>
      </c>
      <c r="C68" s="489">
        <v>141.16</v>
      </c>
      <c r="D68" s="371">
        <f>IF(B68=0, "    ---- ", IF(ABS(ROUND(100/B68*C68-100,1))&lt;999,ROUND(100/B68*C68-100,1),IF(ROUND(100/B68*C68-100,1)&gt;999,999,-999)))</f>
        <v>0</v>
      </c>
      <c r="E68" s="488">
        <v>7765.924</v>
      </c>
      <c r="F68" s="489">
        <v>7765.924</v>
      </c>
      <c r="G68" s="371">
        <f t="shared" si="17"/>
        <v>0</v>
      </c>
      <c r="H68" s="488">
        <v>175</v>
      </c>
      <c r="I68" s="489">
        <v>175</v>
      </c>
      <c r="J68" s="371">
        <f>IF(H68=0, "    ---- ", IF(ABS(ROUND(100/H68*I68-100,1))&lt;999,ROUND(100/H68*I68-100,1),IF(ROUND(100/H68*I68-100,1)&gt;999,999,-999)))</f>
        <v>0</v>
      </c>
      <c r="K68" s="488">
        <v>119.74</v>
      </c>
      <c r="L68" s="489">
        <v>120.7</v>
      </c>
      <c r="M68" s="483">
        <f>IF(K68=0, "    ---- ", IF(ABS(ROUND(100/K68*L68-100,1))&lt;999,ROUND(100/K68*L68-100,1),IF(ROUND(100/K68*L68-100,1)&gt;999,999,-999)))</f>
        <v>0.8</v>
      </c>
      <c r="N68" s="488">
        <v>5</v>
      </c>
      <c r="O68" s="489">
        <v>5</v>
      </c>
      <c r="P68" s="371">
        <f>IF(N68=0, "    ---- ", IF(ABS(ROUND(100/N68*O68-100,1))&lt;999,ROUND(100/N68*O68-100,1),IF(ROUND(100/N68*O68-100,1)&gt;999,999,-999)))</f>
        <v>0</v>
      </c>
      <c r="Q68" s="488">
        <v>11762.581077999999</v>
      </c>
      <c r="R68" s="489">
        <v>13111.465407</v>
      </c>
      <c r="S68" s="371">
        <f t="shared" ref="S68:S79" si="33">IF(Q68=0, "    ---- ", IF(ABS(ROUND(100/Q68*R68-100,1))&lt;999,ROUND(100/Q68*R68-100,1),IF(ROUND(100/Q68*R68-100,1)&gt;999,999,-999)))</f>
        <v>11.5</v>
      </c>
      <c r="T68" s="488">
        <v>501.3</v>
      </c>
      <c r="U68" s="489">
        <v>741.3</v>
      </c>
      <c r="V68" s="371">
        <f>IF(T68=0, "    ---- ", IF(ABS(ROUND(100/T68*U68-100,1))&lt;999,ROUND(100/T68*U68-100,1),IF(ROUND(100/T68*U68-100,1)&gt;999,999,-999)))</f>
        <v>47.9</v>
      </c>
      <c r="W68" s="488">
        <v>1126.76</v>
      </c>
      <c r="X68" s="489">
        <v>1126.76</v>
      </c>
      <c r="Y68" s="371">
        <f t="shared" si="18"/>
        <v>0</v>
      </c>
      <c r="Z68" s="488">
        <v>1430</v>
      </c>
      <c r="AA68" s="489">
        <v>1430</v>
      </c>
      <c r="AB68" s="371">
        <f>IF(Z68=0, "    ---- ", IF(ABS(ROUND(100/Z68*AA68-100,1))&lt;999,ROUND(100/Z68*AA68-100,1),IF(ROUND(100/Z68*AA68-100,1)&gt;999,999,-999)))</f>
        <v>0</v>
      </c>
      <c r="AC68" s="488">
        <v>49</v>
      </c>
      <c r="AD68" s="489">
        <v>49</v>
      </c>
      <c r="AE68" s="371">
        <f>IF(AC68=0, "    ---- ", IF(ABS(ROUND(100/AC68*AD68-100,1))&lt;999,ROUND(100/AC68*AD68-100,1),IF(ROUND(100/AC68*AD68-100,1)&gt;999,999,-999)))</f>
        <v>0</v>
      </c>
      <c r="AF68" s="488">
        <v>2491.1880000000001</v>
      </c>
      <c r="AG68" s="489">
        <v>2696.0329999999999</v>
      </c>
      <c r="AH68" s="371">
        <f t="shared" si="19"/>
        <v>8.1999999999999993</v>
      </c>
      <c r="AI68" s="488">
        <v>13251</v>
      </c>
      <c r="AJ68" s="489">
        <v>13251</v>
      </c>
      <c r="AK68" s="371">
        <f t="shared" si="23"/>
        <v>0</v>
      </c>
      <c r="AL68" s="483">
        <f>B68+E68+H68+K68+Q68+T68+W68+Z68+AF68+AI68</f>
        <v>38764.653077999996</v>
      </c>
      <c r="AM68" s="483">
        <f>C68+F68+I68+L68+R68+U68+X68+AA68+AG68+AJ68</f>
        <v>40559.342406999996</v>
      </c>
      <c r="AN68" s="371">
        <f t="shared" si="20"/>
        <v>4.5999999999999996</v>
      </c>
      <c r="AO68" s="483">
        <f>B68+E68+H68+K68+N68+Q68+T68+W68+Z68+AC68+AF68+AI68</f>
        <v>38818.653077999996</v>
      </c>
      <c r="AP68" s="483">
        <f>C68+F68+I68+L68+O68+R68+U68+X68+AA68+AD68+AG68+AJ68</f>
        <v>40613.342406999996</v>
      </c>
      <c r="AQ68" s="541">
        <f t="shared" si="21"/>
        <v>4.5999999999999996</v>
      </c>
      <c r="AR68" s="527"/>
      <c r="AS68" s="527"/>
      <c r="AT68" s="542"/>
      <c r="AU68" s="486"/>
      <c r="AV68" s="486"/>
      <c r="AW68" s="303"/>
    </row>
    <row r="69" spans="1:49" s="105" customFormat="1" ht="20.100000000000001" customHeight="1" x14ac:dyDescent="0.3">
      <c r="A69" s="504" t="s">
        <v>327</v>
      </c>
      <c r="B69" s="488">
        <v>237.33199999999999</v>
      </c>
      <c r="C69" s="489">
        <v>322.03399999999999</v>
      </c>
      <c r="D69" s="371">
        <f>IF(B69=0, "    ---- ", IF(ABS(ROUND(100/B69*C69-100,1))&lt;999,ROUND(100/B69*C69-100,1),IF(ROUND(100/B69*C69-100,1)&gt;999,999,-999)))</f>
        <v>35.700000000000003</v>
      </c>
      <c r="E69" s="488">
        <v>15196.963</v>
      </c>
      <c r="F69" s="489">
        <v>17132.194</v>
      </c>
      <c r="G69" s="371">
        <f t="shared" si="17"/>
        <v>12.7</v>
      </c>
      <c r="H69" s="488">
        <v>113.807</v>
      </c>
      <c r="I69" s="489">
        <v>140.31399999999999</v>
      </c>
      <c r="J69" s="371">
        <f>IF(H69=0, "    ---- ", IF(ABS(ROUND(100/H69*I69-100,1))&lt;999,ROUND(100/H69*I69-100,1),IF(ROUND(100/H69*I69-100,1)&gt;999,999,-999)))</f>
        <v>23.3</v>
      </c>
      <c r="K69" s="488">
        <v>557.02599999999995</v>
      </c>
      <c r="L69" s="489">
        <v>632.79999999999995</v>
      </c>
      <c r="M69" s="483">
        <f>IF(K69=0, "    ---- ", IF(ABS(ROUND(100/K69*L69-100,1))&lt;999,ROUND(100/K69*L69-100,1),IF(ROUND(100/K69*L69-100,1)&gt;999,999,-999)))</f>
        <v>13.6</v>
      </c>
      <c r="N69" s="488">
        <v>57</v>
      </c>
      <c r="O69" s="489">
        <v>77</v>
      </c>
      <c r="P69" s="371">
        <f>IF(N69=0, "    ---- ", IF(ABS(ROUND(100/N69*O69-100,1))&lt;999,ROUND(100/N69*O69-100,1),IF(ROUND(100/N69*O69-100,1)&gt;999,999,-999)))</f>
        <v>35.1</v>
      </c>
      <c r="Q69" s="488">
        <v>16435</v>
      </c>
      <c r="R69" s="489">
        <v>18155.632204860001</v>
      </c>
      <c r="S69" s="371">
        <f t="shared" si="33"/>
        <v>10.5</v>
      </c>
      <c r="T69" s="488">
        <v>-204.8</v>
      </c>
      <c r="U69" s="489">
        <v>-226.5</v>
      </c>
      <c r="V69" s="371">
        <f>IF(T69=0, "    ---- ", IF(ABS(ROUND(100/T69*U69-100,1))&lt;999,ROUND(100/T69*U69-100,1),IF(ROUND(100/T69*U69-100,1)&gt;999,999,-999)))</f>
        <v>10.6</v>
      </c>
      <c r="W69" s="488">
        <v>5559.04</v>
      </c>
      <c r="X69" s="489">
        <v>6081.9</v>
      </c>
      <c r="Y69" s="371">
        <f t="shared" si="18"/>
        <v>9.4</v>
      </c>
      <c r="Z69" s="488">
        <v>5886</v>
      </c>
      <c r="AA69" s="489">
        <v>6594</v>
      </c>
      <c r="AB69" s="371">
        <f>IF(Z69=0, "    ---- ", IF(ABS(ROUND(100/Z69*AA69-100,1))&lt;999,ROUND(100/Z69*AA69-100,1),IF(ROUND(100/Z69*AA69-100,1)&gt;999,999,-999)))</f>
        <v>12</v>
      </c>
      <c r="AC69" s="488">
        <v>-18</v>
      </c>
      <c r="AD69" s="489">
        <v>-5</v>
      </c>
      <c r="AE69" s="371">
        <f>IF(AC69=0, "    ---- ", IF(ABS(ROUND(100/AC69*AD69-100,1))&lt;999,ROUND(100/AC69*AD69-100,1),IF(ROUND(100/AC69*AD69-100,1)&gt;999,999,-999)))</f>
        <v>-72.2</v>
      </c>
      <c r="AF69" s="488">
        <v>1216.752</v>
      </c>
      <c r="AG69" s="489">
        <v>960.60699999999997</v>
      </c>
      <c r="AH69" s="371">
        <f t="shared" si="19"/>
        <v>-21.1</v>
      </c>
      <c r="AI69" s="488">
        <v>11467.5</v>
      </c>
      <c r="AJ69" s="489">
        <v>12019</v>
      </c>
      <c r="AK69" s="371">
        <f t="shared" si="23"/>
        <v>4.8</v>
      </c>
      <c r="AL69" s="483">
        <f t="shared" ref="AL69:AM71" si="34">B69+E69+H69+K69+Q69+T69+W69+Z69+AF69+AI69</f>
        <v>56464.62</v>
      </c>
      <c r="AM69" s="483">
        <f t="shared" si="34"/>
        <v>61811.98120486</v>
      </c>
      <c r="AN69" s="371">
        <f t="shared" si="20"/>
        <v>9.5</v>
      </c>
      <c r="AO69" s="483">
        <f t="shared" ref="AO69:AP71" si="35">B69+E69+H69+K69+N69+Q69+T69+W69+Z69+AC69+AF69+AI69</f>
        <v>56503.62</v>
      </c>
      <c r="AP69" s="483">
        <f t="shared" si="35"/>
        <v>61883.98120486</v>
      </c>
      <c r="AQ69" s="541">
        <f t="shared" si="21"/>
        <v>9.5</v>
      </c>
      <c r="AR69" s="527"/>
      <c r="AS69" s="527"/>
      <c r="AT69" s="542"/>
      <c r="AU69" s="486"/>
      <c r="AV69" s="486"/>
      <c r="AW69" s="303"/>
    </row>
    <row r="70" spans="1:49" s="105" customFormat="1" ht="20.100000000000001" customHeight="1" x14ac:dyDescent="0.3">
      <c r="A70" s="504" t="s">
        <v>328</v>
      </c>
      <c r="B70" s="488">
        <v>3.4529999999999998</v>
      </c>
      <c r="C70" s="489">
        <v>3.4529999999999998</v>
      </c>
      <c r="D70" s="371">
        <f>IF(B70=0, "    ---- ", IF(ABS(ROUND(100/B70*C70-100,1))&lt;999,ROUND(100/B70*C70-100,1),IF(ROUND(100/B70*C70-100,1)&gt;999,999,-999)))</f>
        <v>0</v>
      </c>
      <c r="E70" s="488">
        <v>406.78399999999999</v>
      </c>
      <c r="F70" s="489">
        <v>516.08000000000004</v>
      </c>
      <c r="G70" s="371">
        <f>IF(E70=0, "    ---- ", IF(ABS(ROUND(100/E70*F70-100,1))&lt;999,ROUND(100/E70*F70-100,1),IF(ROUND(100/E70*F70-100,1)&gt;999,999,-999)))</f>
        <v>26.9</v>
      </c>
      <c r="H70" s="488">
        <v>45.195</v>
      </c>
      <c r="I70" s="489">
        <v>59.231999999999999</v>
      </c>
      <c r="J70" s="371">
        <f>IF(H70=0, "    ---- ", IF(ABS(ROUND(100/H70*I70-100,1))&lt;999,ROUND(100/H70*I70-100,1),IF(ROUND(100/H70*I70-100,1)&gt;999,999,-999)))</f>
        <v>31.1</v>
      </c>
      <c r="K70" s="488"/>
      <c r="L70" s="489"/>
      <c r="M70" s="371"/>
      <c r="N70" s="488"/>
      <c r="O70" s="489"/>
      <c r="P70" s="371"/>
      <c r="Q70" s="488">
        <v>3906.802733</v>
      </c>
      <c r="R70" s="489">
        <v>4154.3046469999999</v>
      </c>
      <c r="S70" s="371">
        <f t="shared" si="33"/>
        <v>6.3</v>
      </c>
      <c r="T70" s="488">
        <v>0</v>
      </c>
      <c r="U70" s="489">
        <v>1.8</v>
      </c>
      <c r="V70" s="371" t="str">
        <f>IF(T70=0, "    ---- ", IF(ABS(ROUND(100/T70*U70-100,1))&lt;999,ROUND(100/T70*U70-100,1),IF(ROUND(100/T70*U70-100,1)&gt;999,999,-999)))</f>
        <v xml:space="preserve">    ---- </v>
      </c>
      <c r="W70" s="488">
        <v>94.86</v>
      </c>
      <c r="X70" s="489">
        <v>105.06</v>
      </c>
      <c r="Y70" s="371">
        <f t="shared" si="18"/>
        <v>10.8</v>
      </c>
      <c r="Z70" s="488"/>
      <c r="AA70" s="489"/>
      <c r="AB70" s="371"/>
      <c r="AC70" s="488"/>
      <c r="AD70" s="489"/>
      <c r="AE70" s="371"/>
      <c r="AF70" s="488">
        <v>26.981000000000002</v>
      </c>
      <c r="AG70" s="489">
        <v>57.61</v>
      </c>
      <c r="AH70" s="371">
        <f>IF(AF70=0, "    ---- ", IF(ABS(ROUND(100/AF70*AG70-100,1))&lt;999,ROUND(100/AF70*AG70-100,1),IF(ROUND(100/AF70*AG70-100,1)&gt;999,999,-999)))</f>
        <v>113.5</v>
      </c>
      <c r="AI70" s="488">
        <v>139</v>
      </c>
      <c r="AJ70" s="489">
        <v>34</v>
      </c>
      <c r="AK70" s="371">
        <f t="shared" si="23"/>
        <v>-75.5</v>
      </c>
      <c r="AL70" s="483">
        <f t="shared" si="34"/>
        <v>4623.0757329999997</v>
      </c>
      <c r="AM70" s="483">
        <f t="shared" si="34"/>
        <v>4931.5396470000005</v>
      </c>
      <c r="AN70" s="371">
        <f t="shared" si="20"/>
        <v>6.7</v>
      </c>
      <c r="AO70" s="483">
        <f t="shared" si="35"/>
        <v>4623.0757329999997</v>
      </c>
      <c r="AP70" s="483">
        <f t="shared" si="35"/>
        <v>4931.5396470000005</v>
      </c>
      <c r="AQ70" s="541">
        <f t="shared" si="21"/>
        <v>6.7</v>
      </c>
      <c r="AR70" s="527"/>
      <c r="AS70" s="527"/>
      <c r="AT70" s="542"/>
      <c r="AU70" s="486"/>
      <c r="AV70" s="486"/>
      <c r="AW70" s="303"/>
    </row>
    <row r="71" spans="1:49" s="105" customFormat="1" ht="20.100000000000001" customHeight="1" x14ac:dyDescent="0.3">
      <c r="A71" s="504" t="s">
        <v>329</v>
      </c>
      <c r="B71" s="488"/>
      <c r="C71" s="489"/>
      <c r="D71" s="371"/>
      <c r="E71" s="488">
        <v>5500</v>
      </c>
      <c r="F71" s="489">
        <v>5500</v>
      </c>
      <c r="G71" s="371">
        <f t="shared" si="17"/>
        <v>0</v>
      </c>
      <c r="H71" s="488"/>
      <c r="I71" s="489"/>
      <c r="J71" s="371"/>
      <c r="K71" s="488">
        <v>299.48500000000001</v>
      </c>
      <c r="L71" s="489">
        <v>299.60000000000002</v>
      </c>
      <c r="M71" s="483">
        <f>IF(K71=0, "    ---- ", IF(ABS(ROUND(100/K71*L71-100,1))&lt;999,ROUND(100/K71*L71-100,1),IF(ROUND(100/K71*L71-100,1)&gt;999,999,-999)))</f>
        <v>0</v>
      </c>
      <c r="N71" s="488"/>
      <c r="O71" s="489"/>
      <c r="P71" s="371"/>
      <c r="Q71" s="488">
        <v>8062.2856755699995</v>
      </c>
      <c r="R71" s="489">
        <v>7463.5218313800005</v>
      </c>
      <c r="S71" s="371">
        <f t="shared" si="33"/>
        <v>-7.4</v>
      </c>
      <c r="T71" s="488"/>
      <c r="U71" s="489"/>
      <c r="V71" s="371"/>
      <c r="W71" s="488">
        <v>2830</v>
      </c>
      <c r="X71" s="489">
        <v>2830</v>
      </c>
      <c r="Y71" s="371">
        <f t="shared" si="18"/>
        <v>0</v>
      </c>
      <c r="Z71" s="488">
        <v>1240</v>
      </c>
      <c r="AA71" s="489">
        <v>1240</v>
      </c>
      <c r="AB71" s="371">
        <f>IF(Z71=0, "    ---- ", IF(ABS(ROUND(100/Z71*AA71-100,1))&lt;999,ROUND(100/Z71*AA71-100,1),IF(ROUND(100/Z71*AA71-100,1)&gt;999,999,-999)))</f>
        <v>0</v>
      </c>
      <c r="AC71" s="488"/>
      <c r="AD71" s="489"/>
      <c r="AE71" s="371"/>
      <c r="AF71" s="488">
        <v>1000</v>
      </c>
      <c r="AG71" s="489">
        <v>1000</v>
      </c>
      <c r="AH71" s="371">
        <f t="shared" si="19"/>
        <v>0</v>
      </c>
      <c r="AI71" s="488">
        <v>7230.5</v>
      </c>
      <c r="AJ71" s="489">
        <v>9204</v>
      </c>
      <c r="AK71" s="371">
        <f t="shared" si="23"/>
        <v>27.3</v>
      </c>
      <c r="AL71" s="483">
        <f t="shared" si="34"/>
        <v>26162.270675569998</v>
      </c>
      <c r="AM71" s="483">
        <f t="shared" si="34"/>
        <v>27537.121831380002</v>
      </c>
      <c r="AN71" s="371">
        <f t="shared" si="20"/>
        <v>5.3</v>
      </c>
      <c r="AO71" s="483">
        <f t="shared" si="35"/>
        <v>26162.270675569998</v>
      </c>
      <c r="AP71" s="483">
        <f t="shared" si="35"/>
        <v>27537.121831380002</v>
      </c>
      <c r="AQ71" s="541">
        <f t="shared" si="21"/>
        <v>5.3</v>
      </c>
      <c r="AR71" s="527"/>
      <c r="AS71" s="486"/>
      <c r="AT71" s="542"/>
      <c r="AU71" s="486"/>
      <c r="AV71" s="486"/>
      <c r="AW71" s="303"/>
    </row>
    <row r="72" spans="1:49" s="105" customFormat="1" ht="20.100000000000001" customHeight="1" x14ac:dyDescent="0.3">
      <c r="A72" s="504" t="s">
        <v>330</v>
      </c>
      <c r="B72" s="488"/>
      <c r="C72" s="489"/>
      <c r="D72" s="371"/>
      <c r="E72" s="488"/>
      <c r="F72" s="489"/>
      <c r="G72" s="371"/>
      <c r="H72" s="488"/>
      <c r="I72" s="489"/>
      <c r="J72" s="371"/>
      <c r="K72" s="488"/>
      <c r="L72" s="489"/>
      <c r="M72" s="483"/>
      <c r="N72" s="488"/>
      <c r="O72" s="489"/>
      <c r="P72" s="371"/>
      <c r="Q72" s="488"/>
      <c r="R72" s="489"/>
      <c r="S72" s="371"/>
      <c r="T72" s="488"/>
      <c r="U72" s="489"/>
      <c r="V72" s="371"/>
      <c r="W72" s="488"/>
      <c r="X72" s="489"/>
      <c r="Y72" s="371"/>
      <c r="Z72" s="488"/>
      <c r="AA72" s="489"/>
      <c r="AB72" s="371"/>
      <c r="AC72" s="488"/>
      <c r="AD72" s="489"/>
      <c r="AE72" s="371"/>
      <c r="AF72" s="488"/>
      <c r="AG72" s="489"/>
      <c r="AH72" s="371"/>
      <c r="AI72" s="488"/>
      <c r="AJ72" s="489"/>
      <c r="AK72" s="371"/>
      <c r="AL72" s="483"/>
      <c r="AM72" s="483"/>
      <c r="AN72" s="371"/>
      <c r="AO72" s="483"/>
      <c r="AP72" s="483"/>
      <c r="AQ72" s="541"/>
      <c r="AR72" s="527"/>
      <c r="AS72" s="527"/>
      <c r="AT72" s="542"/>
      <c r="AU72" s="486"/>
      <c r="AV72" s="486"/>
      <c r="AW72" s="303"/>
    </row>
    <row r="73" spans="1:49" s="105" customFormat="1" ht="20.100000000000001" customHeight="1" x14ac:dyDescent="0.3">
      <c r="A73" s="504" t="s">
        <v>459</v>
      </c>
      <c r="B73" s="488">
        <v>867.28300000000002</v>
      </c>
      <c r="C73" s="489">
        <v>934.02099999999996</v>
      </c>
      <c r="D73" s="371">
        <f t="shared" ref="D73:D77" si="36">IF(B73=0, "    ---- ", IF(ABS(ROUND(100/B73*C73-100,1))&lt;999,ROUND(100/B73*C73-100,1),IF(ROUND(100/B73*C73-100,1)&gt;999,999,-999)))</f>
        <v>7.7</v>
      </c>
      <c r="E73" s="488">
        <v>198366.799</v>
      </c>
      <c r="F73" s="489">
        <v>196761.527</v>
      </c>
      <c r="G73" s="371">
        <f t="shared" si="17"/>
        <v>-0.8</v>
      </c>
      <c r="H73" s="488">
        <v>1125.761</v>
      </c>
      <c r="I73" s="489">
        <v>1246.5820000000001</v>
      </c>
      <c r="J73" s="371">
        <f>IF(H73=0, "    ---- ", IF(ABS(ROUND(100/H73*I73-100,1))&lt;999,ROUND(100/H73*I73-100,1),IF(ROUND(100/H73*I73-100,1)&gt;999,999,-999)))</f>
        <v>10.7</v>
      </c>
      <c r="K73" s="488">
        <v>5374.19</v>
      </c>
      <c r="L73" s="489">
        <v>5950.4</v>
      </c>
      <c r="M73" s="483">
        <f>IF(K73=0, "    ---- ", IF(ABS(ROUND(100/K73*L73-100,1))&lt;999,ROUND(100/K73*L73-100,1),IF(ROUND(100/K73*L73-100,1)&gt;999,999,-999)))</f>
        <v>10.7</v>
      </c>
      <c r="N73" s="488">
        <v>75</v>
      </c>
      <c r="O73" s="489">
        <v>52</v>
      </c>
      <c r="P73" s="371">
        <f>IF(N73=0, "    ---- ", IF(ABS(ROUND(100/N73*O73-100,1))&lt;999,ROUND(100/N73*O73-100,1),IF(ROUND(100/N73*O73-100,1)&gt;999,999,-999)))</f>
        <v>-30.7</v>
      </c>
      <c r="Q73" s="488">
        <v>384508.35418662999</v>
      </c>
      <c r="R73" s="489">
        <v>407269.96843933</v>
      </c>
      <c r="S73" s="371">
        <f t="shared" si="33"/>
        <v>5.9</v>
      </c>
      <c r="T73" s="488">
        <v>1459.1</v>
      </c>
      <c r="U73" s="489">
        <v>1517.1</v>
      </c>
      <c r="V73" s="371">
        <f>IF(T73=0, "    ---- ", IF(ABS(ROUND(100/T73*U73-100,1))&lt;999,ROUND(100/T73*U73-100,1),IF(ROUND(100/T73*U73-100,1)&gt;999,999,-999)))</f>
        <v>4</v>
      </c>
      <c r="W73" s="488">
        <v>45370.45</v>
      </c>
      <c r="X73" s="489">
        <v>46390.498831999997</v>
      </c>
      <c r="Y73" s="371">
        <f t="shared" si="18"/>
        <v>2.2000000000000002</v>
      </c>
      <c r="Z73" s="488">
        <v>58328</v>
      </c>
      <c r="AA73" s="489">
        <v>61002</v>
      </c>
      <c r="AB73" s="371">
        <f>IF(Z73=0, "    ---- ", IF(ABS(ROUND(100/Z73*AA73-100,1))&lt;999,ROUND(100/Z73*AA73-100,1),IF(ROUND(100/Z73*AA73-100,1)&gt;999,999,-999)))</f>
        <v>4.5999999999999996</v>
      </c>
      <c r="AC73" s="488"/>
      <c r="AD73" s="489"/>
      <c r="AE73" s="371"/>
      <c r="AF73" s="488">
        <v>18738.255000000001</v>
      </c>
      <c r="AG73" s="489">
        <v>19705.764999999999</v>
      </c>
      <c r="AH73" s="371">
        <f t="shared" si="19"/>
        <v>5.2</v>
      </c>
      <c r="AI73" s="488">
        <v>169513.5</v>
      </c>
      <c r="AJ73" s="489">
        <v>172256</v>
      </c>
      <c r="AK73" s="371">
        <f t="shared" si="23"/>
        <v>1.6</v>
      </c>
      <c r="AL73" s="483">
        <f>B73+E73+H73+K73+Q73+T73+W73+Z73+AF73+AI73</f>
        <v>883651.69218662987</v>
      </c>
      <c r="AM73" s="483">
        <f>C73+F73+I73+L73+R73+U73+X73+AA73+AG73+AJ73</f>
        <v>913033.86227132997</v>
      </c>
      <c r="AN73" s="371">
        <f t="shared" si="20"/>
        <v>3.3</v>
      </c>
      <c r="AO73" s="483">
        <f>B73+E73+H73+K73+N73+Q73+T73+W73+Z73+AC73+AF73+AI73</f>
        <v>883726.69218662987</v>
      </c>
      <c r="AP73" s="483">
        <f>C73+F73+I73+L73+O73+R73+U73+X73+AA73+AD73+AG73+AJ73</f>
        <v>913085.86227132997</v>
      </c>
      <c r="AQ73" s="541">
        <f t="shared" si="21"/>
        <v>3.3</v>
      </c>
      <c r="AR73" s="527"/>
      <c r="AS73" s="527"/>
      <c r="AT73" s="542"/>
      <c r="AU73" s="486"/>
      <c r="AV73" s="486"/>
      <c r="AW73" s="303"/>
    </row>
    <row r="74" spans="1:49" s="105" customFormat="1" ht="20.100000000000001" customHeight="1" x14ac:dyDescent="0.3">
      <c r="A74" s="504" t="s">
        <v>331</v>
      </c>
      <c r="B74" s="488">
        <v>14.602</v>
      </c>
      <c r="C74" s="489">
        <v>15.303000000000001</v>
      </c>
      <c r="D74" s="371">
        <f t="shared" si="36"/>
        <v>4.8</v>
      </c>
      <c r="E74" s="488">
        <v>6711.2939999999999</v>
      </c>
      <c r="F74" s="489">
        <v>7528.067</v>
      </c>
      <c r="G74" s="371">
        <f t="shared" si="17"/>
        <v>12.2</v>
      </c>
      <c r="H74" s="488">
        <v>1.587</v>
      </c>
      <c r="I74" s="489">
        <v>3.4990000000000001</v>
      </c>
      <c r="J74" s="371">
        <f>IF(H74=0, "    ---- ", IF(ABS(ROUND(100/H74*I74-100,1))&lt;999,ROUND(100/H74*I74-100,1),IF(ROUND(100/H74*I74-100,1)&gt;999,999,-999)))</f>
        <v>120.5</v>
      </c>
      <c r="K74" s="488">
        <v>165.018</v>
      </c>
      <c r="L74" s="489">
        <v>177.4</v>
      </c>
      <c r="M74" s="483">
        <f>IF(K74=0, "    ---- ", IF(ABS(ROUND(100/K74*L74-100,1))&lt;999,ROUND(100/K74*L74-100,1),IF(ROUND(100/K74*L74-100,1)&gt;999,999,-999)))</f>
        <v>7.5</v>
      </c>
      <c r="N74" s="488"/>
      <c r="O74" s="489"/>
      <c r="P74" s="371"/>
      <c r="Q74" s="488">
        <v>24290.086764</v>
      </c>
      <c r="R74" s="489">
        <v>25401.347023999999</v>
      </c>
      <c r="S74" s="371">
        <f t="shared" si="33"/>
        <v>4.5999999999999996</v>
      </c>
      <c r="T74" s="488">
        <v>47.4</v>
      </c>
      <c r="U74" s="489">
        <v>106.3</v>
      </c>
      <c r="V74" s="371">
        <f>IF(T74=0, "    ---- ", IF(ABS(ROUND(100/T74*U74-100,1))&lt;999,ROUND(100/T74*U74-100,1),IF(ROUND(100/T74*U74-100,1)&gt;999,999,-999)))</f>
        <v>124.3</v>
      </c>
      <c r="W74" s="488">
        <v>1335.33</v>
      </c>
      <c r="X74" s="489">
        <v>1623.46</v>
      </c>
      <c r="Y74" s="371">
        <f t="shared" si="18"/>
        <v>21.6</v>
      </c>
      <c r="Z74" s="488">
        <v>4068</v>
      </c>
      <c r="AA74" s="489">
        <v>7101</v>
      </c>
      <c r="AB74" s="371">
        <f>IF(Z74=0, "    ---- ", IF(ABS(ROUND(100/Z74*AA74-100,1))&lt;999,ROUND(100/Z74*AA74-100,1),IF(ROUND(100/Z74*AA74-100,1)&gt;999,999,-999)))</f>
        <v>74.599999999999994</v>
      </c>
      <c r="AC74" s="488"/>
      <c r="AD74" s="489"/>
      <c r="AE74" s="371"/>
      <c r="AF74" s="488">
        <v>573.16800000000001</v>
      </c>
      <c r="AG74" s="489">
        <v>840.13099999999997</v>
      </c>
      <c r="AH74" s="371">
        <f t="shared" si="19"/>
        <v>46.6</v>
      </c>
      <c r="AI74" s="488">
        <v>6814.8</v>
      </c>
      <c r="AJ74" s="489">
        <v>8114</v>
      </c>
      <c r="AK74" s="371">
        <f t="shared" si="23"/>
        <v>19.100000000000001</v>
      </c>
      <c r="AL74" s="483">
        <f t="shared" ref="AL74:AM79" si="37">B74+E74+H74+K74+Q74+T74+W74+Z74+AF74+AI74</f>
        <v>44021.285764</v>
      </c>
      <c r="AM74" s="483">
        <f t="shared" si="37"/>
        <v>50910.507023999999</v>
      </c>
      <c r="AN74" s="371">
        <f t="shared" si="20"/>
        <v>15.6</v>
      </c>
      <c r="AO74" s="483">
        <f t="shared" ref="AO74:AP89" si="38">B74+E74+H74+K74+N74+Q74+T74+W74+Z74+AC74+AF74+AI74</f>
        <v>44021.285764</v>
      </c>
      <c r="AP74" s="483">
        <f t="shared" si="38"/>
        <v>50910.507023999999</v>
      </c>
      <c r="AQ74" s="541">
        <f t="shared" si="21"/>
        <v>15.6</v>
      </c>
      <c r="AR74" s="527"/>
      <c r="AS74" s="527"/>
      <c r="AT74" s="542"/>
      <c r="AU74" s="486"/>
      <c r="AV74" s="486"/>
      <c r="AW74" s="303"/>
    </row>
    <row r="75" spans="1:49" s="105" customFormat="1" ht="20.100000000000001" customHeight="1" x14ac:dyDescent="0.3">
      <c r="A75" s="504" t="s">
        <v>332</v>
      </c>
      <c r="B75" s="488">
        <v>34.921999999999997</v>
      </c>
      <c r="C75" s="489">
        <v>33.517000000000003</v>
      </c>
      <c r="D75" s="371">
        <f t="shared" si="36"/>
        <v>-4</v>
      </c>
      <c r="E75" s="488">
        <v>3056.8919999999998</v>
      </c>
      <c r="F75" s="489">
        <v>2157.3919999999998</v>
      </c>
      <c r="G75" s="371">
        <f t="shared" si="17"/>
        <v>-29.4</v>
      </c>
      <c r="H75" s="488"/>
      <c r="I75" s="489"/>
      <c r="J75" s="371"/>
      <c r="K75" s="488">
        <v>33.268000000000001</v>
      </c>
      <c r="L75" s="489">
        <v>9.6</v>
      </c>
      <c r="M75" s="483">
        <f>IF(K75=0, "    ---- ", IF(ABS(ROUND(100/K75*L75-100,1))&lt;999,ROUND(100/K75*L75-100,1),IF(ROUND(100/K75*L75-100,1)&gt;999,999,-999)))</f>
        <v>-71.099999999999994</v>
      </c>
      <c r="N75" s="488"/>
      <c r="O75" s="489"/>
      <c r="P75" s="371"/>
      <c r="Q75" s="488">
        <v>33428.640172970001</v>
      </c>
      <c r="R75" s="489">
        <v>34656.238074000001</v>
      </c>
      <c r="S75" s="371">
        <f t="shared" si="33"/>
        <v>3.7</v>
      </c>
      <c r="T75" s="488">
        <v>77</v>
      </c>
      <c r="U75" s="489">
        <v>14.8</v>
      </c>
      <c r="V75" s="371">
        <f>IF(T75=0, "    ---- ", IF(ABS(ROUND(100/T75*U75-100,1))&lt;999,ROUND(100/T75*U75-100,1),IF(ROUND(100/T75*U75-100,1)&gt;999,999,-999)))</f>
        <v>-80.8</v>
      </c>
      <c r="W75" s="488">
        <v>1203.45</v>
      </c>
      <c r="X75" s="489">
        <v>1129.76</v>
      </c>
      <c r="Y75" s="371">
        <f t="shared" si="18"/>
        <v>-6.1</v>
      </c>
      <c r="Z75" s="488">
        <v>9877</v>
      </c>
      <c r="AA75" s="489">
        <v>10520</v>
      </c>
      <c r="AB75" s="371">
        <f>IF(Z75=0, "    ---- ", IF(ABS(ROUND(100/Z75*AA75-100,1))&lt;999,ROUND(100/Z75*AA75-100,1),IF(ROUND(100/Z75*AA75-100,1)&gt;999,999,-999)))</f>
        <v>6.5</v>
      </c>
      <c r="AC75" s="488"/>
      <c r="AD75" s="489"/>
      <c r="AE75" s="371"/>
      <c r="AF75" s="488">
        <v>2026.4929999999999</v>
      </c>
      <c r="AG75" s="489">
        <v>2000.7460000000001</v>
      </c>
      <c r="AH75" s="371">
        <f t="shared" si="19"/>
        <v>-1.3</v>
      </c>
      <c r="AI75" s="488">
        <v>2321</v>
      </c>
      <c r="AJ75" s="489">
        <v>2313</v>
      </c>
      <c r="AK75" s="371">
        <f t="shared" si="23"/>
        <v>-0.3</v>
      </c>
      <c r="AL75" s="483">
        <f t="shared" si="37"/>
        <v>52058.665172970002</v>
      </c>
      <c r="AM75" s="483">
        <f t="shared" si="37"/>
        <v>52835.053074000003</v>
      </c>
      <c r="AN75" s="371">
        <f t="shared" si="20"/>
        <v>1.5</v>
      </c>
      <c r="AO75" s="483">
        <f t="shared" si="38"/>
        <v>52058.665172970002</v>
      </c>
      <c r="AP75" s="483">
        <f t="shared" si="38"/>
        <v>52835.053074000003</v>
      </c>
      <c r="AQ75" s="541">
        <f t="shared" si="21"/>
        <v>1.5</v>
      </c>
      <c r="AR75" s="527"/>
      <c r="AS75" s="527"/>
      <c r="AT75" s="542"/>
      <c r="AU75" s="486"/>
      <c r="AV75" s="486"/>
      <c r="AW75" s="303"/>
    </row>
    <row r="76" spans="1:49" s="105" customFormat="1" ht="20.100000000000001" customHeight="1" x14ac:dyDescent="0.3">
      <c r="A76" s="504" t="s">
        <v>460</v>
      </c>
      <c r="B76" s="488">
        <v>16.710999999999999</v>
      </c>
      <c r="C76" s="489">
        <v>17.808</v>
      </c>
      <c r="D76" s="371">
        <f t="shared" si="36"/>
        <v>6.6</v>
      </c>
      <c r="E76" s="488">
        <v>1005.5839999999999</v>
      </c>
      <c r="F76" s="489">
        <v>1084.6110000000001</v>
      </c>
      <c r="G76" s="371">
        <f t="shared" si="17"/>
        <v>7.9</v>
      </c>
      <c r="H76" s="488"/>
      <c r="I76" s="489"/>
      <c r="J76" s="371"/>
      <c r="K76" s="488">
        <v>0.90400000000000003</v>
      </c>
      <c r="L76" s="489">
        <v>1.1000000000000001</v>
      </c>
      <c r="M76" s="483">
        <f>IF(K76=0, "    ---- ", IF(ABS(ROUND(100/K76*L76-100,1))&lt;999,ROUND(100/K76*L76-100,1),IF(ROUND(100/K76*L76-100,1)&gt;999,999,-999)))</f>
        <v>21.7</v>
      </c>
      <c r="N76" s="488"/>
      <c r="O76" s="489"/>
      <c r="P76" s="371"/>
      <c r="Q76" s="488">
        <v>16492.784328000002</v>
      </c>
      <c r="R76" s="489">
        <v>15048.864717</v>
      </c>
      <c r="S76" s="371">
        <f t="shared" si="33"/>
        <v>-8.8000000000000007</v>
      </c>
      <c r="T76" s="488">
        <v>21.6</v>
      </c>
      <c r="U76" s="489">
        <v>26</v>
      </c>
      <c r="V76" s="371">
        <f>IF(T76=0, "    ---- ", IF(ABS(ROUND(100/T76*U76-100,1))&lt;999,ROUND(100/T76*U76-100,1),IF(ROUND(100/T76*U76-100,1)&gt;999,999,-999)))</f>
        <v>20.399999999999999</v>
      </c>
      <c r="W76" s="488">
        <v>488.08</v>
      </c>
      <c r="X76" s="489">
        <v>688.01</v>
      </c>
      <c r="Y76" s="371">
        <f t="shared" si="18"/>
        <v>41</v>
      </c>
      <c r="Z76" s="488">
        <v>2141</v>
      </c>
      <c r="AA76" s="489">
        <v>2216</v>
      </c>
      <c r="AB76" s="371">
        <f t="shared" ref="AB76:AB78" si="39">IF(Z76=0, "    ---- ", IF(ABS(ROUND(100/Z76*AA76-100,1))&lt;999,ROUND(100/Z76*AA76-100,1),IF(ROUND(100/Z76*AA76-100,1)&gt;999,999,-999)))</f>
        <v>3.5</v>
      </c>
      <c r="AC76" s="488"/>
      <c r="AD76" s="489"/>
      <c r="AE76" s="371"/>
      <c r="AF76" s="488">
        <v>339.42</v>
      </c>
      <c r="AG76" s="489">
        <v>379.47800000000001</v>
      </c>
      <c r="AH76" s="371">
        <f t="shared" si="19"/>
        <v>11.8</v>
      </c>
      <c r="AI76" s="488">
        <v>2550.1999999999998</v>
      </c>
      <c r="AJ76" s="489">
        <v>2402</v>
      </c>
      <c r="AK76" s="371">
        <f t="shared" si="23"/>
        <v>-5.8</v>
      </c>
      <c r="AL76" s="483">
        <f t="shared" si="37"/>
        <v>23056.283328000001</v>
      </c>
      <c r="AM76" s="483">
        <f t="shared" si="37"/>
        <v>21863.871716999998</v>
      </c>
      <c r="AN76" s="371">
        <f t="shared" si="20"/>
        <v>-5.2</v>
      </c>
      <c r="AO76" s="483">
        <f t="shared" si="38"/>
        <v>23056.283328000001</v>
      </c>
      <c r="AP76" s="483">
        <f t="shared" si="38"/>
        <v>21863.871716999998</v>
      </c>
      <c r="AQ76" s="541">
        <f t="shared" si="21"/>
        <v>-5.2</v>
      </c>
      <c r="AR76" s="527"/>
      <c r="AS76" s="527"/>
      <c r="AT76" s="542"/>
      <c r="AU76" s="486"/>
      <c r="AV76" s="486"/>
      <c r="AW76" s="303"/>
    </row>
    <row r="77" spans="1:49" s="105" customFormat="1" ht="20.100000000000001" customHeight="1" x14ac:dyDescent="0.3">
      <c r="A77" s="504" t="s">
        <v>455</v>
      </c>
      <c r="B77" s="488">
        <v>49.408000000000001</v>
      </c>
      <c r="C77" s="489">
        <v>55.649000000000001</v>
      </c>
      <c r="D77" s="371">
        <f t="shared" si="36"/>
        <v>12.6</v>
      </c>
      <c r="E77" s="488">
        <v>251.773</v>
      </c>
      <c r="F77" s="489">
        <v>246.071</v>
      </c>
      <c r="G77" s="371">
        <f t="shared" si="17"/>
        <v>-2.2999999999999998</v>
      </c>
      <c r="H77" s="488">
        <v>20.815999999999999</v>
      </c>
      <c r="I77" s="489">
        <v>24.013999999999999</v>
      </c>
      <c r="J77" s="371">
        <f>IF(H77=0, "    ---- ", IF(ABS(ROUND(100/H77*I77-100,1))&lt;999,ROUND(100/H77*I77-100,1),IF(ROUND(100/H77*I77-100,1)&gt;999,999,-999)))</f>
        <v>15.4</v>
      </c>
      <c r="K77" s="488"/>
      <c r="L77" s="489"/>
      <c r="M77" s="483"/>
      <c r="N77" s="488"/>
      <c r="O77" s="489"/>
      <c r="P77" s="371"/>
      <c r="Q77" s="488"/>
      <c r="R77" s="489"/>
      <c r="S77" s="371"/>
      <c r="T77" s="488"/>
      <c r="U77" s="489"/>
      <c r="V77" s="371"/>
      <c r="W77" s="488">
        <v>679.64</v>
      </c>
      <c r="X77" s="489">
        <v>0</v>
      </c>
      <c r="Y77" s="371">
        <f t="shared" si="18"/>
        <v>-100</v>
      </c>
      <c r="Z77" s="488">
        <v>516</v>
      </c>
      <c r="AA77" s="489">
        <v>471</v>
      </c>
      <c r="AB77" s="371">
        <f t="shared" si="39"/>
        <v>-8.6999999999999993</v>
      </c>
      <c r="AC77" s="488"/>
      <c r="AD77" s="489"/>
      <c r="AE77" s="371"/>
      <c r="AF77" s="488"/>
      <c r="AG77" s="489"/>
      <c r="AH77" s="371"/>
      <c r="AI77" s="488">
        <v>706.9</v>
      </c>
      <c r="AJ77" s="489">
        <v>623</v>
      </c>
      <c r="AK77" s="371">
        <f t="shared" si="23"/>
        <v>-11.9</v>
      </c>
      <c r="AL77" s="483">
        <f t="shared" si="37"/>
        <v>2224.5369999999998</v>
      </c>
      <c r="AM77" s="483">
        <f t="shared" si="37"/>
        <v>1419.7339999999999</v>
      </c>
      <c r="AN77" s="371">
        <f t="shared" si="20"/>
        <v>-36.200000000000003</v>
      </c>
      <c r="AO77" s="483">
        <f t="shared" si="38"/>
        <v>2224.5369999999998</v>
      </c>
      <c r="AP77" s="483">
        <f t="shared" si="38"/>
        <v>1419.7339999999999</v>
      </c>
      <c r="AQ77" s="541">
        <f t="shared" si="21"/>
        <v>-36.200000000000003</v>
      </c>
      <c r="AR77" s="527"/>
      <c r="AS77" s="527"/>
      <c r="AT77" s="542"/>
      <c r="AU77" s="486"/>
      <c r="AV77" s="486"/>
      <c r="AW77" s="303"/>
    </row>
    <row r="78" spans="1:49" s="105" customFormat="1" ht="20.100000000000001" customHeight="1" x14ac:dyDescent="0.3">
      <c r="A78" s="504" t="s">
        <v>333</v>
      </c>
      <c r="B78" s="488"/>
      <c r="C78" s="489"/>
      <c r="D78" s="371"/>
      <c r="E78" s="488"/>
      <c r="F78" s="489"/>
      <c r="G78" s="371"/>
      <c r="H78" s="488"/>
      <c r="I78" s="489"/>
      <c r="J78" s="371"/>
      <c r="K78" s="488">
        <v>3.8940000000000001</v>
      </c>
      <c r="L78" s="489">
        <v>57</v>
      </c>
      <c r="M78" s="483">
        <f>IF(K78=0, "    ---- ", IF(ABS(ROUND(100/K78*L78-100,1))&lt;999,ROUND(100/K78*L78-100,1),IF(ROUND(100/K78*L78-100,1)&gt;999,999,-999)))</f>
        <v>999</v>
      </c>
      <c r="N78" s="488"/>
      <c r="O78" s="489"/>
      <c r="P78" s="371"/>
      <c r="Q78" s="488">
        <v>133.23850300000001</v>
      </c>
      <c r="R78" s="489">
        <v>3010.5106369999999</v>
      </c>
      <c r="S78" s="371">
        <f t="shared" ref="S78" si="40">IF(Q78=0, "    ---- ", IF(ABS(ROUND(100/Q78*R78-100,1))&lt;999,ROUND(100/Q78*R78-100,1),IF(ROUND(100/Q78*R78-100,1)&gt;999,999,-999)))</f>
        <v>999</v>
      </c>
      <c r="T78" s="488">
        <v>0</v>
      </c>
      <c r="U78" s="489">
        <v>10.9</v>
      </c>
      <c r="V78" s="371" t="str">
        <f>IF(T78=0, "    ---- ", IF(ABS(ROUND(100/T78*U78-100,1))&lt;999,ROUND(100/T78*U78-100,1),IF(ROUND(100/T78*U78-100,1)&gt;999,999,-999)))</f>
        <v xml:space="preserve">    ---- </v>
      </c>
      <c r="W78" s="488"/>
      <c r="X78" s="489"/>
      <c r="Y78" s="371"/>
      <c r="Z78" s="488">
        <v>1061</v>
      </c>
      <c r="AA78" s="489">
        <v>482</v>
      </c>
      <c r="AB78" s="371">
        <f t="shared" si="39"/>
        <v>-54.6</v>
      </c>
      <c r="AC78" s="488"/>
      <c r="AD78" s="489"/>
      <c r="AE78" s="371"/>
      <c r="AF78" s="488">
        <v>58.090078000000204</v>
      </c>
      <c r="AG78" s="489">
        <v>123.65141704999989</v>
      </c>
      <c r="AH78" s="371">
        <f t="shared" si="19"/>
        <v>112.9</v>
      </c>
      <c r="AI78" s="488">
        <v>1585.8</v>
      </c>
      <c r="AJ78" s="489">
        <v>406</v>
      </c>
      <c r="AK78" s="371">
        <f t="shared" si="23"/>
        <v>-74.400000000000006</v>
      </c>
      <c r="AL78" s="483">
        <f t="shared" si="37"/>
        <v>2842.0225810000002</v>
      </c>
      <c r="AM78" s="483">
        <f t="shared" si="37"/>
        <v>4090.0620540499999</v>
      </c>
      <c r="AN78" s="371">
        <f t="shared" si="20"/>
        <v>43.9</v>
      </c>
      <c r="AO78" s="483">
        <f t="shared" si="38"/>
        <v>2842.0225810000002</v>
      </c>
      <c r="AP78" s="483">
        <f t="shared" si="38"/>
        <v>4090.0620540499999</v>
      </c>
      <c r="AQ78" s="541">
        <f t="shared" si="21"/>
        <v>43.9</v>
      </c>
      <c r="AR78" s="527"/>
      <c r="AS78" s="527"/>
      <c r="AT78" s="542"/>
      <c r="AU78" s="486"/>
      <c r="AV78" s="486"/>
      <c r="AW78" s="303"/>
    </row>
    <row r="79" spans="1:49" s="105" customFormat="1" ht="20.100000000000001" customHeight="1" x14ac:dyDescent="0.3">
      <c r="A79" s="538" t="s">
        <v>334</v>
      </c>
      <c r="B79" s="483">
        <v>982.92600000000004</v>
      </c>
      <c r="C79" s="489">
        <f>SUM(C73:C78)</f>
        <v>1056.298</v>
      </c>
      <c r="D79" s="371">
        <f>IF(B79=0, "    ---- ", IF(ABS(ROUND(100/B79*C79-100,1))&lt;999,ROUND(100/B79*C79-100,1),IF(ROUND(100/B79*C79-100,1)&gt;999,999,-999)))</f>
        <v>7.5</v>
      </c>
      <c r="E79" s="488">
        <v>209392.34199999998</v>
      </c>
      <c r="F79" s="489">
        <f>SUM(F73:F78)</f>
        <v>207777.66800000001</v>
      </c>
      <c r="G79" s="371">
        <f t="shared" si="17"/>
        <v>-0.8</v>
      </c>
      <c r="H79" s="488">
        <v>1148.164</v>
      </c>
      <c r="I79" s="489">
        <f>SUM(I73:I78)</f>
        <v>1274.095</v>
      </c>
      <c r="J79" s="371">
        <f>IF(H79=0, "    ---- ", IF(ABS(ROUND(100/H79*I79-100,1))&lt;999,ROUND(100/H79*I79-100,1),IF(ROUND(100/H79*I79-100,1)&gt;999,999,-999)))</f>
        <v>11</v>
      </c>
      <c r="K79" s="488">
        <v>5577.2740000000003</v>
      </c>
      <c r="L79" s="489">
        <f>SUM(L73:L78)</f>
        <v>6195.5</v>
      </c>
      <c r="M79" s="483">
        <f>IF(K79=0, "    ---- ", IF(ABS(ROUND(100/K79*L79-100,1))&lt;999,ROUND(100/K79*L79-100,1),IF(ROUND(100/K79*L79-100,1)&gt;999,999,-999)))</f>
        <v>11.1</v>
      </c>
      <c r="N79" s="488">
        <v>75</v>
      </c>
      <c r="O79" s="489">
        <f>SUM(O73:O78)</f>
        <v>52</v>
      </c>
      <c r="P79" s="371">
        <f>IF(N79=0, "    ---- ", IF(ABS(ROUND(100/N79*O79-100,1))&lt;999,ROUND(100/N79*O79-100,1),IF(ROUND(100/N79*O79-100,1)&gt;999,999,-999)))</f>
        <v>-30.7</v>
      </c>
      <c r="Q79" s="489">
        <f>SUM(Q73:Q78)</f>
        <v>458853.1039546</v>
      </c>
      <c r="R79" s="489">
        <f>SUM(R73:R78)</f>
        <v>485386.92889133003</v>
      </c>
      <c r="S79" s="371">
        <f t="shared" si="33"/>
        <v>5.8</v>
      </c>
      <c r="T79" s="488">
        <v>1605.1</v>
      </c>
      <c r="U79" s="489">
        <f>SUM(U73:U78)</f>
        <v>1675.1</v>
      </c>
      <c r="V79" s="371">
        <f>IF(T79=0, "    ---- ", IF(ABS(ROUND(100/T79*U79-100,1))&lt;999,ROUND(100/T79*U79-100,1),IF(ROUND(100/T79*U79-100,1)&gt;999,999,-999)))</f>
        <v>4.4000000000000004</v>
      </c>
      <c r="W79" s="488">
        <v>49076.95</v>
      </c>
      <c r="X79" s="489">
        <f>SUM(X73:X78)</f>
        <v>49831.728832000001</v>
      </c>
      <c r="Y79" s="371">
        <f t="shared" si="18"/>
        <v>1.5</v>
      </c>
      <c r="Z79" s="488">
        <v>75991</v>
      </c>
      <c r="AA79" s="489">
        <f>SUM(AA73:AA78)</f>
        <v>81792</v>
      </c>
      <c r="AB79" s="371">
        <f>IF(Z79=0, "    ---- ", IF(ABS(ROUND(100/Z79*AA79-100,1))&lt;999,ROUND(100/Z79*AA79-100,1),IF(ROUND(100/Z79*AA79-100,1)&gt;999,999,-999)))</f>
        <v>7.6</v>
      </c>
      <c r="AC79" s="488"/>
      <c r="AD79" s="489">
        <f>SUM(AD73:AD78)</f>
        <v>0</v>
      </c>
      <c r="AE79" s="371"/>
      <c r="AF79" s="488">
        <v>21735.426078</v>
      </c>
      <c r="AG79" s="489">
        <f>SUM(AG73:AG78)</f>
        <v>23049.77141705</v>
      </c>
      <c r="AH79" s="371">
        <f t="shared" si="19"/>
        <v>6</v>
      </c>
      <c r="AI79" s="488">
        <v>183492.19999999998</v>
      </c>
      <c r="AJ79" s="489">
        <f>SUM(AJ73:AJ78)</f>
        <v>186114</v>
      </c>
      <c r="AK79" s="371">
        <f t="shared" si="23"/>
        <v>1.4</v>
      </c>
      <c r="AL79" s="483">
        <f t="shared" si="37"/>
        <v>1007854.4860325998</v>
      </c>
      <c r="AM79" s="483">
        <f t="shared" si="37"/>
        <v>1044153.0901403801</v>
      </c>
      <c r="AN79" s="371">
        <f t="shared" si="20"/>
        <v>3.6</v>
      </c>
      <c r="AO79" s="483">
        <f t="shared" si="38"/>
        <v>1007929.4860325998</v>
      </c>
      <c r="AP79" s="483">
        <f t="shared" si="38"/>
        <v>1044205.0901403801</v>
      </c>
      <c r="AQ79" s="541">
        <f t="shared" si="21"/>
        <v>3.6</v>
      </c>
      <c r="AR79" s="527"/>
      <c r="AS79" s="527"/>
      <c r="AT79" s="542"/>
      <c r="AU79" s="486"/>
      <c r="AV79" s="486"/>
      <c r="AW79" s="303"/>
    </row>
    <row r="80" spans="1:49" s="105" customFormat="1" ht="20.100000000000001" customHeight="1" x14ac:dyDescent="0.3">
      <c r="A80" s="504" t="s">
        <v>335</v>
      </c>
      <c r="B80" s="488"/>
      <c r="C80" s="489"/>
      <c r="D80" s="371"/>
      <c r="E80" s="488"/>
      <c r="F80" s="489"/>
      <c r="G80" s="371"/>
      <c r="H80" s="488"/>
      <c r="I80" s="489"/>
      <c r="J80" s="371"/>
      <c r="K80" s="488"/>
      <c r="L80" s="489"/>
      <c r="M80" s="483"/>
      <c r="N80" s="488"/>
      <c r="O80" s="489"/>
      <c r="P80" s="371"/>
      <c r="Q80" s="488"/>
      <c r="R80" s="489"/>
      <c r="S80" s="371"/>
      <c r="T80" s="488"/>
      <c r="U80" s="489"/>
      <c r="V80" s="371"/>
      <c r="W80" s="488"/>
      <c r="X80" s="489"/>
      <c r="Y80" s="371"/>
      <c r="Z80" s="488"/>
      <c r="AA80" s="489"/>
      <c r="AB80" s="371"/>
      <c r="AC80" s="488"/>
      <c r="AD80" s="489"/>
      <c r="AE80" s="371"/>
      <c r="AF80" s="488"/>
      <c r="AG80" s="489"/>
      <c r="AH80" s="371"/>
      <c r="AI80" s="488"/>
      <c r="AJ80" s="489"/>
      <c r="AK80" s="371"/>
      <c r="AL80" s="483"/>
      <c r="AM80" s="483"/>
      <c r="AN80" s="371"/>
      <c r="AO80" s="483"/>
      <c r="AP80" s="483"/>
      <c r="AQ80" s="541"/>
      <c r="AR80" s="527"/>
      <c r="AS80" s="527"/>
      <c r="AT80" s="542"/>
      <c r="AU80" s="486"/>
      <c r="AV80" s="486"/>
      <c r="AW80" s="303"/>
    </row>
    <row r="81" spans="1:49" s="105" customFormat="1" ht="20.100000000000001" customHeight="1" x14ac:dyDescent="0.3">
      <c r="A81" s="504" t="s">
        <v>461</v>
      </c>
      <c r="B81" s="488">
        <v>14880.215</v>
      </c>
      <c r="C81" s="489">
        <v>16629.526999999998</v>
      </c>
      <c r="D81" s="371">
        <f>IF(B81=0, "    ---- ", IF(ABS(ROUND(100/B81*C81-100,1))&lt;999,ROUND(100/B81*C81-100,1),IF(ROUND(100/B81*C81-100,1)&gt;999,999,-999)))</f>
        <v>11.8</v>
      </c>
      <c r="E81" s="488">
        <v>63920.419000000002</v>
      </c>
      <c r="F81" s="489">
        <v>73979.475999999995</v>
      </c>
      <c r="G81" s="371">
        <f t="shared" si="17"/>
        <v>15.7</v>
      </c>
      <c r="H81" s="488">
        <v>2825.2420000000002</v>
      </c>
      <c r="I81" s="489">
        <v>3185.848</v>
      </c>
      <c r="J81" s="371">
        <f>IF(H81=0, "    ---- ", IF(ABS(ROUND(100/H81*I81-100,1))&lt;999,ROUND(100/H81*I81-100,1),IF(ROUND(100/H81*I81-100,1)&gt;999,999,-999)))</f>
        <v>12.8</v>
      </c>
      <c r="K81" s="488">
        <v>19075.608</v>
      </c>
      <c r="L81" s="489">
        <v>22459.5</v>
      </c>
      <c r="M81" s="483">
        <f>IF(K81=0, "    ---- ", IF(ABS(ROUND(100/K81*L81-100,1))&lt;999,ROUND(100/K81*L81-100,1),IF(ROUND(100/K81*L81-100,1)&gt;999,999,-999)))</f>
        <v>17.7</v>
      </c>
      <c r="N81" s="488"/>
      <c r="O81" s="489"/>
      <c r="P81" s="371"/>
      <c r="Q81" s="488">
        <v>1795.11077015</v>
      </c>
      <c r="R81" s="489">
        <v>1852.7851331500001</v>
      </c>
      <c r="S81" s="371">
        <f t="shared" ref="S81:S91" si="41">IF(Q81=0, "    ---- ", IF(ABS(ROUND(100/Q81*R81-100,1))&lt;999,ROUND(100/Q81*R81-100,1),IF(ROUND(100/Q81*R81-100,1)&gt;999,999,-999)))</f>
        <v>3.2</v>
      </c>
      <c r="T81" s="488">
        <v>1965.8</v>
      </c>
      <c r="U81" s="489">
        <v>2804.2</v>
      </c>
      <c r="V81" s="371">
        <f>IF(T81=0, "    ---- ", IF(ABS(ROUND(100/T81*U81-100,1))&lt;999,ROUND(100/T81*U81-100,1),IF(ROUND(100/T81*U81-100,1)&gt;999,999,-999)))</f>
        <v>42.6</v>
      </c>
      <c r="W81" s="488">
        <v>50143.35</v>
      </c>
      <c r="X81" s="489">
        <v>58443.27</v>
      </c>
      <c r="Y81" s="371">
        <f t="shared" si="18"/>
        <v>16.600000000000001</v>
      </c>
      <c r="Z81" s="488"/>
      <c r="AA81" s="489"/>
      <c r="AB81" s="371"/>
      <c r="AC81" s="488">
        <v>1836</v>
      </c>
      <c r="AD81" s="489">
        <v>2055</v>
      </c>
      <c r="AE81" s="371">
        <f>IF(AC81=0, "    ---- ", IF(ABS(ROUND(100/AC81*AD81-100,1))&lt;999,ROUND(100/AC81*AD81-100,1),IF(ROUND(100/AC81*AD81-100,1)&gt;999,999,-999)))</f>
        <v>11.9</v>
      </c>
      <c r="AF81" s="488">
        <v>20234.363000000001</v>
      </c>
      <c r="AG81" s="489">
        <v>25669.919999999998</v>
      </c>
      <c r="AH81" s="371">
        <f t="shared" si="19"/>
        <v>26.9</v>
      </c>
      <c r="AI81" s="488">
        <v>67852.800000000003</v>
      </c>
      <c r="AJ81" s="489">
        <v>89340</v>
      </c>
      <c r="AK81" s="371">
        <f t="shared" si="23"/>
        <v>31.7</v>
      </c>
      <c r="AL81" s="483">
        <f>B81+E81+H81+K81+Q81+T81+W81+Z81+AF81+AI81</f>
        <v>242692.90777014999</v>
      </c>
      <c r="AM81" s="483">
        <f>C81+F81+I81+L81+R81+U81+X81+AA81+AG81+AJ81</f>
        <v>294364.52613314998</v>
      </c>
      <c r="AN81" s="371">
        <f t="shared" si="20"/>
        <v>21.3</v>
      </c>
      <c r="AO81" s="483">
        <f t="shared" si="38"/>
        <v>244528.90777014999</v>
      </c>
      <c r="AP81" s="483">
        <f t="shared" si="38"/>
        <v>296419.52613314998</v>
      </c>
      <c r="AQ81" s="541">
        <f t="shared" si="21"/>
        <v>21.2</v>
      </c>
      <c r="AR81" s="527"/>
      <c r="AS81" s="527"/>
      <c r="AT81" s="542"/>
      <c r="AU81" s="486"/>
      <c r="AV81" s="486"/>
      <c r="AW81" s="303"/>
    </row>
    <row r="82" spans="1:49" s="105" customFormat="1" ht="20.100000000000001" customHeight="1" x14ac:dyDescent="0.3">
      <c r="A82" s="504" t="s">
        <v>462</v>
      </c>
      <c r="B82" s="488"/>
      <c r="C82" s="489"/>
      <c r="D82" s="371"/>
      <c r="E82" s="488"/>
      <c r="F82" s="489"/>
      <c r="G82" s="371"/>
      <c r="H82" s="488"/>
      <c r="I82" s="489"/>
      <c r="J82" s="371"/>
      <c r="K82" s="488"/>
      <c r="L82" s="489"/>
      <c r="M82" s="371"/>
      <c r="N82" s="488"/>
      <c r="O82" s="489"/>
      <c r="P82" s="371"/>
      <c r="Q82" s="488">
        <v>134.24590599999999</v>
      </c>
      <c r="R82" s="489">
        <v>140.04001199999999</v>
      </c>
      <c r="S82" s="371">
        <f t="shared" si="41"/>
        <v>4.3</v>
      </c>
      <c r="T82" s="488"/>
      <c r="U82" s="489"/>
      <c r="V82" s="371"/>
      <c r="W82" s="488"/>
      <c r="X82" s="489"/>
      <c r="Y82" s="371"/>
      <c r="Z82" s="488"/>
      <c r="AA82" s="489"/>
      <c r="AB82" s="371"/>
      <c r="AC82" s="488"/>
      <c r="AD82" s="489"/>
      <c r="AE82" s="371"/>
      <c r="AF82" s="488"/>
      <c r="AG82" s="489"/>
      <c r="AH82" s="371"/>
      <c r="AI82" s="488"/>
      <c r="AJ82" s="489"/>
      <c r="AK82" s="371"/>
      <c r="AL82" s="483">
        <f t="shared" ref="AL82:AM89" si="42">B82+E82+H82+K82+Q82+T82+W82+Z82+AF82+AI82</f>
        <v>134.24590599999999</v>
      </c>
      <c r="AM82" s="483">
        <f t="shared" si="42"/>
        <v>140.04001199999999</v>
      </c>
      <c r="AN82" s="371">
        <f t="shared" si="20"/>
        <v>4.3</v>
      </c>
      <c r="AO82" s="483">
        <f t="shared" si="38"/>
        <v>134.24590599999999</v>
      </c>
      <c r="AP82" s="483">
        <f t="shared" si="38"/>
        <v>140.04001199999999</v>
      </c>
      <c r="AQ82" s="541">
        <f t="shared" si="21"/>
        <v>4.3</v>
      </c>
      <c r="AR82" s="527"/>
      <c r="AS82" s="527"/>
      <c r="AT82" s="542"/>
      <c r="AU82" s="486"/>
      <c r="AV82" s="486"/>
      <c r="AW82" s="303"/>
    </row>
    <row r="83" spans="1:49" s="105" customFormat="1" ht="20.100000000000001" customHeight="1" x14ac:dyDescent="0.3">
      <c r="A83" s="504" t="s">
        <v>463</v>
      </c>
      <c r="B83" s="485">
        <v>90.983999999999995</v>
      </c>
      <c r="C83" s="371">
        <v>77.057000000000002</v>
      </c>
      <c r="D83" s="371">
        <f>IF(B83=0, "    ---- ", IF(ABS(ROUND(100/B83*C83-100,1))&lt;999,ROUND(100/B83*C83-100,1),IF(ROUND(100/B83*C83-100,1)&gt;999,999,-999)))</f>
        <v>-15.3</v>
      </c>
      <c r="E83" s="485">
        <v>767.71699999999998</v>
      </c>
      <c r="F83" s="371">
        <v>650.77800000000002</v>
      </c>
      <c r="G83" s="371">
        <f t="shared" si="17"/>
        <v>-15.2</v>
      </c>
      <c r="H83" s="485"/>
      <c r="I83" s="371"/>
      <c r="J83" s="371"/>
      <c r="K83" s="485">
        <v>340.26499999999999</v>
      </c>
      <c r="L83" s="371">
        <v>324.60000000000002</v>
      </c>
      <c r="M83" s="371">
        <f>IF(K83=0, "    ---- ", IF(ABS(ROUND(100/K83*L83-100,1))&lt;999,ROUND(100/K83*L83-100,1),IF(ROUND(100/K83*L83-100,1)&gt;999,999,-999)))</f>
        <v>-4.5999999999999996</v>
      </c>
      <c r="N83" s="485"/>
      <c r="O83" s="371"/>
      <c r="P83" s="371"/>
      <c r="Q83" s="485">
        <v>284.94044400000001</v>
      </c>
      <c r="R83" s="371">
        <v>386.81713200000002</v>
      </c>
      <c r="S83" s="371">
        <f t="shared" si="41"/>
        <v>35.799999999999997</v>
      </c>
      <c r="T83" s="485">
        <v>10</v>
      </c>
      <c r="U83" s="371">
        <v>11.9</v>
      </c>
      <c r="V83" s="371">
        <f>IF(T83=0, "    ---- ", IF(ABS(ROUND(100/T83*U83-100,1))&lt;999,ROUND(100/T83*U83-100,1),IF(ROUND(100/T83*U83-100,1)&gt;999,999,-999)))</f>
        <v>19</v>
      </c>
      <c r="W83" s="485"/>
      <c r="X83" s="371"/>
      <c r="Y83" s="371"/>
      <c r="Z83" s="485"/>
      <c r="AA83" s="371"/>
      <c r="AB83" s="371"/>
      <c r="AC83" s="485"/>
      <c r="AD83" s="371"/>
      <c r="AE83" s="371"/>
      <c r="AF83" s="485">
        <v>404.90800000000002</v>
      </c>
      <c r="AG83" s="371">
        <v>550.59500000000003</v>
      </c>
      <c r="AH83" s="371">
        <f t="shared" si="19"/>
        <v>36</v>
      </c>
      <c r="AI83" s="485"/>
      <c r="AJ83" s="371"/>
      <c r="AK83" s="371"/>
      <c r="AL83" s="483">
        <f t="shared" si="42"/>
        <v>1898.8144440000001</v>
      </c>
      <c r="AM83" s="483">
        <f t="shared" si="42"/>
        <v>2001.7471320000002</v>
      </c>
      <c r="AN83" s="371">
        <f t="shared" si="20"/>
        <v>5.4</v>
      </c>
      <c r="AO83" s="483">
        <f t="shared" si="38"/>
        <v>1898.8144440000001</v>
      </c>
      <c r="AP83" s="483">
        <f t="shared" si="38"/>
        <v>2001.7471320000002</v>
      </c>
      <c r="AQ83" s="541">
        <f t="shared" si="21"/>
        <v>5.4</v>
      </c>
      <c r="AR83" s="527"/>
      <c r="AS83" s="527"/>
      <c r="AT83" s="542"/>
      <c r="AU83" s="486"/>
      <c r="AV83" s="486"/>
      <c r="AW83" s="303"/>
    </row>
    <row r="84" spans="1:49" s="105" customFormat="1" ht="20.100000000000001" customHeight="1" x14ac:dyDescent="0.3">
      <c r="A84" s="504" t="s">
        <v>333</v>
      </c>
      <c r="B84" s="488"/>
      <c r="C84" s="489"/>
      <c r="D84" s="489"/>
      <c r="E84" s="488"/>
      <c r="F84" s="489"/>
      <c r="G84" s="489"/>
      <c r="H84" s="488"/>
      <c r="I84" s="489"/>
      <c r="J84" s="489"/>
      <c r="K84" s="488"/>
      <c r="L84" s="489"/>
      <c r="M84" s="483"/>
      <c r="N84" s="488"/>
      <c r="O84" s="489"/>
      <c r="P84" s="371"/>
      <c r="Q84" s="488">
        <v>27.229351000000001</v>
      </c>
      <c r="R84" s="489">
        <v>-34.658535999999998</v>
      </c>
      <c r="S84" s="371">
        <f t="shared" si="41"/>
        <v>-227.3</v>
      </c>
      <c r="T84" s="488"/>
      <c r="U84" s="489"/>
      <c r="V84" s="371"/>
      <c r="W84" s="488"/>
      <c r="X84" s="489"/>
      <c r="Y84" s="371"/>
      <c r="Z84" s="488"/>
      <c r="AA84" s="489"/>
      <c r="AB84" s="371"/>
      <c r="AC84" s="488"/>
      <c r="AD84" s="489"/>
      <c r="AE84" s="489"/>
      <c r="AF84" s="488"/>
      <c r="AG84" s="489"/>
      <c r="AH84" s="371"/>
      <c r="AI84" s="488"/>
      <c r="AJ84" s="489"/>
      <c r="AK84" s="371"/>
      <c r="AL84" s="483">
        <f t="shared" si="42"/>
        <v>27.229351000000001</v>
      </c>
      <c r="AM84" s="483">
        <f t="shared" si="42"/>
        <v>-34.658535999999998</v>
      </c>
      <c r="AN84" s="371">
        <f t="shared" si="20"/>
        <v>-227.3</v>
      </c>
      <c r="AO84" s="483">
        <f t="shared" si="38"/>
        <v>27.229351000000001</v>
      </c>
      <c r="AP84" s="483">
        <f t="shared" si="38"/>
        <v>-34.658535999999998</v>
      </c>
      <c r="AQ84" s="541">
        <f t="shared" si="21"/>
        <v>-227.3</v>
      </c>
      <c r="AR84" s="527"/>
      <c r="AS84" s="527"/>
      <c r="AT84" s="542"/>
      <c r="AU84" s="486"/>
      <c r="AV84" s="486"/>
      <c r="AW84" s="303"/>
    </row>
    <row r="85" spans="1:49" s="105" customFormat="1" ht="20.100000000000001" customHeight="1" x14ac:dyDescent="0.3">
      <c r="A85" s="538" t="s">
        <v>336</v>
      </c>
      <c r="B85" s="483">
        <v>14971.199000000001</v>
      </c>
      <c r="C85" s="489">
        <f>SUM(C81:C84)</f>
        <v>16706.583999999999</v>
      </c>
      <c r="D85" s="489">
        <f>IF(B85=0, "    ---- ", IF(ABS(ROUND(100/B85*C85-100,1))&lt;999,ROUND(100/B85*C85-100,1),IF(ROUND(100/B85*C85-100,1)&gt;999,999,-999)))</f>
        <v>11.6</v>
      </c>
      <c r="E85" s="488">
        <v>64688.135999999999</v>
      </c>
      <c r="F85" s="489">
        <f>SUM(F81:F84)</f>
        <v>74630.254000000001</v>
      </c>
      <c r="G85" s="489">
        <f t="shared" si="17"/>
        <v>15.4</v>
      </c>
      <c r="H85" s="488">
        <v>2825.2420000000002</v>
      </c>
      <c r="I85" s="489">
        <f>SUM(I81:I84)</f>
        <v>3185.848</v>
      </c>
      <c r="J85" s="489">
        <f>IF(H85=0, "    ---- ", IF(ABS(ROUND(100/H85*I85-100,1))&lt;999,ROUND(100/H85*I85-100,1),IF(ROUND(100/H85*I85-100,1)&gt;999,999,-999)))</f>
        <v>12.8</v>
      </c>
      <c r="K85" s="488">
        <v>19415.873</v>
      </c>
      <c r="L85" s="489">
        <f>SUM(L81:L84)</f>
        <v>22784.1</v>
      </c>
      <c r="M85" s="483">
        <f>IF(K85=0, "    ---- ", IF(ABS(ROUND(100/K85*L85-100,1))&lt;999,ROUND(100/K85*L85-100,1),IF(ROUND(100/K85*L85-100,1)&gt;999,999,-999)))</f>
        <v>17.3</v>
      </c>
      <c r="N85" s="488"/>
      <c r="O85" s="489"/>
      <c r="P85" s="371"/>
      <c r="Q85" s="488">
        <v>2241.5264711499999</v>
      </c>
      <c r="R85" s="489">
        <f>SUM(R81:R84)</f>
        <v>2344.9837411500002</v>
      </c>
      <c r="S85" s="371">
        <f t="shared" si="41"/>
        <v>4.5999999999999996</v>
      </c>
      <c r="T85" s="488">
        <v>1975.8</v>
      </c>
      <c r="U85" s="489">
        <f>SUM(U81:U84)</f>
        <v>2816.1</v>
      </c>
      <c r="V85" s="371">
        <f>IF(T85=0, "    ---- ", IF(ABS(ROUND(100/T85*U85-100,1))&lt;999,ROUND(100/T85*U85-100,1),IF(ROUND(100/T85*U85-100,1)&gt;999,999,-999)))</f>
        <v>42.5</v>
      </c>
      <c r="W85" s="488">
        <v>50143.35</v>
      </c>
      <c r="X85" s="489">
        <f>SUM(X81:X84)</f>
        <v>58443.27</v>
      </c>
      <c r="Y85" s="371">
        <f t="shared" si="18"/>
        <v>16.600000000000001</v>
      </c>
      <c r="Z85" s="488"/>
      <c r="AA85" s="489"/>
      <c r="AB85" s="371"/>
      <c r="AC85" s="488">
        <v>1836</v>
      </c>
      <c r="AD85" s="489">
        <f>SUM(AD81:AD84)</f>
        <v>2055</v>
      </c>
      <c r="AE85" s="489">
        <f>IF(AC85=0, "    ---- ", IF(ABS(ROUND(100/AC85*AD85-100,1))&lt;999,ROUND(100/AC85*AD85-100,1),IF(ROUND(100/AC85*AD85-100,1)&gt;999,999,-999)))</f>
        <v>11.9</v>
      </c>
      <c r="AF85" s="488">
        <v>20639.271000000001</v>
      </c>
      <c r="AG85" s="489">
        <f>SUM(AG81:AG84)</f>
        <v>26220.514999999999</v>
      </c>
      <c r="AH85" s="371">
        <f t="shared" si="19"/>
        <v>27</v>
      </c>
      <c r="AI85" s="488">
        <v>67852.800000000003</v>
      </c>
      <c r="AJ85" s="489">
        <f>SUM(AJ81:AJ84)</f>
        <v>89340</v>
      </c>
      <c r="AK85" s="371">
        <f t="shared" si="23"/>
        <v>31.7</v>
      </c>
      <c r="AL85" s="483">
        <f t="shared" si="42"/>
        <v>244753.19747115002</v>
      </c>
      <c r="AM85" s="483">
        <f t="shared" si="42"/>
        <v>296471.65474114998</v>
      </c>
      <c r="AN85" s="371">
        <f t="shared" si="20"/>
        <v>21.1</v>
      </c>
      <c r="AO85" s="483">
        <f t="shared" si="38"/>
        <v>246589.19747115002</v>
      </c>
      <c r="AP85" s="483">
        <f t="shared" si="38"/>
        <v>298526.65474114998</v>
      </c>
      <c r="AQ85" s="541">
        <f t="shared" si="21"/>
        <v>21.1</v>
      </c>
      <c r="AR85" s="527"/>
      <c r="AS85" s="527"/>
      <c r="AT85" s="542"/>
      <c r="AU85" s="486"/>
      <c r="AV85" s="486"/>
      <c r="AW85" s="303"/>
    </row>
    <row r="86" spans="1:49" s="105" customFormat="1" ht="20.100000000000001" customHeight="1" x14ac:dyDescent="0.3">
      <c r="A86" s="504" t="s">
        <v>337</v>
      </c>
      <c r="B86" s="488">
        <v>27.774000000000001</v>
      </c>
      <c r="C86" s="489">
        <v>33.686999999999998</v>
      </c>
      <c r="D86" s="371">
        <f>IF(B86=0, "    ---- ", IF(ABS(ROUND(100/B86*C86-100,1))&lt;999,ROUND(100/B86*C86-100,1),IF(ROUND(100/B86*C86-100,1)&gt;999,999,-999)))</f>
        <v>21.3</v>
      </c>
      <c r="E86" s="488">
        <v>839.57</v>
      </c>
      <c r="F86" s="489">
        <v>872.05200000000002</v>
      </c>
      <c r="G86" s="371">
        <f t="shared" si="17"/>
        <v>3.9</v>
      </c>
      <c r="H86" s="488">
        <v>114.26</v>
      </c>
      <c r="I86" s="489">
        <v>117.04300000000001</v>
      </c>
      <c r="J86" s="371">
        <f>IF(H86=0, "    ---- ", IF(ABS(ROUND(100/H86*I86-100,1))&lt;999,ROUND(100/H86*I86-100,1),IF(ROUND(100/H86*I86-100,1)&gt;999,999,-999)))</f>
        <v>2.4</v>
      </c>
      <c r="K86" s="488">
        <v>11.654</v>
      </c>
      <c r="L86" s="489">
        <v>30.7</v>
      </c>
      <c r="M86" s="371">
        <f>IF(K86=0, "    ---- ", IF(ABS(ROUND(100/K86*L86-100,1))&lt;999,ROUND(100/K86*L86-100,1),IF(ROUND(100/K86*L86-100,1)&gt;999,999,-999)))</f>
        <v>163.4</v>
      </c>
      <c r="N86" s="488"/>
      <c r="O86" s="489"/>
      <c r="P86" s="371"/>
      <c r="Q86" s="488">
        <v>474.32001183999995</v>
      </c>
      <c r="R86" s="489">
        <v>915.27541152999993</v>
      </c>
      <c r="S86" s="371">
        <f t="shared" si="41"/>
        <v>93</v>
      </c>
      <c r="T86" s="488">
        <v>6.5</v>
      </c>
      <c r="U86" s="489">
        <v>8</v>
      </c>
      <c r="V86" s="371">
        <f>IF(T86=0, "    ---- ", IF(ABS(ROUND(100/T86*U86-100,1))&lt;999,ROUND(100/T86*U86-100,1),IF(ROUND(100/T86*U86-100,1)&gt;999,999,-999)))</f>
        <v>23.1</v>
      </c>
      <c r="W86" s="488">
        <v>202.72</v>
      </c>
      <c r="X86" s="489">
        <v>487.68</v>
      </c>
      <c r="Y86" s="371">
        <f t="shared" si="18"/>
        <v>140.6</v>
      </c>
      <c r="Z86" s="488">
        <v>748</v>
      </c>
      <c r="AA86" s="489">
        <v>1056</v>
      </c>
      <c r="AB86" s="371">
        <f>IF(Z86=0, "    ---- ", IF(ABS(ROUND(100/Z86*AA86-100,1))&lt;999,ROUND(100/Z86*AA86-100,1),IF(ROUND(100/Z86*AA86-100,1)&gt;999,999,-999)))</f>
        <v>41.2</v>
      </c>
      <c r="AC86" s="488"/>
      <c r="AD86" s="489"/>
      <c r="AE86" s="371"/>
      <c r="AF86" s="488">
        <v>664.34699999999998</v>
      </c>
      <c r="AG86" s="489">
        <v>899.89499999999998</v>
      </c>
      <c r="AH86" s="371">
        <f t="shared" si="19"/>
        <v>35.5</v>
      </c>
      <c r="AI86" s="488">
        <v>59</v>
      </c>
      <c r="AJ86" s="489">
        <v>42</v>
      </c>
      <c r="AK86" s="371">
        <f t="shared" si="23"/>
        <v>-28.8</v>
      </c>
      <c r="AL86" s="483">
        <f t="shared" si="42"/>
        <v>3148.1450118399998</v>
      </c>
      <c r="AM86" s="483">
        <f t="shared" si="42"/>
        <v>4462.3324115300002</v>
      </c>
      <c r="AN86" s="371">
        <f t="shared" si="20"/>
        <v>41.7</v>
      </c>
      <c r="AO86" s="483">
        <f t="shared" si="38"/>
        <v>3148.1450118399998</v>
      </c>
      <c r="AP86" s="483">
        <f t="shared" si="38"/>
        <v>4462.3324115300002</v>
      </c>
      <c r="AQ86" s="541">
        <f t="shared" si="21"/>
        <v>41.7</v>
      </c>
      <c r="AR86" s="527"/>
      <c r="AS86" s="527"/>
      <c r="AT86" s="542"/>
      <c r="AU86" s="486"/>
      <c r="AV86" s="486"/>
      <c r="AW86" s="303"/>
    </row>
    <row r="87" spans="1:49" s="105" customFormat="1" ht="20.100000000000001" customHeight="1" x14ac:dyDescent="0.3">
      <c r="A87" s="504" t="s">
        <v>338</v>
      </c>
      <c r="B87" s="488"/>
      <c r="C87" s="489"/>
      <c r="D87" s="371"/>
      <c r="E87" s="488"/>
      <c r="F87" s="489"/>
      <c r="G87" s="371"/>
      <c r="H87" s="488"/>
      <c r="I87" s="489"/>
      <c r="J87" s="371"/>
      <c r="K87" s="488"/>
      <c r="L87" s="489"/>
      <c r="M87" s="371"/>
      <c r="N87" s="488"/>
      <c r="O87" s="489"/>
      <c r="P87" s="371"/>
      <c r="Q87" s="488"/>
      <c r="R87" s="489"/>
      <c r="S87" s="371"/>
      <c r="T87" s="488"/>
      <c r="U87" s="489"/>
      <c r="V87" s="371"/>
      <c r="W87" s="488"/>
      <c r="X87" s="489"/>
      <c r="Y87" s="371"/>
      <c r="Z87" s="488"/>
      <c r="AA87" s="489"/>
      <c r="AB87" s="371"/>
      <c r="AC87" s="488"/>
      <c r="AD87" s="489"/>
      <c r="AE87" s="371"/>
      <c r="AF87" s="488">
        <v>260.30200000000002</v>
      </c>
      <c r="AG87" s="489">
        <v>276.88900000000001</v>
      </c>
      <c r="AH87" s="371">
        <f t="shared" si="19"/>
        <v>6.4</v>
      </c>
      <c r="AI87" s="488"/>
      <c r="AJ87" s="489"/>
      <c r="AK87" s="371"/>
      <c r="AL87" s="483">
        <f t="shared" si="42"/>
        <v>260.30200000000002</v>
      </c>
      <c r="AM87" s="483">
        <f t="shared" si="42"/>
        <v>276.88900000000001</v>
      </c>
      <c r="AN87" s="371">
        <f t="shared" si="20"/>
        <v>6.4</v>
      </c>
      <c r="AO87" s="483">
        <f t="shared" si="38"/>
        <v>260.30200000000002</v>
      </c>
      <c r="AP87" s="483">
        <f t="shared" si="38"/>
        <v>276.88900000000001</v>
      </c>
      <c r="AQ87" s="541">
        <f t="shared" si="21"/>
        <v>6.4</v>
      </c>
      <c r="AR87" s="527"/>
      <c r="AS87" s="527"/>
      <c r="AT87" s="542"/>
      <c r="AU87" s="486"/>
      <c r="AV87" s="486"/>
      <c r="AW87" s="303"/>
    </row>
    <row r="88" spans="1:49" s="105" customFormat="1" ht="20.100000000000001" customHeight="1" x14ac:dyDescent="0.3">
      <c r="A88" s="504" t="s">
        <v>339</v>
      </c>
      <c r="B88" s="488">
        <v>50.064999999999998</v>
      </c>
      <c r="C88" s="489">
        <v>104.32599999999999</v>
      </c>
      <c r="D88" s="489">
        <f>IF(B88=0, "    ---- ", IF(ABS(ROUND(100/B88*C88-100,1))&lt;999,ROUND(100/B88*C88-100,1),IF(ROUND(100/B88*C88-100,1)&gt;999,999,-999)))</f>
        <v>108.4</v>
      </c>
      <c r="E88" s="488">
        <v>1920.723</v>
      </c>
      <c r="F88" s="489">
        <v>2094.1959999999999</v>
      </c>
      <c r="G88" s="489">
        <f t="shared" si="17"/>
        <v>9</v>
      </c>
      <c r="H88" s="488"/>
      <c r="I88" s="489"/>
      <c r="J88" s="489"/>
      <c r="K88" s="488">
        <v>85.471999999999994</v>
      </c>
      <c r="L88" s="489">
        <v>96.8</v>
      </c>
      <c r="M88" s="483">
        <f>IF(K88=0, "    ---- ", IF(ABS(ROUND(100/K88*L88-100,1))&lt;999,ROUND(100/K88*L88-100,1),IF(ROUND(100/K88*L88-100,1)&gt;999,999,-999)))</f>
        <v>13.3</v>
      </c>
      <c r="N88" s="488">
        <v>2</v>
      </c>
      <c r="O88" s="489">
        <v>9</v>
      </c>
      <c r="P88" s="371">
        <f>IF(N88=0, "    ---- ", IF(ABS(ROUND(100/N88*O88-100,1))&lt;999,ROUND(100/N88*O88-100,1),IF(ROUND(100/N88*O88-100,1)&gt;999,999,-999)))</f>
        <v>350</v>
      </c>
      <c r="Q88" s="488">
        <v>8650.2217294399998</v>
      </c>
      <c r="R88" s="489">
        <v>8047.5008560100005</v>
      </c>
      <c r="S88" s="371">
        <f t="shared" si="41"/>
        <v>-7</v>
      </c>
      <c r="T88" s="488">
        <v>8.3000000000000007</v>
      </c>
      <c r="U88" s="489">
        <v>9.1</v>
      </c>
      <c r="V88" s="371">
        <f>IF(T88=0, "    ---- ", IF(ABS(ROUND(100/T88*U88-100,1))&lt;999,ROUND(100/T88*U88-100,1),IF(ROUND(100/T88*U88-100,1)&gt;999,999,-999)))</f>
        <v>9.6</v>
      </c>
      <c r="W88" s="488">
        <v>718.57</v>
      </c>
      <c r="X88" s="489">
        <v>201.44</v>
      </c>
      <c r="Y88" s="371">
        <f t="shared" si="18"/>
        <v>-72</v>
      </c>
      <c r="Z88" s="488">
        <v>139</v>
      </c>
      <c r="AA88" s="489">
        <v>209</v>
      </c>
      <c r="AB88" s="371">
        <f>IF(Z88=0, "    ---- ", IF(ABS(ROUND(100/Z88*AA88-100,1))&lt;999,ROUND(100/Z88*AA88-100,1),IF(ROUND(100/Z88*AA88-100,1)&gt;999,999,-999)))</f>
        <v>50.4</v>
      </c>
      <c r="AC88" s="488">
        <v>2</v>
      </c>
      <c r="AD88" s="489">
        <v>6</v>
      </c>
      <c r="AE88" s="371">
        <f>IF(AC88=0, "    ---- ", IF(ABS(ROUND(100/AC88*AD88-100,1))&lt;999,ROUND(100/AC88*AD88-100,1),IF(ROUND(100/AC88*AD88-100,1)&gt;999,999,-999)))</f>
        <v>200</v>
      </c>
      <c r="AF88" s="488">
        <v>998.05100000000004</v>
      </c>
      <c r="AG88" s="489">
        <v>1033.645</v>
      </c>
      <c r="AH88" s="371">
        <f t="shared" si="19"/>
        <v>3.6</v>
      </c>
      <c r="AI88" s="488">
        <v>4189.7</v>
      </c>
      <c r="AJ88" s="489">
        <v>6031</v>
      </c>
      <c r="AK88" s="371">
        <f t="shared" si="23"/>
        <v>43.9</v>
      </c>
      <c r="AL88" s="483">
        <f t="shared" si="42"/>
        <v>16760.102729439997</v>
      </c>
      <c r="AM88" s="483">
        <f t="shared" si="42"/>
        <v>17827.007856010001</v>
      </c>
      <c r="AN88" s="371">
        <f t="shared" si="20"/>
        <v>6.4</v>
      </c>
      <c r="AO88" s="483">
        <f t="shared" si="38"/>
        <v>16764.102729439997</v>
      </c>
      <c r="AP88" s="483">
        <f t="shared" si="38"/>
        <v>17842.007856010001</v>
      </c>
      <c r="AQ88" s="541">
        <f t="shared" si="21"/>
        <v>6.4</v>
      </c>
      <c r="AR88" s="527"/>
      <c r="AS88" s="527"/>
      <c r="AT88" s="542"/>
      <c r="AU88" s="486"/>
      <c r="AV88" s="486"/>
      <c r="AW88" s="303"/>
    </row>
    <row r="89" spans="1:49" s="105" customFormat="1" ht="20.100000000000001" customHeight="1" x14ac:dyDescent="0.3">
      <c r="A89" s="504" t="s">
        <v>340</v>
      </c>
      <c r="B89" s="488">
        <v>31.626999999999999</v>
      </c>
      <c r="C89" s="489">
        <v>23.337</v>
      </c>
      <c r="D89" s="489">
        <f>IF(B89=0, "    ---- ", IF(ABS(ROUND(100/B89*C89-100,1))&lt;999,ROUND(100/B89*C89-100,1),IF(ROUND(100/B89*C89-100,1)&gt;999,999,-999)))</f>
        <v>-26.2</v>
      </c>
      <c r="E89" s="488">
        <v>173.797</v>
      </c>
      <c r="F89" s="489">
        <v>162.38200000000001</v>
      </c>
      <c r="G89" s="489">
        <f t="shared" si="17"/>
        <v>-6.6</v>
      </c>
      <c r="H89" s="488">
        <v>23.936</v>
      </c>
      <c r="I89" s="489">
        <v>21.073</v>
      </c>
      <c r="J89" s="489">
        <f>IF(H89=0, "    ---- ", IF(ABS(ROUND(100/H89*I89-100,1))&lt;999,ROUND(100/H89*I89-100,1),IF(ROUND(100/H89*I89-100,1)&gt;999,999,-999)))</f>
        <v>-12</v>
      </c>
      <c r="K89" s="488">
        <v>15.053000000000001</v>
      </c>
      <c r="L89" s="489">
        <v>12.4</v>
      </c>
      <c r="M89" s="371">
        <f>IF(K89=0, "    ---- ", IF(ABS(ROUND(100/K89*L89-100,1))&lt;999,ROUND(100/K89*L89-100,1),IF(ROUND(100/K89*L89-100,1)&gt;999,999,-999)))</f>
        <v>-17.600000000000001</v>
      </c>
      <c r="N89" s="488">
        <v>1</v>
      </c>
      <c r="O89" s="489">
        <v>1</v>
      </c>
      <c r="P89" s="371">
        <f>IF(N89=0, "    ---- ", IF(ABS(ROUND(100/N89*O89-100,1))&lt;999,ROUND(100/N89*O89-100,1),IF(ROUND(100/N89*O89-100,1)&gt;999,999,-999)))</f>
        <v>0</v>
      </c>
      <c r="Q89" s="488">
        <v>166.40126128999998</v>
      </c>
      <c r="R89" s="489">
        <v>269.79613947000001</v>
      </c>
      <c r="S89" s="371">
        <f t="shared" si="41"/>
        <v>62.1</v>
      </c>
      <c r="T89" s="488">
        <v>11.1</v>
      </c>
      <c r="U89" s="489">
        <v>13.3</v>
      </c>
      <c r="V89" s="371">
        <f>IF(T89=0, "    ---- ", IF(ABS(ROUND(100/T89*U89-100,1))&lt;999,ROUND(100/T89*U89-100,1),IF(ROUND(100/T89*U89-100,1)&gt;999,999,-999)))</f>
        <v>19.8</v>
      </c>
      <c r="W89" s="488">
        <v>52.567</v>
      </c>
      <c r="X89" s="489">
        <v>51.31</v>
      </c>
      <c r="Y89" s="371">
        <f t="shared" si="18"/>
        <v>-2.4</v>
      </c>
      <c r="Z89" s="488">
        <v>108</v>
      </c>
      <c r="AA89" s="489">
        <v>103</v>
      </c>
      <c r="AB89" s="371">
        <f>IF(Z89=0, "    ---- ", IF(ABS(ROUND(100/Z89*AA89-100,1))&lt;999,ROUND(100/Z89*AA89-100,1),IF(ROUND(100/Z89*AA89-100,1)&gt;999,999,-999)))</f>
        <v>-4.5999999999999996</v>
      </c>
      <c r="AC89" s="488"/>
      <c r="AD89" s="489"/>
      <c r="AE89" s="371"/>
      <c r="AF89" s="488">
        <v>124.754</v>
      </c>
      <c r="AG89" s="489">
        <v>115.524</v>
      </c>
      <c r="AH89" s="371">
        <f t="shared" si="19"/>
        <v>-7.4</v>
      </c>
      <c r="AI89" s="488">
        <v>205.7</v>
      </c>
      <c r="AJ89" s="489">
        <v>135</v>
      </c>
      <c r="AK89" s="371">
        <f t="shared" si="23"/>
        <v>-34.4</v>
      </c>
      <c r="AL89" s="483">
        <f t="shared" si="42"/>
        <v>912.93526128999997</v>
      </c>
      <c r="AM89" s="483">
        <f t="shared" si="42"/>
        <v>907.12213946999998</v>
      </c>
      <c r="AN89" s="371">
        <f t="shared" si="20"/>
        <v>-0.6</v>
      </c>
      <c r="AO89" s="483">
        <f t="shared" si="38"/>
        <v>913.93526128999997</v>
      </c>
      <c r="AP89" s="483">
        <f t="shared" si="38"/>
        <v>908.12213946999998</v>
      </c>
      <c r="AQ89" s="541">
        <f t="shared" si="21"/>
        <v>-0.6</v>
      </c>
      <c r="AR89" s="527"/>
      <c r="AS89" s="527"/>
      <c r="AT89" s="542"/>
      <c r="AU89" s="486"/>
      <c r="AV89" s="486"/>
      <c r="AW89" s="303"/>
    </row>
    <row r="90" spans="1:49" s="105" customFormat="1" ht="20.100000000000001" customHeight="1" x14ac:dyDescent="0.3">
      <c r="A90" s="504"/>
      <c r="B90" s="488"/>
      <c r="C90" s="489"/>
      <c r="D90" s="371"/>
      <c r="E90" s="488"/>
      <c r="F90" s="489"/>
      <c r="G90" s="371"/>
      <c r="H90" s="488"/>
      <c r="I90" s="489"/>
      <c r="J90" s="371"/>
      <c r="K90" s="488"/>
      <c r="L90" s="489"/>
      <c r="M90" s="371"/>
      <c r="N90" s="488"/>
      <c r="O90" s="489"/>
      <c r="P90" s="371"/>
      <c r="Q90" s="488"/>
      <c r="R90" s="489"/>
      <c r="S90" s="371"/>
      <c r="T90" s="488"/>
      <c r="U90" s="489"/>
      <c r="V90" s="371"/>
      <c r="W90" s="488"/>
      <c r="X90" s="489"/>
      <c r="Y90" s="371"/>
      <c r="Z90" s="488"/>
      <c r="AA90" s="489"/>
      <c r="AB90" s="371"/>
      <c r="AC90" s="488"/>
      <c r="AD90" s="489"/>
      <c r="AE90" s="371"/>
      <c r="AF90" s="488"/>
      <c r="AG90" s="489"/>
      <c r="AH90" s="371"/>
      <c r="AI90" s="488"/>
      <c r="AJ90" s="489"/>
      <c r="AK90" s="371"/>
      <c r="AL90" s="483"/>
      <c r="AM90" s="483"/>
      <c r="AN90" s="371"/>
      <c r="AO90" s="483"/>
      <c r="AP90" s="483"/>
      <c r="AQ90" s="541"/>
      <c r="AR90" s="527"/>
      <c r="AS90" s="527"/>
      <c r="AT90" s="542"/>
      <c r="AU90" s="486"/>
      <c r="AV90" s="486"/>
      <c r="AW90" s="303"/>
    </row>
    <row r="91" spans="1:49" s="105" customFormat="1" ht="20.100000000000001" customHeight="1" x14ac:dyDescent="0.3">
      <c r="A91" s="505" t="s">
        <v>341</v>
      </c>
      <c r="B91" s="492">
        <v>16442.082999999999</v>
      </c>
      <c r="C91" s="550">
        <f>SUM(C68+C69+C71+C79+C85+C86+C87+C88+C89)</f>
        <v>18387.425999999999</v>
      </c>
      <c r="D91" s="492">
        <f>IF(B91=0, "    ---- ", IF(ABS(ROUND(100/B91*C91-100,1))&lt;999,ROUND(100/B91*C91-100,1),IF(ROUND(100/B91*C91-100,1)&gt;999,999,-999)))</f>
        <v>11.8</v>
      </c>
      <c r="E91" s="550">
        <v>305477.45500000002</v>
      </c>
      <c r="F91" s="550">
        <f>SUM(F68+F69+F71+F79+F85+F86+F87+F88+F89)</f>
        <v>315934.67</v>
      </c>
      <c r="G91" s="492">
        <f t="shared" si="17"/>
        <v>3.4</v>
      </c>
      <c r="H91" s="551">
        <v>4400.4089999999997</v>
      </c>
      <c r="I91" s="550">
        <f>SUM(I68+I69+I71+I79+I85+I86+I87+I88+I89)</f>
        <v>4913.3729999999996</v>
      </c>
      <c r="J91" s="492">
        <f>IF(H91=0, "    ---- ", IF(ABS(ROUND(100/H91*I91-100,1))&lt;999,ROUND(100/H91*I91-100,1),IF(ROUND(100/H91*I91-100,1)&gt;999,999,-999)))</f>
        <v>11.7</v>
      </c>
      <c r="K91" s="550">
        <v>26081.577000000001</v>
      </c>
      <c r="L91" s="550">
        <f>SUM(L68+L69+L71+L79+L85+L86+L87+L88+L89)</f>
        <v>30172.6</v>
      </c>
      <c r="M91" s="492">
        <f>IF(K91=0, "    ---- ", IF(ABS(ROUND(100/K91*L91-100,1))&lt;999,ROUND(100/K91*L91-100,1),IF(ROUND(100/K91*L91-100,1)&gt;999,999,-999)))</f>
        <v>15.7</v>
      </c>
      <c r="N91" s="551">
        <v>140</v>
      </c>
      <c r="O91" s="550">
        <f>SUM(O68+O69+O71+O79+O85+O86+O87+O88+O89)</f>
        <v>144</v>
      </c>
      <c r="P91" s="492">
        <f>IF(N91=0, "    ---- ", IF(ABS(ROUND(100/N91*O91-100,1))&lt;999,ROUND(100/N91*O91-100,1),IF(ROUND(100/N91*O91-100,1)&gt;999,999,-999)))</f>
        <v>2.9</v>
      </c>
      <c r="Q91" s="550">
        <f>SUM(Q68+Q69+Q71+Q79+Q85+Q86+Q87+Q88+Q89)</f>
        <v>506645.44018188998</v>
      </c>
      <c r="R91" s="550">
        <f>SUM(R68+R69+R71+R79+R85+R86+R87+R88+R89)</f>
        <v>535695.10448273004</v>
      </c>
      <c r="S91" s="492">
        <f t="shared" si="41"/>
        <v>5.7</v>
      </c>
      <c r="T91" s="551">
        <v>3903.2999999999997</v>
      </c>
      <c r="U91" s="550">
        <f>SUM(U68+U69+U71+U79+U85+U86+U87+U88+U89)</f>
        <v>5036.4000000000005</v>
      </c>
      <c r="V91" s="492">
        <f>IF(T91=0, "    ---- ", IF(ABS(ROUND(100/T91*U91-100,1))&lt;999,ROUND(100/T91*U91-100,1),IF(ROUND(100/T91*U91-100,1)&gt;999,999,-999)))</f>
        <v>29</v>
      </c>
      <c r="W91" s="551">
        <v>109709.95700000001</v>
      </c>
      <c r="X91" s="550">
        <f>SUM(X68+X69+X71+X79+X85+X86+X87+X88+X89)</f>
        <v>119054.08883199998</v>
      </c>
      <c r="Y91" s="492">
        <f t="shared" si="18"/>
        <v>8.5</v>
      </c>
      <c r="Z91" s="551">
        <v>85542</v>
      </c>
      <c r="AA91" s="550">
        <f>SUM(AA68+AA69+AA71+AA79+AA85+AA86+AA87+AA88+AA89)</f>
        <v>92424</v>
      </c>
      <c r="AB91" s="492">
        <f>IF(Z91=0, "    ---- ", IF(ABS(ROUND(100/Z91*AA91-100,1))&lt;999,ROUND(100/Z91*AA91-100,1),IF(ROUND(100/Z91*AA91-100,1)&gt;999,999,-999)))</f>
        <v>8</v>
      </c>
      <c r="AC91" s="551">
        <v>1869</v>
      </c>
      <c r="AD91" s="550">
        <f>SUM(AD68+AD69+AD71+AD79+AD85+AD86+AD87+AD88+AD89)</f>
        <v>2105</v>
      </c>
      <c r="AE91" s="492">
        <f>IF(AC91=0, "    ---- ", IF(ABS(ROUND(100/AC91*AD91-100,1))&lt;999,ROUND(100/AC91*AD91-100,1),IF(ROUND(100/AC91*AD91-100,1)&gt;999,999,-999)))</f>
        <v>12.6</v>
      </c>
      <c r="AF91" s="551">
        <v>49130.091078000005</v>
      </c>
      <c r="AG91" s="550">
        <f>SUM(AG68+AG69+AG71+AG79+AG85+AG86+AG87+AG88+AG89)</f>
        <v>56252.87941704999</v>
      </c>
      <c r="AH91" s="492">
        <f t="shared" si="19"/>
        <v>14.5</v>
      </c>
      <c r="AI91" s="551">
        <v>287748.40000000002</v>
      </c>
      <c r="AJ91" s="550">
        <f>SUM(AJ68+AJ69+AJ71+AJ79+AJ85+AJ86+AJ87+AJ88+AJ89)</f>
        <v>316136</v>
      </c>
      <c r="AK91" s="492">
        <f t="shared" si="23"/>
        <v>9.9</v>
      </c>
      <c r="AL91" s="552">
        <f>B91+E91+H91+K91+Q91+T91+W91+Z91+AF91+AI91</f>
        <v>1395080.71225989</v>
      </c>
      <c r="AM91" s="552">
        <f>C91+F91+I91+L91+R91+U91+X91+AA91+AG91+AJ91</f>
        <v>1494006.5417317799</v>
      </c>
      <c r="AN91" s="492">
        <f t="shared" si="20"/>
        <v>7.1</v>
      </c>
      <c r="AO91" s="553">
        <f>B91+E91+H91+K91+N91+Q91+T91+W91+Z91+AC91+AF91+AI91</f>
        <v>1397089.71225989</v>
      </c>
      <c r="AP91" s="553">
        <f>C91+F91+I91+L91+O91+R91+U91+X91+AA91+AD91+AG91+AJ91</f>
        <v>1496255.5417317799</v>
      </c>
      <c r="AQ91" s="554">
        <f t="shared" si="21"/>
        <v>7.1</v>
      </c>
      <c r="AR91" s="546"/>
      <c r="AS91" s="527"/>
      <c r="AT91" s="542"/>
      <c r="AU91" s="493"/>
      <c r="AV91" s="493"/>
      <c r="AW91" s="303"/>
    </row>
    <row r="92" spans="1:49" s="105" customFormat="1" ht="20.100000000000001" customHeight="1" x14ac:dyDescent="0.3">
      <c r="A92" s="498" t="s">
        <v>342</v>
      </c>
      <c r="B92" s="498"/>
      <c r="C92" s="474"/>
      <c r="D92" s="474"/>
      <c r="E92" s="474"/>
      <c r="F92" s="474"/>
      <c r="G92" s="474"/>
      <c r="H92" s="474"/>
      <c r="I92" s="474"/>
      <c r="J92" s="474"/>
      <c r="K92" s="474"/>
      <c r="L92" s="474"/>
      <c r="M92" s="474"/>
      <c r="N92" s="474"/>
      <c r="O92" s="474"/>
      <c r="P92" s="474"/>
      <c r="Q92" s="498"/>
      <c r="R92" s="474"/>
      <c r="S92" s="474"/>
      <c r="T92" s="474"/>
      <c r="U92" s="474"/>
      <c r="V92" s="474"/>
      <c r="W92" s="474"/>
      <c r="X92" s="555"/>
      <c r="Y92" s="555"/>
      <c r="Z92" s="555"/>
      <c r="AA92" s="555"/>
      <c r="AB92" s="555"/>
      <c r="AC92" s="555"/>
      <c r="AD92" s="555"/>
      <c r="AE92" s="555"/>
      <c r="AF92" s="498"/>
      <c r="AG92" s="474"/>
      <c r="AH92" s="474"/>
      <c r="AI92" s="498"/>
      <c r="AJ92" s="474"/>
      <c r="AK92" s="474"/>
      <c r="AL92" s="474"/>
      <c r="AM92" s="474"/>
      <c r="AN92" s="474"/>
      <c r="AO92" s="474"/>
      <c r="AP92" s="474"/>
      <c r="AQ92" s="474"/>
      <c r="AR92" s="474"/>
      <c r="AS92" s="474"/>
      <c r="AT92" s="474"/>
      <c r="AU92" s="474"/>
      <c r="AV92" s="474"/>
      <c r="AW92" s="303"/>
    </row>
    <row r="93" spans="1:49" s="105" customFormat="1" ht="20.100000000000001" customHeight="1" x14ac:dyDescent="0.3">
      <c r="A93" s="498" t="s">
        <v>343</v>
      </c>
      <c r="B93" s="474"/>
      <c r="C93" s="474"/>
      <c r="D93" s="474"/>
      <c r="E93" s="474"/>
      <c r="F93" s="474"/>
      <c r="G93" s="474"/>
      <c r="H93" s="474"/>
      <c r="I93" s="474"/>
      <c r="J93" s="474"/>
      <c r="K93" s="474"/>
      <c r="L93" s="474"/>
      <c r="M93" s="474"/>
      <c r="N93" s="474"/>
      <c r="O93" s="474"/>
      <c r="P93" s="474"/>
      <c r="Q93" s="498"/>
      <c r="R93" s="474"/>
      <c r="S93" s="474"/>
      <c r="T93" s="474"/>
      <c r="U93" s="474"/>
      <c r="V93" s="474"/>
      <c r="W93" s="474"/>
      <c r="X93" s="555"/>
      <c r="Y93" s="555"/>
      <c r="Z93" s="555"/>
      <c r="AA93" s="555"/>
      <c r="AB93" s="555"/>
      <c r="AC93" s="555"/>
      <c r="AD93" s="555"/>
      <c r="AE93" s="555"/>
      <c r="AF93" s="498"/>
      <c r="AG93" s="474"/>
      <c r="AH93" s="474"/>
      <c r="AI93" s="498"/>
      <c r="AJ93" s="474"/>
      <c r="AK93" s="474"/>
      <c r="AL93" s="474"/>
      <c r="AM93" s="474"/>
      <c r="AN93" s="474"/>
      <c r="AO93" s="474"/>
      <c r="AP93" s="474"/>
      <c r="AQ93" s="474"/>
      <c r="AR93" s="474"/>
      <c r="AS93" s="474"/>
      <c r="AT93" s="474"/>
      <c r="AU93" s="474"/>
      <c r="AV93" s="474"/>
      <c r="AW93" s="303"/>
    </row>
    <row r="94" spans="1:49" s="113" customFormat="1" ht="20.100000000000001" customHeight="1" x14ac:dyDescent="0.3">
      <c r="A94" s="498" t="s">
        <v>344</v>
      </c>
      <c r="B94" s="508"/>
      <c r="C94" s="508"/>
      <c r="D94" s="508"/>
      <c r="E94" s="508"/>
      <c r="F94" s="508"/>
      <c r="G94" s="508"/>
      <c r="H94" s="508"/>
      <c r="I94" s="508"/>
      <c r="J94" s="508"/>
      <c r="K94" s="508"/>
      <c r="L94" s="508"/>
      <c r="M94" s="508"/>
      <c r="N94" s="508"/>
      <c r="O94" s="508"/>
      <c r="P94" s="508"/>
      <c r="Q94" s="508"/>
      <c r="R94" s="508"/>
      <c r="S94" s="508"/>
      <c r="T94" s="508"/>
      <c r="U94" s="508"/>
      <c r="V94" s="508"/>
      <c r="W94" s="508"/>
      <c r="X94" s="508"/>
      <c r="Y94" s="556"/>
      <c r="Z94" s="556"/>
      <c r="AA94" s="556"/>
      <c r="AB94" s="556"/>
      <c r="AC94" s="556"/>
      <c r="AD94" s="556"/>
      <c r="AE94" s="556"/>
      <c r="AF94" s="508"/>
      <c r="AG94" s="508"/>
      <c r="AH94" s="508"/>
      <c r="AI94" s="508"/>
      <c r="AJ94" s="508"/>
      <c r="AK94" s="508"/>
      <c r="AL94" s="508"/>
      <c r="AM94" s="508"/>
      <c r="AN94" s="508"/>
      <c r="AO94" s="508"/>
      <c r="AP94" s="508"/>
      <c r="AQ94" s="508"/>
      <c r="AR94" s="507"/>
      <c r="AS94" s="507"/>
      <c r="AT94" s="508"/>
      <c r="AU94" s="508"/>
      <c r="AV94" s="508"/>
      <c r="AW94" s="303"/>
    </row>
    <row r="95" spans="1:49" ht="18.75" customHeight="1" x14ac:dyDescent="0.3">
      <c r="A95" s="508"/>
      <c r="B95" s="508"/>
      <c r="C95" s="508"/>
      <c r="D95" s="508"/>
      <c r="E95" s="508"/>
      <c r="F95" s="508"/>
      <c r="G95" s="508"/>
      <c r="H95" s="508"/>
      <c r="I95" s="508"/>
      <c r="J95" s="508"/>
      <c r="K95" s="508"/>
      <c r="L95" s="508"/>
      <c r="M95" s="508"/>
      <c r="N95" s="508"/>
      <c r="O95" s="508"/>
      <c r="P95" s="508"/>
      <c r="Q95" s="508"/>
      <c r="R95" s="508"/>
      <c r="S95" s="508"/>
      <c r="T95" s="508"/>
      <c r="U95" s="508"/>
      <c r="V95" s="508"/>
      <c r="W95" s="508"/>
      <c r="X95" s="508"/>
      <c r="Y95" s="508"/>
      <c r="Z95" s="508"/>
      <c r="AA95" s="508"/>
      <c r="AB95" s="508"/>
      <c r="AC95" s="508"/>
      <c r="AD95" s="508"/>
      <c r="AE95" s="508"/>
      <c r="AF95" s="508"/>
      <c r="AG95" s="508"/>
      <c r="AH95" s="508"/>
      <c r="AI95" s="508"/>
      <c r="AJ95" s="508"/>
      <c r="AK95" s="508"/>
      <c r="AL95" s="508"/>
      <c r="AM95" s="508"/>
      <c r="AN95" s="508"/>
      <c r="AO95" s="508"/>
      <c r="AP95" s="508"/>
      <c r="AQ95" s="508"/>
      <c r="AR95" s="507"/>
      <c r="AS95" s="507"/>
      <c r="AT95" s="508"/>
      <c r="AU95" s="508"/>
      <c r="AV95" s="508"/>
    </row>
    <row r="96" spans="1:49" s="306" customFormat="1" ht="18.75" x14ac:dyDescent="0.3">
      <c r="A96" s="508"/>
      <c r="B96" s="508"/>
      <c r="C96" s="508"/>
      <c r="D96" s="508"/>
      <c r="E96" s="508"/>
      <c r="F96" s="508"/>
      <c r="G96" s="508"/>
      <c r="H96" s="557"/>
      <c r="I96" s="508"/>
      <c r="J96" s="508"/>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row>
    <row r="97" s="305" customFormat="1" ht="18.75" x14ac:dyDescent="0.3"/>
    <row r="98" s="305" customFormat="1" ht="18.75" x14ac:dyDescent="0.3"/>
    <row r="99" s="305" customFormat="1" ht="18.75" x14ac:dyDescent="0.3"/>
    <row r="100" s="305" customFormat="1" ht="18.75" x14ac:dyDescent="0.3"/>
    <row r="101" s="305" customFormat="1" ht="18.75" x14ac:dyDescent="0.3"/>
    <row r="102" s="305" customFormat="1" ht="18.75" x14ac:dyDescent="0.3"/>
    <row r="103" s="305" customFormat="1" ht="18.75" x14ac:dyDescent="0.3"/>
    <row r="104" s="305" customFormat="1" ht="18.75" x14ac:dyDescent="0.3"/>
    <row r="105" s="305" customFormat="1" ht="18.75" x14ac:dyDescent="0.3"/>
    <row r="106" s="305" customFormat="1" ht="18.75" x14ac:dyDescent="0.3"/>
    <row r="107" s="305" customFormat="1" ht="18.75" x14ac:dyDescent="0.3"/>
    <row r="108" s="305" customFormat="1" ht="18.75" x14ac:dyDescent="0.3"/>
    <row r="109" s="305" customFormat="1" ht="18.75" x14ac:dyDescent="0.3"/>
    <row r="110" s="305" customFormat="1" ht="18.75" x14ac:dyDescent="0.3"/>
    <row r="111" s="305" customFormat="1" ht="18.75" x14ac:dyDescent="0.3"/>
    <row r="112" s="305" customFormat="1" ht="18.75" x14ac:dyDescent="0.3"/>
    <row r="113" s="307" customFormat="1" ht="15.75" x14ac:dyDescent="0.25"/>
    <row r="114" s="307" customFormat="1" ht="15.75" x14ac:dyDescent="0.25"/>
  </sheetData>
  <mergeCells count="37">
    <mergeCell ref="T5:V5"/>
    <mergeCell ref="BI5:BK5"/>
    <mergeCell ref="Z5:AB5"/>
    <mergeCell ref="AF5:AH5"/>
    <mergeCell ref="AI5:AK5"/>
    <mergeCell ref="AL5:AN5"/>
    <mergeCell ref="AO5:AQ5"/>
    <mergeCell ref="AT5:AV5"/>
    <mergeCell ref="H6:J6"/>
    <mergeCell ref="K6:M6"/>
    <mergeCell ref="N6:P6"/>
    <mergeCell ref="H5:J5"/>
    <mergeCell ref="K5:M5"/>
    <mergeCell ref="N5:P5"/>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BI6:BK6"/>
    <mergeCell ref="AI6:AK6"/>
    <mergeCell ref="AL6:AN6"/>
    <mergeCell ref="AO6:AQ6"/>
    <mergeCell ref="AW6:AY6"/>
    <mergeCell ref="AZ6:BB6"/>
    <mergeCell ref="AT6:AV6"/>
  </mergeCells>
  <conditionalFormatting sqref="B35:C35 E35:F35 H35:I35 K35:L35 N35:O35 Q35:R35 T35:U35 W35:X35 Z35:AA35 AC35:AD35 AF35:AG35 AI35:AJ35">
    <cfRule type="expression" dxfId="19" priority="185">
      <formula>#REF! ="35≠36+38"</formula>
    </cfRule>
  </conditionalFormatting>
  <conditionalFormatting sqref="B39:C39 E39:F39 H39:I39 K39:L39 N39:O39 Q39:R39 T39:U39 W39:X39 Z39:AA39 AC39:AD39 AF39:AG39 AI39:AJ39">
    <cfRule type="expression" dxfId="18" priority="197">
      <formula>#REF! ="39≠40+41+42+43+44"</formula>
    </cfRule>
  </conditionalFormatting>
  <conditionalFormatting sqref="B45:C45 E45:F45 H45:I45 K45:L45 N45:O45 Q45:R45 T45:U45 W45:X45 Z45:AA45 AC45:AD45 AF45:AG45 AI45:AJ45">
    <cfRule type="expression" dxfId="17" priority="209">
      <formula>#REF! ="45≠33+34+35+39"</formula>
    </cfRule>
  </conditionalFormatting>
  <conditionalFormatting sqref="B50:C50 E50:F50 H50:I50 K50:L50 N50:O50 Q50:R50 T50:U50 W50:X50 Z50:AA50 AC50:AD50 AF50:AG50 AI50:AJ50">
    <cfRule type="expression" dxfId="16" priority="221">
      <formula>#REF! ="50≠51+53"</formula>
    </cfRule>
  </conditionalFormatting>
  <conditionalFormatting sqref="B54:C54 E54:F54 H54:I54 K54:L54 N54:O54 Q54:R54 T54:U54 W54:X54 Z54:AA54 AC54:AD54 AF54:AG54 AI54:AJ54">
    <cfRule type="expression" dxfId="15" priority="233">
      <formula>#REF! ="54≠55+56+57+58+59"</formula>
    </cfRule>
  </conditionalFormatting>
  <conditionalFormatting sqref="B60:C60 E60:F60 H60:I60 K60:L60 N60:O60 Q60:R60 T60:U60 W60:X60 Z60:AA60 AC60:AD60 AF60:AG60 AI60:AJ60">
    <cfRule type="expression" dxfId="14" priority="245">
      <formula>#REF! ="60≠48+49+50+54"</formula>
    </cfRule>
  </conditionalFormatting>
  <conditionalFormatting sqref="B62:C62 E62:F62 H62:I62 K62:L62 N62:O62 Q62:R62 T62:U62 W62:X62 Z62:AA62 AC62:AD62 AF62:AG62 AI62:AJ62">
    <cfRule type="expression" dxfId="13" priority="257">
      <formula>#REF! ="62≠45+46+60+61"</formula>
    </cfRule>
  </conditionalFormatting>
  <conditionalFormatting sqref="B64:C64 E64:F64 H64:I64 K64:L64 N64:O64 T64:U64 W64:X64 Z64:AA64 AC64:AD64 AF64:AG64 AI64:AJ64 AL64:AM64 AO64:AP64 Q64:R64">
    <cfRule type="expression" dxfId="12" priority="269">
      <formula>#REF! ="64≠29+62"</formula>
    </cfRule>
  </conditionalFormatting>
  <conditionalFormatting sqref="B79:C79 E79:F79 H79:I79 K79:L79 N79:O79 T79:U79 W79:X79 Z79:AA79 AC79:AD79 AF79:AG79 AI79:AJ79 Q79:R79">
    <cfRule type="expression" dxfId="11" priority="283">
      <formula>#REF! ="80≠73+74+75+76+77+78+79"</formula>
    </cfRule>
  </conditionalFormatting>
  <conditionalFormatting sqref="B85:C85 E85:F85 H85:I85 K85:L85 N85:O85 Q85:R85 T85:U85 W85:X85 Z85:AA85 AC85:AD85 AF85:AG85 AI85:AJ85">
    <cfRule type="expression" dxfId="10" priority="295">
      <formula>#REF! ="88≠82+83+84+85+86+87"</formula>
    </cfRule>
  </conditionalFormatting>
  <conditionalFormatting sqref="B91:C91 E91:F91 H91:I91 K91:L91 N91:O91 T91:U91 W91:X91 Z91:AA91 AC91:AD91 AF91:AG91 AI91:AJ91 AL91:AM91 AO91:AP91 Q91:R91">
    <cfRule type="expression" dxfId="9" priority="307">
      <formula>#REF! = "64≠94"</formula>
    </cfRule>
  </conditionalFormatting>
  <conditionalFormatting sqref="B91:C91 E91:F91 H91:I91 K91:L91 N91:O91 T91:U91 W91:X91 Z91:AA91 AC91:AD91 AF91:AG91 AI91:AJ91 AL91:AM91 AO91:AP91 Q91:R91">
    <cfRule type="expression" dxfId="8" priority="321">
      <formula>#REF! = "94≠68+69+71+80+88+89+90+91+92"</formula>
    </cfRule>
  </conditionalFormatting>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zoomScale="60" zoomScaleNormal="60" zoomScaleSheetLayoutView="80" workbookViewId="0">
      <pane xSplit="1" ySplit="8" topLeftCell="B9" activePane="bottomRight" state="frozen"/>
      <selection activeCell="H92" sqref="H92"/>
      <selection pane="topRight" activeCell="H92" sqref="H92"/>
      <selection pane="bottomLeft" activeCell="H92" sqref="H92"/>
      <selection pane="bottomRight" activeCell="A4" sqref="A4"/>
    </sheetView>
  </sheetViews>
  <sheetFormatPr baseColWidth="10" defaultRowHeight="12.75" x14ac:dyDescent="0.2"/>
  <cols>
    <col min="1" max="1" width="62" style="664" customWidth="1"/>
    <col min="2" max="34" width="11.7109375" style="664" customWidth="1"/>
    <col min="35" max="253" width="11.42578125" style="664"/>
    <col min="254" max="254" width="62" style="664" customWidth="1"/>
    <col min="255" max="290" width="11.7109375" style="664" customWidth="1"/>
    <col min="291" max="509" width="11.42578125" style="664"/>
    <col min="510" max="510" width="62" style="664" customWidth="1"/>
    <col min="511" max="546" width="11.7109375" style="664" customWidth="1"/>
    <col min="547" max="765" width="11.42578125" style="664"/>
    <col min="766" max="766" width="62" style="664" customWidth="1"/>
    <col min="767" max="802" width="11.7109375" style="664" customWidth="1"/>
    <col min="803" max="1021" width="11.42578125" style="664"/>
    <col min="1022" max="1022" width="62" style="664" customWidth="1"/>
    <col min="1023" max="1058" width="11.7109375" style="664" customWidth="1"/>
    <col min="1059" max="1277" width="11.42578125" style="664"/>
    <col min="1278" max="1278" width="62" style="664" customWidth="1"/>
    <col min="1279" max="1314" width="11.7109375" style="664" customWidth="1"/>
    <col min="1315" max="1533" width="11.42578125" style="664"/>
    <col min="1534" max="1534" width="62" style="664" customWidth="1"/>
    <col min="1535" max="1570" width="11.7109375" style="664" customWidth="1"/>
    <col min="1571" max="1789" width="11.42578125" style="664"/>
    <col min="1790" max="1790" width="62" style="664" customWidth="1"/>
    <col min="1791" max="1826" width="11.7109375" style="664" customWidth="1"/>
    <col min="1827" max="2045" width="11.42578125" style="664"/>
    <col min="2046" max="2046" width="62" style="664" customWidth="1"/>
    <col min="2047" max="2082" width="11.7109375" style="664" customWidth="1"/>
    <col min="2083" max="2301" width="11.42578125" style="664"/>
    <col min="2302" max="2302" width="62" style="664" customWidth="1"/>
    <col min="2303" max="2338" width="11.7109375" style="664" customWidth="1"/>
    <col min="2339" max="2557" width="11.42578125" style="664"/>
    <col min="2558" max="2558" width="62" style="664" customWidth="1"/>
    <col min="2559" max="2594" width="11.7109375" style="664" customWidth="1"/>
    <col min="2595" max="2813" width="11.42578125" style="664"/>
    <col min="2814" max="2814" width="62" style="664" customWidth="1"/>
    <col min="2815" max="2850" width="11.7109375" style="664" customWidth="1"/>
    <col min="2851" max="3069" width="11.42578125" style="664"/>
    <col min="3070" max="3070" width="62" style="664" customWidth="1"/>
    <col min="3071" max="3106" width="11.7109375" style="664" customWidth="1"/>
    <col min="3107" max="3325" width="11.42578125" style="664"/>
    <col min="3326" max="3326" width="62" style="664" customWidth="1"/>
    <col min="3327" max="3362" width="11.7109375" style="664" customWidth="1"/>
    <col min="3363" max="3581" width="11.42578125" style="664"/>
    <col min="3582" max="3582" width="62" style="664" customWidth="1"/>
    <col min="3583" max="3618" width="11.7109375" style="664" customWidth="1"/>
    <col min="3619" max="3837" width="11.42578125" style="664"/>
    <col min="3838" max="3838" width="62" style="664" customWidth="1"/>
    <col min="3839" max="3874" width="11.7109375" style="664" customWidth="1"/>
    <col min="3875" max="4093" width="11.42578125" style="664"/>
    <col min="4094" max="4094" width="62" style="664" customWidth="1"/>
    <col min="4095" max="4130" width="11.7109375" style="664" customWidth="1"/>
    <col min="4131" max="4349" width="11.42578125" style="664"/>
    <col min="4350" max="4350" width="62" style="664" customWidth="1"/>
    <col min="4351" max="4386" width="11.7109375" style="664" customWidth="1"/>
    <col min="4387" max="4605" width="11.42578125" style="664"/>
    <col min="4606" max="4606" width="62" style="664" customWidth="1"/>
    <col min="4607" max="4642" width="11.7109375" style="664" customWidth="1"/>
    <col min="4643" max="4861" width="11.42578125" style="664"/>
    <col min="4862" max="4862" width="62" style="664" customWidth="1"/>
    <col min="4863" max="4898" width="11.7109375" style="664" customWidth="1"/>
    <col min="4899" max="5117" width="11.42578125" style="664"/>
    <col min="5118" max="5118" width="62" style="664" customWidth="1"/>
    <col min="5119" max="5154" width="11.7109375" style="664" customWidth="1"/>
    <col min="5155" max="5373" width="11.42578125" style="664"/>
    <col min="5374" max="5374" width="62" style="664" customWidth="1"/>
    <col min="5375" max="5410" width="11.7109375" style="664" customWidth="1"/>
    <col min="5411" max="5629" width="11.42578125" style="664"/>
    <col min="5630" max="5630" width="62" style="664" customWidth="1"/>
    <col min="5631" max="5666" width="11.7109375" style="664" customWidth="1"/>
    <col min="5667" max="5885" width="11.42578125" style="664"/>
    <col min="5886" max="5886" width="62" style="664" customWidth="1"/>
    <col min="5887" max="5922" width="11.7109375" style="664" customWidth="1"/>
    <col min="5923" max="6141" width="11.42578125" style="664"/>
    <col min="6142" max="6142" width="62" style="664" customWidth="1"/>
    <col min="6143" max="6178" width="11.7109375" style="664" customWidth="1"/>
    <col min="6179" max="6397" width="11.42578125" style="664"/>
    <col min="6398" max="6398" width="62" style="664" customWidth="1"/>
    <col min="6399" max="6434" width="11.7109375" style="664" customWidth="1"/>
    <col min="6435" max="6653" width="11.42578125" style="664"/>
    <col min="6654" max="6654" width="62" style="664" customWidth="1"/>
    <col min="6655" max="6690" width="11.7109375" style="664" customWidth="1"/>
    <col min="6691" max="6909" width="11.42578125" style="664"/>
    <col min="6910" max="6910" width="62" style="664" customWidth="1"/>
    <col min="6911" max="6946" width="11.7109375" style="664" customWidth="1"/>
    <col min="6947" max="7165" width="11.42578125" style="664"/>
    <col min="7166" max="7166" width="62" style="664" customWidth="1"/>
    <col min="7167" max="7202" width="11.7109375" style="664" customWidth="1"/>
    <col min="7203" max="7421" width="11.42578125" style="664"/>
    <col min="7422" max="7422" width="62" style="664" customWidth="1"/>
    <col min="7423" max="7458" width="11.7109375" style="664" customWidth="1"/>
    <col min="7459" max="7677" width="11.42578125" style="664"/>
    <col min="7678" max="7678" width="62" style="664" customWidth="1"/>
    <col min="7679" max="7714" width="11.7109375" style="664" customWidth="1"/>
    <col min="7715" max="7933" width="11.42578125" style="664"/>
    <col min="7934" max="7934" width="62" style="664" customWidth="1"/>
    <col min="7935" max="7970" width="11.7109375" style="664" customWidth="1"/>
    <col min="7971" max="8189" width="11.42578125" style="664"/>
    <col min="8190" max="8190" width="62" style="664" customWidth="1"/>
    <col min="8191" max="8226" width="11.7109375" style="664" customWidth="1"/>
    <col min="8227" max="8445" width="11.42578125" style="664"/>
    <col min="8446" max="8446" width="62" style="664" customWidth="1"/>
    <col min="8447" max="8482" width="11.7109375" style="664" customWidth="1"/>
    <col min="8483" max="8701" width="11.42578125" style="664"/>
    <col min="8702" max="8702" width="62" style="664" customWidth="1"/>
    <col min="8703" max="8738" width="11.7109375" style="664" customWidth="1"/>
    <col min="8739" max="8957" width="11.42578125" style="664"/>
    <col min="8958" max="8958" width="62" style="664" customWidth="1"/>
    <col min="8959" max="8994" width="11.7109375" style="664" customWidth="1"/>
    <col min="8995" max="9213" width="11.42578125" style="664"/>
    <col min="9214" max="9214" width="62" style="664" customWidth="1"/>
    <col min="9215" max="9250" width="11.7109375" style="664" customWidth="1"/>
    <col min="9251" max="9469" width="11.42578125" style="664"/>
    <col min="9470" max="9470" width="62" style="664" customWidth="1"/>
    <col min="9471" max="9506" width="11.7109375" style="664" customWidth="1"/>
    <col min="9507" max="9725" width="11.42578125" style="664"/>
    <col min="9726" max="9726" width="62" style="664" customWidth="1"/>
    <col min="9727" max="9762" width="11.7109375" style="664" customWidth="1"/>
    <col min="9763" max="9981" width="11.42578125" style="664"/>
    <col min="9982" max="9982" width="62" style="664" customWidth="1"/>
    <col min="9983" max="10018" width="11.7109375" style="664" customWidth="1"/>
    <col min="10019" max="10237" width="11.42578125" style="664"/>
    <col min="10238" max="10238" width="62" style="664" customWidth="1"/>
    <col min="10239" max="10274" width="11.7109375" style="664" customWidth="1"/>
    <col min="10275" max="10493" width="11.42578125" style="664"/>
    <col min="10494" max="10494" width="62" style="664" customWidth="1"/>
    <col min="10495" max="10530" width="11.7109375" style="664" customWidth="1"/>
    <col min="10531" max="10749" width="11.42578125" style="664"/>
    <col min="10750" max="10750" width="62" style="664" customWidth="1"/>
    <col min="10751" max="10786" width="11.7109375" style="664" customWidth="1"/>
    <col min="10787" max="11005" width="11.42578125" style="664"/>
    <col min="11006" max="11006" width="62" style="664" customWidth="1"/>
    <col min="11007" max="11042" width="11.7109375" style="664" customWidth="1"/>
    <col min="11043" max="11261" width="11.42578125" style="664"/>
    <col min="11262" max="11262" width="62" style="664" customWidth="1"/>
    <col min="11263" max="11298" width="11.7109375" style="664" customWidth="1"/>
    <col min="11299" max="11517" width="11.42578125" style="664"/>
    <col min="11518" max="11518" width="62" style="664" customWidth="1"/>
    <col min="11519" max="11554" width="11.7109375" style="664" customWidth="1"/>
    <col min="11555" max="11773" width="11.42578125" style="664"/>
    <col min="11774" max="11774" width="62" style="664" customWidth="1"/>
    <col min="11775" max="11810" width="11.7109375" style="664" customWidth="1"/>
    <col min="11811" max="12029" width="11.42578125" style="664"/>
    <col min="12030" max="12030" width="62" style="664" customWidth="1"/>
    <col min="12031" max="12066" width="11.7109375" style="664" customWidth="1"/>
    <col min="12067" max="12285" width="11.42578125" style="664"/>
    <col min="12286" max="12286" width="62" style="664" customWidth="1"/>
    <col min="12287" max="12322" width="11.7109375" style="664" customWidth="1"/>
    <col min="12323" max="12541" width="11.42578125" style="664"/>
    <col min="12542" max="12542" width="62" style="664" customWidth="1"/>
    <col min="12543" max="12578" width="11.7109375" style="664" customWidth="1"/>
    <col min="12579" max="12797" width="11.42578125" style="664"/>
    <col min="12798" max="12798" width="62" style="664" customWidth="1"/>
    <col min="12799" max="12834" width="11.7109375" style="664" customWidth="1"/>
    <col min="12835" max="13053" width="11.42578125" style="664"/>
    <col min="13054" max="13054" width="62" style="664" customWidth="1"/>
    <col min="13055" max="13090" width="11.7109375" style="664" customWidth="1"/>
    <col min="13091" max="13309" width="11.42578125" style="664"/>
    <col min="13310" max="13310" width="62" style="664" customWidth="1"/>
    <col min="13311" max="13346" width="11.7109375" style="664" customWidth="1"/>
    <col min="13347" max="13565" width="11.42578125" style="664"/>
    <col min="13566" max="13566" width="62" style="664" customWidth="1"/>
    <col min="13567" max="13602" width="11.7109375" style="664" customWidth="1"/>
    <col min="13603" max="13821" width="11.42578125" style="664"/>
    <col min="13822" max="13822" width="62" style="664" customWidth="1"/>
    <col min="13823" max="13858" width="11.7109375" style="664" customWidth="1"/>
    <col min="13859" max="14077" width="11.42578125" style="664"/>
    <col min="14078" max="14078" width="62" style="664" customWidth="1"/>
    <col min="14079" max="14114" width="11.7109375" style="664" customWidth="1"/>
    <col min="14115" max="14333" width="11.42578125" style="664"/>
    <col min="14334" max="14334" width="62" style="664" customWidth="1"/>
    <col min="14335" max="14370" width="11.7109375" style="664" customWidth="1"/>
    <col min="14371" max="14589" width="11.42578125" style="664"/>
    <col min="14590" max="14590" width="62" style="664" customWidth="1"/>
    <col min="14591" max="14626" width="11.7109375" style="664" customWidth="1"/>
    <col min="14627" max="14845" width="11.42578125" style="664"/>
    <col min="14846" max="14846" width="62" style="664" customWidth="1"/>
    <col min="14847" max="14882" width="11.7109375" style="664" customWidth="1"/>
    <col min="14883" max="15101" width="11.42578125" style="664"/>
    <col min="15102" max="15102" width="62" style="664" customWidth="1"/>
    <col min="15103" max="15138" width="11.7109375" style="664" customWidth="1"/>
    <col min="15139" max="15357" width="11.42578125" style="664"/>
    <col min="15358" max="15358" width="62" style="664" customWidth="1"/>
    <col min="15359" max="15394" width="11.7109375" style="664" customWidth="1"/>
    <col min="15395" max="15613" width="11.42578125" style="664"/>
    <col min="15614" max="15614" width="62" style="664" customWidth="1"/>
    <col min="15615" max="15650" width="11.7109375" style="664" customWidth="1"/>
    <col min="15651" max="15869" width="11.42578125" style="664"/>
    <col min="15870" max="15870" width="62" style="664" customWidth="1"/>
    <col min="15871" max="15906" width="11.7109375" style="664" customWidth="1"/>
    <col min="15907" max="16125" width="11.42578125" style="664"/>
    <col min="16126" max="16126" width="62" style="664" customWidth="1"/>
    <col min="16127" max="16162" width="11.7109375" style="664" customWidth="1"/>
    <col min="16163" max="16384" width="11.42578125" style="664"/>
  </cols>
  <sheetData>
    <row r="1" spans="1:51" ht="20.25" x14ac:dyDescent="0.3">
      <c r="A1" s="663" t="s">
        <v>261</v>
      </c>
      <c r="B1" s="564" t="s">
        <v>53</v>
      </c>
      <c r="AI1" s="665"/>
    </row>
    <row r="2" spans="1:51" ht="20.100000000000001" customHeight="1" x14ac:dyDescent="0.3">
      <c r="A2" s="663" t="s">
        <v>359</v>
      </c>
      <c r="AI2" s="665"/>
    </row>
    <row r="3" spans="1:51" ht="20.100000000000001" customHeight="1" x14ac:dyDescent="0.3">
      <c r="A3" s="666" t="s">
        <v>427</v>
      </c>
      <c r="AI3" s="667"/>
    </row>
    <row r="4" spans="1:51" ht="20.100000000000001" customHeight="1" x14ac:dyDescent="0.3">
      <c r="A4" s="570" t="s">
        <v>248</v>
      </c>
      <c r="B4" s="668"/>
      <c r="C4" s="669"/>
      <c r="D4" s="670"/>
      <c r="E4" s="718"/>
      <c r="F4" s="719"/>
      <c r="G4" s="720"/>
      <c r="H4" s="669"/>
      <c r="I4" s="669"/>
      <c r="J4" s="670"/>
      <c r="K4" s="668"/>
      <c r="L4" s="669"/>
      <c r="M4" s="670"/>
      <c r="N4" s="668"/>
      <c r="O4" s="669"/>
      <c r="P4" s="670"/>
      <c r="Q4" s="668"/>
      <c r="R4" s="669"/>
      <c r="S4" s="670"/>
      <c r="T4" s="668"/>
      <c r="U4" s="669"/>
      <c r="V4" s="670"/>
      <c r="W4" s="668"/>
      <c r="X4" s="669"/>
      <c r="Y4" s="670"/>
      <c r="Z4" s="668"/>
      <c r="AA4" s="669"/>
      <c r="AB4" s="670"/>
      <c r="AC4" s="668"/>
      <c r="AD4" s="669"/>
      <c r="AE4" s="670"/>
      <c r="AF4" s="668"/>
      <c r="AG4" s="671"/>
      <c r="AH4" s="670"/>
      <c r="AI4" s="672"/>
      <c r="AJ4" s="673"/>
      <c r="AK4" s="673"/>
      <c r="AL4" s="673"/>
      <c r="AM4" s="673"/>
      <c r="AN4" s="673"/>
      <c r="AO4" s="673"/>
      <c r="AP4" s="673"/>
      <c r="AQ4" s="673"/>
      <c r="AR4" s="673"/>
      <c r="AS4" s="673"/>
      <c r="AT4" s="673"/>
      <c r="AU4" s="673"/>
      <c r="AV4" s="673"/>
      <c r="AW4" s="673"/>
      <c r="AX4" s="673"/>
      <c r="AY4" s="673"/>
    </row>
    <row r="5" spans="1:51" ht="20.100000000000001" customHeight="1" x14ac:dyDescent="0.3">
      <c r="A5" s="674"/>
      <c r="B5" s="779" t="s">
        <v>264</v>
      </c>
      <c r="C5" s="780"/>
      <c r="D5" s="781"/>
      <c r="E5" s="779" t="s">
        <v>265</v>
      </c>
      <c r="F5" s="780"/>
      <c r="G5" s="781"/>
      <c r="H5" s="780" t="s">
        <v>266</v>
      </c>
      <c r="I5" s="780"/>
      <c r="J5" s="781"/>
      <c r="K5" s="779" t="s">
        <v>267</v>
      </c>
      <c r="L5" s="780"/>
      <c r="M5" s="781"/>
      <c r="N5" s="675" t="s">
        <v>268</v>
      </c>
      <c r="O5" s="676"/>
      <c r="P5" s="677"/>
      <c r="Q5" s="779" t="s">
        <v>65</v>
      </c>
      <c r="R5" s="780"/>
      <c r="S5" s="781"/>
      <c r="T5" s="675"/>
      <c r="U5" s="676"/>
      <c r="V5" s="677"/>
      <c r="W5" s="779" t="s">
        <v>269</v>
      </c>
      <c r="X5" s="780"/>
      <c r="Y5" s="781"/>
      <c r="Z5" s="779"/>
      <c r="AA5" s="780"/>
      <c r="AB5" s="781"/>
      <c r="AC5" s="779" t="s">
        <v>77</v>
      </c>
      <c r="AD5" s="780"/>
      <c r="AE5" s="781"/>
      <c r="AF5" s="779" t="s">
        <v>377</v>
      </c>
      <c r="AG5" s="780"/>
      <c r="AH5" s="781"/>
      <c r="AI5" s="678"/>
      <c r="AJ5" s="679"/>
      <c r="AK5" s="782"/>
      <c r="AL5" s="782"/>
      <c r="AM5" s="782"/>
      <c r="AN5" s="782"/>
      <c r="AO5" s="782"/>
      <c r="AP5" s="782"/>
      <c r="AQ5" s="782"/>
      <c r="AR5" s="782"/>
      <c r="AS5" s="782"/>
      <c r="AT5" s="782"/>
      <c r="AU5" s="782"/>
      <c r="AV5" s="782"/>
      <c r="AW5" s="782"/>
      <c r="AX5" s="782"/>
      <c r="AY5" s="782"/>
    </row>
    <row r="6" spans="1:51" ht="20.100000000000001" customHeight="1" x14ac:dyDescent="0.3">
      <c r="A6" s="680"/>
      <c r="B6" s="783" t="s">
        <v>270</v>
      </c>
      <c r="C6" s="784"/>
      <c r="D6" s="785"/>
      <c r="E6" s="783" t="s">
        <v>271</v>
      </c>
      <c r="F6" s="784"/>
      <c r="G6" s="785"/>
      <c r="H6" s="784" t="s">
        <v>271</v>
      </c>
      <c r="I6" s="784"/>
      <c r="J6" s="785"/>
      <c r="K6" s="783" t="s">
        <v>272</v>
      </c>
      <c r="L6" s="784"/>
      <c r="M6" s="785"/>
      <c r="N6" s="783" t="s">
        <v>65</v>
      </c>
      <c r="O6" s="784"/>
      <c r="P6" s="785"/>
      <c r="Q6" s="783" t="s">
        <v>273</v>
      </c>
      <c r="R6" s="784"/>
      <c r="S6" s="785"/>
      <c r="T6" s="783" t="s">
        <v>70</v>
      </c>
      <c r="U6" s="784"/>
      <c r="V6" s="785"/>
      <c r="W6" s="783" t="s">
        <v>270</v>
      </c>
      <c r="X6" s="784"/>
      <c r="Y6" s="785"/>
      <c r="Z6" s="783" t="s">
        <v>72</v>
      </c>
      <c r="AA6" s="784"/>
      <c r="AB6" s="785"/>
      <c r="AC6" s="783" t="s">
        <v>271</v>
      </c>
      <c r="AD6" s="784"/>
      <c r="AE6" s="785"/>
      <c r="AF6" s="783" t="s">
        <v>378</v>
      </c>
      <c r="AG6" s="784"/>
      <c r="AH6" s="785"/>
      <c r="AI6" s="678"/>
      <c r="AJ6" s="679"/>
      <c r="AK6" s="782"/>
      <c r="AL6" s="782"/>
      <c r="AM6" s="782"/>
      <c r="AN6" s="782"/>
      <c r="AO6" s="782"/>
      <c r="AP6" s="782"/>
      <c r="AQ6" s="782"/>
      <c r="AR6" s="782"/>
      <c r="AS6" s="782"/>
      <c r="AT6" s="782"/>
      <c r="AU6" s="782"/>
      <c r="AV6" s="782"/>
      <c r="AW6" s="782"/>
      <c r="AX6" s="782"/>
      <c r="AY6" s="782"/>
    </row>
    <row r="7" spans="1:51" ht="20.100000000000001" customHeight="1" x14ac:dyDescent="0.3">
      <c r="A7" s="680"/>
      <c r="B7" s="681"/>
      <c r="C7" s="681"/>
      <c r="D7" s="682" t="s">
        <v>85</v>
      </c>
      <c r="E7" s="681"/>
      <c r="F7" s="681"/>
      <c r="G7" s="682" t="s">
        <v>85</v>
      </c>
      <c r="H7" s="681"/>
      <c r="I7" s="681"/>
      <c r="J7" s="682" t="s">
        <v>85</v>
      </c>
      <c r="K7" s="681"/>
      <c r="L7" s="681"/>
      <c r="M7" s="682" t="s">
        <v>85</v>
      </c>
      <c r="N7" s="681"/>
      <c r="O7" s="681"/>
      <c r="P7" s="682" t="s">
        <v>85</v>
      </c>
      <c r="Q7" s="681"/>
      <c r="R7" s="681"/>
      <c r="S7" s="682" t="s">
        <v>85</v>
      </c>
      <c r="T7" s="681"/>
      <c r="U7" s="681"/>
      <c r="V7" s="682" t="s">
        <v>85</v>
      </c>
      <c r="W7" s="681"/>
      <c r="X7" s="681"/>
      <c r="Y7" s="682" t="s">
        <v>85</v>
      </c>
      <c r="Z7" s="681"/>
      <c r="AA7" s="681"/>
      <c r="AB7" s="682" t="s">
        <v>85</v>
      </c>
      <c r="AC7" s="681"/>
      <c r="AD7" s="681"/>
      <c r="AE7" s="682" t="s">
        <v>85</v>
      </c>
      <c r="AF7" s="681"/>
      <c r="AG7" s="681"/>
      <c r="AH7" s="682" t="s">
        <v>85</v>
      </c>
      <c r="AI7" s="678"/>
      <c r="AJ7" s="679"/>
      <c r="AK7" s="679"/>
      <c r="AL7" s="679"/>
      <c r="AM7" s="679"/>
      <c r="AN7" s="679"/>
      <c r="AO7" s="679"/>
      <c r="AP7" s="679"/>
      <c r="AQ7" s="679"/>
      <c r="AR7" s="679"/>
      <c r="AS7" s="679"/>
      <c r="AT7" s="679"/>
      <c r="AU7" s="679"/>
      <c r="AV7" s="679"/>
      <c r="AW7" s="679"/>
      <c r="AX7" s="679"/>
      <c r="AY7" s="679"/>
    </row>
    <row r="8" spans="1:51" ht="20.100000000000001" customHeight="1" x14ac:dyDescent="0.25">
      <c r="A8" s="683" t="s">
        <v>380</v>
      </c>
      <c r="B8" s="684">
        <v>2017</v>
      </c>
      <c r="C8" s="684">
        <v>2018</v>
      </c>
      <c r="D8" s="685" t="s">
        <v>87</v>
      </c>
      <c r="E8" s="684">
        <v>2017</v>
      </c>
      <c r="F8" s="684">
        <v>2018</v>
      </c>
      <c r="G8" s="685" t="s">
        <v>87</v>
      </c>
      <c r="H8" s="684">
        <v>2017</v>
      </c>
      <c r="I8" s="684">
        <v>2018</v>
      </c>
      <c r="J8" s="685" t="s">
        <v>87</v>
      </c>
      <c r="K8" s="684">
        <v>2017</v>
      </c>
      <c r="L8" s="684">
        <v>2018</v>
      </c>
      <c r="M8" s="685" t="s">
        <v>87</v>
      </c>
      <c r="N8" s="684">
        <v>2017</v>
      </c>
      <c r="O8" s="684">
        <v>2018</v>
      </c>
      <c r="P8" s="685" t="s">
        <v>87</v>
      </c>
      <c r="Q8" s="684">
        <v>2017</v>
      </c>
      <c r="R8" s="684">
        <v>2018</v>
      </c>
      <c r="S8" s="685" t="s">
        <v>87</v>
      </c>
      <c r="T8" s="684">
        <v>2017</v>
      </c>
      <c r="U8" s="684">
        <v>2018</v>
      </c>
      <c r="V8" s="685" t="s">
        <v>87</v>
      </c>
      <c r="W8" s="684">
        <v>2017</v>
      </c>
      <c r="X8" s="684">
        <v>2018</v>
      </c>
      <c r="Y8" s="685" t="s">
        <v>87</v>
      </c>
      <c r="Z8" s="684">
        <v>2017</v>
      </c>
      <c r="AA8" s="684">
        <v>2018</v>
      </c>
      <c r="AB8" s="685" t="s">
        <v>87</v>
      </c>
      <c r="AC8" s="684">
        <v>2017</v>
      </c>
      <c r="AD8" s="684">
        <v>2018</v>
      </c>
      <c r="AE8" s="685" t="s">
        <v>87</v>
      </c>
      <c r="AF8" s="684">
        <v>2017</v>
      </c>
      <c r="AG8" s="684">
        <v>2018</v>
      </c>
      <c r="AH8" s="685" t="s">
        <v>87</v>
      </c>
      <c r="AI8" s="678"/>
      <c r="AJ8" s="686"/>
      <c r="AK8" s="687"/>
      <c r="AL8" s="687"/>
      <c r="AM8" s="686"/>
      <c r="AN8" s="687"/>
      <c r="AO8" s="687"/>
      <c r="AP8" s="686"/>
      <c r="AQ8" s="687"/>
      <c r="AR8" s="687"/>
      <c r="AS8" s="686"/>
      <c r="AT8" s="687"/>
      <c r="AU8" s="687"/>
      <c r="AV8" s="686"/>
      <c r="AW8" s="687"/>
      <c r="AX8" s="687"/>
      <c r="AY8" s="686"/>
    </row>
    <row r="9" spans="1:51" s="696" customFormat="1" ht="20.100000000000001" customHeight="1" x14ac:dyDescent="0.3">
      <c r="A9" s="688"/>
      <c r="B9" s="689"/>
      <c r="C9" s="690"/>
      <c r="D9" s="691"/>
      <c r="E9" s="558"/>
      <c r="F9" s="691"/>
      <c r="G9" s="691"/>
      <c r="H9" s="558"/>
      <c r="I9" s="691"/>
      <c r="J9" s="691"/>
      <c r="K9" s="692"/>
      <c r="L9" s="693"/>
      <c r="M9" s="691"/>
      <c r="N9" s="558"/>
      <c r="O9" s="691"/>
      <c r="P9" s="691"/>
      <c r="Q9" s="692"/>
      <c r="R9" s="693"/>
      <c r="S9" s="691"/>
      <c r="T9" s="692"/>
      <c r="U9" s="693"/>
      <c r="V9" s="691"/>
      <c r="W9" s="558"/>
      <c r="X9" s="691"/>
      <c r="Y9" s="691"/>
      <c r="Z9" s="558"/>
      <c r="AA9" s="691"/>
      <c r="AB9" s="694"/>
      <c r="AC9" s="558"/>
      <c r="AD9" s="691"/>
      <c r="AE9" s="691"/>
      <c r="AF9" s="691"/>
      <c r="AG9" s="691"/>
      <c r="AH9" s="691"/>
      <c r="AI9" s="695"/>
      <c r="AJ9" s="695"/>
    </row>
    <row r="10" spans="1:51" s="701" customFormat="1" ht="20.100000000000001" customHeight="1" x14ac:dyDescent="0.3">
      <c r="A10" s="697" t="s">
        <v>428</v>
      </c>
      <c r="B10" s="698"/>
      <c r="C10" s="699"/>
      <c r="D10" s="691"/>
      <c r="E10" s="558"/>
      <c r="F10" s="691"/>
      <c r="G10" s="691"/>
      <c r="H10" s="558"/>
      <c r="I10" s="691"/>
      <c r="J10" s="691"/>
      <c r="K10" s="692"/>
      <c r="L10" s="693"/>
      <c r="M10" s="691"/>
      <c r="N10" s="558"/>
      <c r="O10" s="691"/>
      <c r="P10" s="691"/>
      <c r="Q10" s="692"/>
      <c r="R10" s="693"/>
      <c r="S10" s="691"/>
      <c r="T10" s="692"/>
      <c r="U10" s="693"/>
      <c r="V10" s="691"/>
      <c r="W10" s="692"/>
      <c r="X10" s="693"/>
      <c r="Y10" s="691"/>
      <c r="Z10" s="692"/>
      <c r="AA10" s="693"/>
      <c r="AB10" s="691"/>
      <c r="AC10" s="692"/>
      <c r="AD10" s="693"/>
      <c r="AE10" s="691"/>
      <c r="AF10" s="691"/>
      <c r="AG10" s="691"/>
      <c r="AH10" s="560"/>
      <c r="AI10" s="700"/>
      <c r="AJ10" s="700"/>
    </row>
    <row r="11" spans="1:51" s="701" customFormat="1" ht="20.100000000000001" customHeight="1" x14ac:dyDescent="0.3">
      <c r="A11" s="697" t="s">
        <v>437</v>
      </c>
      <c r="B11" s="698">
        <v>0.39</v>
      </c>
      <c r="C11" s="699">
        <v>0.88</v>
      </c>
      <c r="D11" s="560">
        <f>IF(B11=0, "    ---- ", IF(ABS(ROUND(100/B11*C11-100,1))&lt;999,ROUND(100/B11*C11-100,1),IF(ROUND(100/B11*C11-100,1)&gt;999,999,-999)))</f>
        <v>125.6</v>
      </c>
      <c r="E11" s="558">
        <v>1.03</v>
      </c>
      <c r="F11" s="691">
        <v>1.0900000000000001</v>
      </c>
      <c r="G11" s="560">
        <f>IF(E11=0, "    ---- ", IF(ABS(ROUND(100/E11*F11-100,1))&lt;999,ROUND(100/E11*F11-100,1),IF(ROUND(100/E11*F11-100,1)&gt;999,999,-999)))</f>
        <v>5.8</v>
      </c>
      <c r="H11" s="558"/>
      <c r="I11" s="691"/>
      <c r="J11" s="691"/>
      <c r="K11" s="692">
        <v>0.95599999999999996</v>
      </c>
      <c r="L11" s="693">
        <v>2.1259999999999999</v>
      </c>
      <c r="M11" s="560">
        <f>IF(K11=0, "    ---- ", IF(ABS(ROUND(100/K11*L11-100,1))&lt;999,ROUND(100/K11*L11-100,1),IF(ROUND(100/K11*L11-100,1)&gt;999,999,-999)))</f>
        <v>122.4</v>
      </c>
      <c r="N11" s="558">
        <v>0.61</v>
      </c>
      <c r="O11" s="691">
        <v>1.24</v>
      </c>
      <c r="P11" s="560">
        <f>IF(N11=0, "    ---- ", IF(ABS(ROUND(100/N11*O11-100,1))&lt;999,ROUND(100/N11*O11-100,1),IF(ROUND(100/N11*O11-100,1)&gt;999,999,-999)))</f>
        <v>103.3</v>
      </c>
      <c r="Q11" s="692">
        <v>0.61</v>
      </c>
      <c r="R11" s="693">
        <v>1.35</v>
      </c>
      <c r="S11" s="560">
        <f>IF(Q11=0, "    ---- ", IF(ABS(ROUND(100/Q11*R11-100,1))&lt;999,ROUND(100/Q11*R11-100,1),IF(ROUND(100/Q11*R11-100,1)&gt;999,999,-999)))</f>
        <v>121.3</v>
      </c>
      <c r="T11" s="692">
        <v>0.9</v>
      </c>
      <c r="U11" s="693">
        <v>1.1000000000000001</v>
      </c>
      <c r="V11" s="560">
        <f>IF(T11=0, "    ---- ", IF(ABS(ROUND(100/T11*U11-100,1))&lt;999,ROUND(100/T11*U11-100,1),IF(ROUND(100/T11*U11-100,1)&gt;999,999,-999)))</f>
        <v>22.2</v>
      </c>
      <c r="W11" s="692">
        <v>2.2200000000000002</v>
      </c>
      <c r="X11" s="693">
        <v>1.28</v>
      </c>
      <c r="Y11" s="560">
        <f>IF(W11=0, "    ---- ", IF(ABS(ROUND(100/W11*X11-100,1))&lt;999,ROUND(100/W11*X11-100,1),IF(ROUND(100/W11*X11-100,1)&gt;999,999,-999)))</f>
        <v>-42.3</v>
      </c>
      <c r="Z11" s="692">
        <v>0.98946196847062895</v>
      </c>
      <c r="AA11" s="693">
        <v>1.31142061934</v>
      </c>
      <c r="AB11" s="560">
        <f>IF(Z11=0, "    ---- ", IF(ABS(ROUND(100/Z11*AA11-100,1))&lt;999,ROUND(100/Z11*AA11-100,1),IF(ROUND(100/Z11*AA11-100,1)&gt;999,999,-999)))</f>
        <v>32.5</v>
      </c>
      <c r="AC11" s="692">
        <v>1.74</v>
      </c>
      <c r="AD11" s="693">
        <v>1</v>
      </c>
      <c r="AE11" s="560">
        <f>IF(AC11=0, "    ---- ", IF(ABS(ROUND(100/AC11*AD11-100,1))&lt;999,ROUND(100/AC11*AD11-100,1),IF(ROUND(100/AC11*AD11-100,1)&gt;999,999,-999)))</f>
        <v>-42.5</v>
      </c>
      <c r="AF11" s="560">
        <f>B11+E11+H11+K11+N11+Q11+T11+W11+Z11+AC11</f>
        <v>9.445461968470628</v>
      </c>
      <c r="AG11" s="560">
        <f>C11+F11+I11+L11+O11+R11+U11+X11+AA11+AD11</f>
        <v>11.377420619339999</v>
      </c>
      <c r="AH11" s="560">
        <f>IF(AF11=0, "    ---- ", IF(ABS(ROUND(100/AF11*AG11-100,1))&lt;999,ROUND(100/AF11*AG11-100,1),IF(ROUND(100/AF11*AG11-100,1)&gt;999,999,-999)))</f>
        <v>20.5</v>
      </c>
      <c r="AI11" s="700"/>
      <c r="AJ11" s="700"/>
    </row>
    <row r="12" spans="1:51" s="701" customFormat="1" ht="20.100000000000001" customHeight="1" x14ac:dyDescent="0.3">
      <c r="A12" s="697" t="s">
        <v>438</v>
      </c>
      <c r="B12" s="698">
        <v>1.37</v>
      </c>
      <c r="C12" s="699">
        <v>-0.27</v>
      </c>
      <c r="D12" s="560">
        <f>IF(B12=0, "    ---- ", IF(ABS(ROUND(100/B12*C12-100,1))&lt;999,ROUND(100/B12*C12-100,1),IF(ROUND(100/B12*C12-100,1)&gt;999,999,-999)))</f>
        <v>-119.7</v>
      </c>
      <c r="E12" s="558">
        <v>1.32</v>
      </c>
      <c r="F12" s="691">
        <v>0.54</v>
      </c>
      <c r="G12" s="560">
        <f>IF(E12=0, "    ---- ", IF(ABS(ROUND(100/E12*F12-100,1))&lt;999,ROUND(100/E12*F12-100,1),IF(ROUND(100/E12*F12-100,1)&gt;999,999,-999)))</f>
        <v>-59.1</v>
      </c>
      <c r="H12" s="558"/>
      <c r="I12" s="691"/>
      <c r="J12" s="691"/>
      <c r="K12" s="692">
        <v>1.046</v>
      </c>
      <c r="L12" s="693">
        <v>0.97599999999999998</v>
      </c>
      <c r="M12" s="560">
        <f>IF(K12=0, "    ---- ", IF(ABS(ROUND(100/K12*L12-100,1))&lt;999,ROUND(100/K12*L12-100,1),IF(ROUND(100/K12*L12-100,1)&gt;999,999,-999)))</f>
        <v>-6.7</v>
      </c>
      <c r="N12" s="558">
        <v>1.69</v>
      </c>
      <c r="O12" s="691">
        <v>-0.41</v>
      </c>
      <c r="P12" s="560">
        <f>IF(N12=0, "    ---- ", IF(ABS(ROUND(100/N12*O12-100,1))&lt;999,ROUND(100/N12*O12-100,1),IF(ROUND(100/N12*O12-100,1)&gt;999,999,-999)))</f>
        <v>-124.3</v>
      </c>
      <c r="Q12" s="692">
        <v>1.23</v>
      </c>
      <c r="R12" s="693">
        <v>0.36</v>
      </c>
      <c r="S12" s="560">
        <f>IF(Q12=0, "    ---- ", IF(ABS(ROUND(100/Q12*R12-100,1))&lt;999,ROUND(100/Q12*R12-100,1),IF(ROUND(100/Q12*R12-100,1)&gt;999,999,-999)))</f>
        <v>-70.7</v>
      </c>
      <c r="T12" s="692">
        <v>1.2</v>
      </c>
      <c r="U12" s="693">
        <v>0.6</v>
      </c>
      <c r="V12" s="560">
        <f>IF(T12=0, "    ---- ", IF(ABS(ROUND(100/T12*U12-100,1))&lt;999,ROUND(100/T12*U12-100,1),IF(ROUND(100/T12*U12-100,1)&gt;999,999,-999)))</f>
        <v>-50</v>
      </c>
      <c r="W12" s="692">
        <v>2.77</v>
      </c>
      <c r="X12" s="693">
        <v>0.56999999999999995</v>
      </c>
      <c r="Y12" s="560">
        <f>IF(W12=0, "    ---- ", IF(ABS(ROUND(100/W12*X12-100,1))&lt;999,ROUND(100/W12*X12-100,1),IF(ROUND(100/W12*X12-100,1)&gt;999,999,-999)))</f>
        <v>-79.400000000000006</v>
      </c>
      <c r="Z12" s="692">
        <v>1.63177168019244</v>
      </c>
      <c r="AA12" s="693">
        <v>3.2378821304024398E-2</v>
      </c>
      <c r="AB12" s="560">
        <f>IF(Z12=0, "    ---- ", IF(ABS(ROUND(100/Z12*AA12-100,1))&lt;999,ROUND(100/Z12*AA12-100,1),IF(ROUND(100/Z12*AA12-100,1)&gt;999,999,-999)))</f>
        <v>-98</v>
      </c>
      <c r="AC12" s="692">
        <v>1.52</v>
      </c>
      <c r="AD12" s="693">
        <v>0.23</v>
      </c>
      <c r="AE12" s="560">
        <f>IF(AC12=0, "    ---- ", IF(ABS(ROUND(100/AC12*AD12-100,1))&lt;999,ROUND(100/AC12*AD12-100,1),IF(ROUND(100/AC12*AD12-100,1)&gt;999,999,-999)))</f>
        <v>-84.9</v>
      </c>
      <c r="AF12" s="560">
        <f>B12+E12+H12+K12+N12+Q12+T12+W12+Z12+AC12</f>
        <v>13.777771680192441</v>
      </c>
      <c r="AG12" s="560">
        <f>C12+F12+I12+L12+O12+R12+U12+X12+AA12+AD12</f>
        <v>2.6283788213040244</v>
      </c>
      <c r="AH12" s="560">
        <f>IF(AF12=0, "    ---- ", IF(ABS(ROUND(100/AF12*AG12-100,1))&lt;999,ROUND(100/AF12*AG12-100,1),IF(ROUND(100/AF12*AG12-100,1)&gt;999,999,-999)))</f>
        <v>-80.900000000000006</v>
      </c>
      <c r="AI12" s="700"/>
      <c r="AJ12" s="700"/>
    </row>
    <row r="13" spans="1:51" s="701" customFormat="1" ht="20.100000000000001" customHeight="1" x14ac:dyDescent="0.3">
      <c r="A13" s="697"/>
      <c r="B13" s="698"/>
      <c r="C13" s="699"/>
      <c r="D13" s="691"/>
      <c r="E13" s="558"/>
      <c r="F13" s="691"/>
      <c r="G13" s="691"/>
      <c r="H13" s="558"/>
      <c r="I13" s="691"/>
      <c r="J13" s="691"/>
      <c r="K13" s="692"/>
      <c r="L13" s="693"/>
      <c r="M13" s="691"/>
      <c r="N13" s="558"/>
      <c r="O13" s="691"/>
      <c r="P13" s="691"/>
      <c r="Q13" s="692"/>
      <c r="R13" s="693"/>
      <c r="S13" s="691"/>
      <c r="T13" s="692"/>
      <c r="U13" s="693"/>
      <c r="V13" s="691"/>
      <c r="W13" s="692"/>
      <c r="X13" s="693"/>
      <c r="Y13" s="691"/>
      <c r="Z13" s="692"/>
      <c r="AA13" s="693"/>
      <c r="AB13" s="691"/>
      <c r="AC13" s="692"/>
      <c r="AD13" s="693"/>
      <c r="AE13" s="691"/>
      <c r="AF13" s="691"/>
      <c r="AG13" s="691"/>
      <c r="AH13" s="691"/>
      <c r="AI13" s="700"/>
      <c r="AJ13" s="700"/>
    </row>
    <row r="14" spans="1:51" s="701" customFormat="1" ht="20.100000000000001" customHeight="1" x14ac:dyDescent="0.3">
      <c r="A14" s="697" t="s">
        <v>439</v>
      </c>
      <c r="B14" s="698"/>
      <c r="C14" s="690"/>
      <c r="D14" s="560"/>
      <c r="E14" s="558">
        <v>23.63</v>
      </c>
      <c r="F14" s="691">
        <v>23.57</v>
      </c>
      <c r="G14" s="560">
        <f>IF(E14=0, "    ---- ", IF(ABS(ROUND(100/E14*F14-100,1))&lt;999,ROUND(100/E14*F14-100,1),IF(ROUND(100/E14*F14-100,1)&gt;999,999,-999)))</f>
        <v>-0.3</v>
      </c>
      <c r="H14" s="558">
        <v>25.2</v>
      </c>
      <c r="I14" s="691">
        <v>24.7</v>
      </c>
      <c r="J14" s="560">
        <f>IF(H14=0, "    ---- ", IF(ABS(ROUND(100/H14*I14-100,1))&lt;999,ROUND(100/H14*I14-100,1),IF(ROUND(100/H14*I14-100,1)&gt;999,999,-999)))</f>
        <v>-2</v>
      </c>
      <c r="K14" s="692">
        <v>20.170000000000002</v>
      </c>
      <c r="L14" s="693">
        <v>18.54</v>
      </c>
      <c r="M14" s="560">
        <f>IF(K14=0, "    ---- ", IF(ABS(ROUND(100/K14*L14-100,1))&lt;999,ROUND(100/K14*L14-100,1),IF(ROUND(100/K14*L14-100,1)&gt;999,999,-999)))</f>
        <v>-8.1</v>
      </c>
      <c r="N14" s="558">
        <v>26.12</v>
      </c>
      <c r="O14" s="691">
        <v>25.7</v>
      </c>
      <c r="P14" s="560">
        <f>IF(N14=0, "    ---- ", IF(ABS(ROUND(100/N14*O14-100,1))&lt;999,ROUND(100/N14*O14-100,1),IF(ROUND(100/N14*O14-100,1)&gt;999,999,-999)))</f>
        <v>-1.6</v>
      </c>
      <c r="Q14" s="692">
        <v>32.4</v>
      </c>
      <c r="R14" s="693">
        <v>43.4</v>
      </c>
      <c r="S14" s="560">
        <f>IF(Q14=0, "    ---- ", IF(ABS(ROUND(100/Q14*R14-100,1))&lt;999,ROUND(100/Q14*R14-100,1),IF(ROUND(100/Q14*R14-100,1)&gt;999,999,-999)))</f>
        <v>34</v>
      </c>
      <c r="T14" s="692">
        <v>30.3</v>
      </c>
      <c r="U14" s="693">
        <v>30.2</v>
      </c>
      <c r="V14" s="560">
        <f>IF(T14=0, "    ---- ", IF(ABS(ROUND(100/T14*U14-100,1))&lt;999,ROUND(100/T14*U14-100,1),IF(ROUND(100/T14*U14-100,1)&gt;999,999,-999)))</f>
        <v>-0.3</v>
      </c>
      <c r="W14" s="702">
        <v>39.316366522796052</v>
      </c>
      <c r="X14" s="703">
        <f>(1430+6594+1240+7101+10519+833)/(61002+2216)*100</f>
        <v>43.843525578158122</v>
      </c>
      <c r="Y14" s="560">
        <f>IF(W14=0, "    ---- ", IF(ABS(ROUND(100/W14*X14-100,1))&lt;999,ROUND(100/W14*X14-100,1),IF(ROUND(100/W14*X14-100,1)&gt;999,999,-999)))</f>
        <v>11.5</v>
      </c>
      <c r="Z14" s="692">
        <v>36.112046066327871</v>
      </c>
      <c r="AA14" s="704">
        <v>34.342008316814315</v>
      </c>
      <c r="AB14" s="560">
        <f>IF(Z14=0, "    ---- ", IF(ABS(ROUND(100/Z14*AA14-100,1))&lt;999,ROUND(100/Z14*AA14-100,1),IF(ROUND(100/Z14*AA14-100,1)&gt;999,999,-999)))</f>
        <v>-4.9000000000000004</v>
      </c>
      <c r="AC14" s="692">
        <v>23.3</v>
      </c>
      <c r="AD14" s="693">
        <v>23.6</v>
      </c>
      <c r="AE14" s="560">
        <f>IF(AC14=0, "    ---- ", IF(ABS(ROUND(100/AC14*AD14-100,1))&lt;999,ROUND(100/AC14*AD14-100,1),IF(ROUND(100/AC14*AD14-100,1)&gt;999,999,-999)))</f>
        <v>1.3</v>
      </c>
      <c r="AF14" s="560">
        <f>B14+E14+H14+K14+N14+Q14+T14+W14+Z14+AC14</f>
        <v>256.54841258912393</v>
      </c>
      <c r="AG14" s="560">
        <f>C14+F14+I14+L14+O14+R14+U14+X14+AA14+AD14</f>
        <v>267.89553389497246</v>
      </c>
      <c r="AH14" s="560">
        <f>IF(AF14=0, "    ---- ", IF(ABS(ROUND(100/AF14*AG14-100,1))&lt;999,ROUND(100/AF14*AG14-100,1),IF(ROUND(100/AF14*AG14-100,1)&gt;999,999,-999)))</f>
        <v>4.4000000000000004</v>
      </c>
      <c r="AI14" s="700"/>
      <c r="AJ14" s="700"/>
    </row>
    <row r="15" spans="1:51" s="701" customFormat="1" ht="20.100000000000001" customHeight="1" x14ac:dyDescent="0.3">
      <c r="A15" s="697"/>
      <c r="B15" s="698"/>
      <c r="C15" s="699"/>
      <c r="D15" s="691"/>
      <c r="E15" s="558"/>
      <c r="F15" s="691"/>
      <c r="G15" s="691"/>
      <c r="H15" s="558"/>
      <c r="I15" s="691"/>
      <c r="J15" s="691"/>
      <c r="K15" s="692"/>
      <c r="L15" s="693"/>
      <c r="M15" s="691"/>
      <c r="N15" s="558"/>
      <c r="O15" s="691"/>
      <c r="P15" s="691"/>
      <c r="Q15" s="692"/>
      <c r="R15" s="693"/>
      <c r="S15" s="691"/>
      <c r="T15" s="692"/>
      <c r="U15" s="693"/>
      <c r="V15" s="691"/>
      <c r="W15" s="692"/>
      <c r="X15" s="693"/>
      <c r="Y15" s="691"/>
      <c r="Z15" s="692"/>
      <c r="AA15" s="693"/>
      <c r="AB15" s="691"/>
      <c r="AC15" s="692"/>
      <c r="AD15" s="693"/>
      <c r="AE15" s="691"/>
      <c r="AF15" s="691"/>
      <c r="AG15" s="691"/>
      <c r="AH15" s="691"/>
      <c r="AI15" s="700"/>
      <c r="AJ15" s="700"/>
    </row>
    <row r="16" spans="1:51" s="701" customFormat="1" ht="20.100000000000001" customHeight="1" x14ac:dyDescent="0.3">
      <c r="A16" s="697" t="s">
        <v>440</v>
      </c>
      <c r="B16" s="705">
        <v>34.921999999999997</v>
      </c>
      <c r="C16" s="706">
        <v>33.517000000000003</v>
      </c>
      <c r="D16" s="560">
        <f>IF(B16=0, "    ---- ", IF(ABS(ROUND(100/B16*C16-100,1))&lt;999,ROUND(100/B16*C16-100,1),IF(ROUND(100/B16*C16-100,1)&gt;999,999,-999)))</f>
        <v>-4</v>
      </c>
      <c r="E16" s="559">
        <v>3057</v>
      </c>
      <c r="F16" s="560">
        <v>2157.3919999999998</v>
      </c>
      <c r="G16" s="560">
        <f>IF(E16=0, "    ---- ", IF(ABS(ROUND(100/E16*F16-100,1))&lt;999,ROUND(100/E16*F16-100,1),IF(ROUND(100/E16*F16-100,1)&gt;999,999,-999)))</f>
        <v>-29.4</v>
      </c>
      <c r="H16" s="559"/>
      <c r="I16" s="560"/>
      <c r="J16" s="560"/>
      <c r="K16" s="707">
        <v>33.268000000000001</v>
      </c>
      <c r="L16" s="708">
        <v>9.6</v>
      </c>
      <c r="M16" s="560">
        <f>IF(K16=0, "    ---- ", IF(ABS(ROUND(100/K16*L16-100,1))&lt;999,ROUND(100/K16*L16-100,1),IF(ROUND(100/K16*L16-100,1)&gt;999,999,-999)))</f>
        <v>-71.099999999999994</v>
      </c>
      <c r="N16" s="559">
        <v>33428.640172970001</v>
      </c>
      <c r="O16" s="560">
        <v>34656.238074000001</v>
      </c>
      <c r="P16" s="560">
        <f>IF(N16=0, "    ---- ", IF(ABS(ROUND(100/N16*O16-100,1))&lt;999,ROUND(100/N16*O16-100,1),IF(ROUND(100/N16*O16-100,1)&gt;999,999,-999)))</f>
        <v>3.7</v>
      </c>
      <c r="Q16" s="707">
        <v>77</v>
      </c>
      <c r="R16" s="708">
        <v>14.8</v>
      </c>
      <c r="S16" s="560">
        <f>IF(Q16=0, "    ---- ", IF(ABS(ROUND(100/Q16*R16-100,1))&lt;999,ROUND(100/Q16*R16-100,1),IF(ROUND(100/Q16*R16-100,1)&gt;999,999,-999)))</f>
        <v>-80.8</v>
      </c>
      <c r="T16" s="707">
        <v>1203</v>
      </c>
      <c r="U16" s="708">
        <v>1130</v>
      </c>
      <c r="V16" s="560">
        <f>IF(T16=0, "    ---- ", IF(ABS(ROUND(100/T16*U16-100,1))&lt;999,ROUND(100/T16*U16-100,1),IF(ROUND(100/T16*U16-100,1)&gt;999,999,-999)))</f>
        <v>-6.1</v>
      </c>
      <c r="W16" s="707">
        <v>9877</v>
      </c>
      <c r="X16" s="708">
        <v>10520</v>
      </c>
      <c r="Y16" s="560">
        <f>IF(W16=0, "    ---- ", IF(ABS(ROUND(100/W16*X16-100,1))&lt;999,ROUND(100/W16*X16-100,1),IF(ROUND(100/W16*X16-100,1)&gt;999,999,-999)))</f>
        <v>6.5</v>
      </c>
      <c r="Z16" s="707">
        <v>2026.4929999999999</v>
      </c>
      <c r="AA16" s="708">
        <v>2000.7460000000001</v>
      </c>
      <c r="AB16" s="560">
        <f>IF(Z16=0, "    ---- ", IF(ABS(ROUND(100/Z16*AA16-100,1))&lt;999,ROUND(100/Z16*AA16-100,1),IF(ROUND(100/Z16*AA16-100,1)&gt;999,999,-999)))</f>
        <v>-1.3</v>
      </c>
      <c r="AC16" s="707">
        <v>2321</v>
      </c>
      <c r="AD16" s="708">
        <v>2313</v>
      </c>
      <c r="AE16" s="560">
        <f>IF(AC16=0, "    ---- ", IF(ABS(ROUND(100/AC16*AD16-100,1))&lt;999,ROUND(100/AC16*AD16-100,1),IF(ROUND(100/AC16*AD16-100,1)&gt;999,999,-999)))</f>
        <v>-0.3</v>
      </c>
      <c r="AF16" s="560">
        <f>B16+E16+H16+K16+N16+Q16+T16+W16+Z16+AC16</f>
        <v>52058.323172970006</v>
      </c>
      <c r="AG16" s="560">
        <f>C16+F16+I16+L16+O16+R16+U16+X16+AA16+AD16</f>
        <v>52835.293074000001</v>
      </c>
      <c r="AH16" s="560">
        <f>IF(AF16=0, "    ---- ", IF(ABS(ROUND(100/AF16*AG16-100,1))&lt;999,ROUND(100/AF16*AG16-100,1),IF(ROUND(100/AF16*AG16-100,1)&gt;999,999,-999)))</f>
        <v>1.5</v>
      </c>
      <c r="AI16" s="700"/>
      <c r="AJ16" s="700"/>
    </row>
    <row r="17" spans="1:36" s="701" customFormat="1" ht="20.100000000000001" customHeight="1" x14ac:dyDescent="0.3">
      <c r="A17" s="697"/>
      <c r="B17" s="705"/>
      <c r="C17" s="706"/>
      <c r="D17" s="560"/>
      <c r="E17" s="559"/>
      <c r="F17" s="560"/>
      <c r="G17" s="560"/>
      <c r="H17" s="559"/>
      <c r="I17" s="560"/>
      <c r="J17" s="560"/>
      <c r="K17" s="707"/>
      <c r="L17" s="708"/>
      <c r="M17" s="560"/>
      <c r="N17" s="559"/>
      <c r="O17" s="560"/>
      <c r="P17" s="560"/>
      <c r="Q17" s="707"/>
      <c r="R17" s="708"/>
      <c r="S17" s="560"/>
      <c r="T17" s="707"/>
      <c r="U17" s="708"/>
      <c r="V17" s="560"/>
      <c r="W17" s="707"/>
      <c r="X17" s="708"/>
      <c r="Y17" s="560"/>
      <c r="Z17" s="707"/>
      <c r="AA17" s="708"/>
      <c r="AB17" s="560"/>
      <c r="AC17" s="707"/>
      <c r="AD17" s="708"/>
      <c r="AE17" s="560"/>
      <c r="AF17" s="560"/>
      <c r="AG17" s="560"/>
      <c r="AH17" s="560"/>
      <c r="AI17" s="700"/>
      <c r="AJ17" s="700"/>
    </row>
    <row r="18" spans="1:36" s="701" customFormat="1" ht="20.100000000000001" customHeight="1" x14ac:dyDescent="0.3">
      <c r="A18" s="709" t="s">
        <v>441</v>
      </c>
      <c r="B18" s="710"/>
      <c r="C18" s="711"/>
      <c r="D18" s="561"/>
      <c r="E18" s="562">
        <v>9045</v>
      </c>
      <c r="F18" s="561">
        <v>6332.6989999999996</v>
      </c>
      <c r="G18" s="561">
        <f>IF(E18=0, "    ---- ", IF(ABS(ROUND(100/E18*F18-100,1))&lt;999,ROUND(100/E18*F18-100,1),IF(ROUND(100/E18*F18-100,1)&gt;999,999,-999)))</f>
        <v>-30</v>
      </c>
      <c r="H18" s="562"/>
      <c r="I18" s="561"/>
      <c r="J18" s="561"/>
      <c r="K18" s="712"/>
      <c r="L18" s="713"/>
      <c r="M18" s="561"/>
      <c r="N18" s="562">
        <v>741</v>
      </c>
      <c r="O18" s="561">
        <v>-258</v>
      </c>
      <c r="P18" s="561">
        <f>IF(N18=0, "    ---- ", IF(ABS(ROUND(100/N18*O18-100,1))&lt;999,ROUND(100/N18*O18-100,1),IF(ROUND(100/N18*O18-100,1)&gt;999,999,-999)))</f>
        <v>-134.80000000000001</v>
      </c>
      <c r="Q18" s="714">
        <v>62</v>
      </c>
      <c r="R18" s="715">
        <v>38.5</v>
      </c>
      <c r="S18" s="561">
        <f>IF(Q18=0, "    ---- ", IF(ABS(ROUND(100/Q18*R18-100,1))&lt;999,ROUND(100/Q18*R18-100,1),IF(ROUND(100/Q18*R18-100,1)&gt;999,999,-999)))</f>
        <v>-37.9</v>
      </c>
      <c r="T18" s="714">
        <v>1888</v>
      </c>
      <c r="U18" s="715">
        <v>1189</v>
      </c>
      <c r="V18" s="561">
        <f>IF(T18=0, "    ---- ", IF(ABS(ROUND(100/T18*U18-100,1))&lt;999,ROUND(100/T18*U18-100,1),IF(ROUND(100/T18*U18-100,1)&gt;999,999,-999)))</f>
        <v>-37</v>
      </c>
      <c r="W18" s="714">
        <v>1274</v>
      </c>
      <c r="X18" s="715">
        <f>746+87</f>
        <v>833</v>
      </c>
      <c r="Y18" s="561">
        <f>IF(W18=0, "    ---- ", IF(ABS(ROUND(100/W18*X18-100,1))&lt;999,ROUND(100/W18*X18-100,1),IF(ROUND(100/W18*X18-100,1)&gt;999,999,-999)))</f>
        <v>-34.6</v>
      </c>
      <c r="Z18" s="714">
        <v>52.378999999999998</v>
      </c>
      <c r="AA18" s="715">
        <v>27.114000000000001</v>
      </c>
      <c r="AB18" s="561">
        <f>IF(Z18=0, "    ---- ", IF(ABS(ROUND(100/Z18*AA18-100,1))&lt;999,ROUND(100/Z18*AA18-100,1),IF(ROUND(100/Z18*AA18-100,1)&gt;999,999,-999)))</f>
        <v>-48.2</v>
      </c>
      <c r="AC18" s="714">
        <v>8814</v>
      </c>
      <c r="AD18" s="715">
        <v>6315</v>
      </c>
      <c r="AE18" s="561">
        <f>IF(AC18=0, "    ---- ", IF(ABS(ROUND(100/AC18*AD18-100,1))&lt;999,ROUND(100/AC18*AD18-100,1),IF(ROUND(100/AC18*AD18-100,1)&gt;999,999,-999)))</f>
        <v>-28.4</v>
      </c>
      <c r="AF18" s="561">
        <f>B18+E18+H18+K18+N18+Q18+T18+W18+Z18+AC18</f>
        <v>21876.379000000001</v>
      </c>
      <c r="AG18" s="561">
        <f>C18+F18+I18+L18+O18+R18+U18+X18+AA18+AD18</f>
        <v>14477.312999999998</v>
      </c>
      <c r="AH18" s="561">
        <f>IF(AF18=0, "    ---- ", IF(ABS(ROUND(100/AF18*AG18-100,1))&lt;999,ROUND(100/AF18*AG18-100,1),IF(ROUND(100/AF18*AG18-100,1)&gt;999,999,-999)))</f>
        <v>-33.799999999999997</v>
      </c>
      <c r="AI18" s="700"/>
      <c r="AJ18" s="700"/>
    </row>
    <row r="19" spans="1:36" ht="20.100000000000001" customHeight="1" x14ac:dyDescent="0.3">
      <c r="A19" s="716"/>
      <c r="N19" s="717"/>
      <c r="T19" s="717"/>
      <c r="AC19" s="717"/>
      <c r="AF19" s="717"/>
      <c r="AJ19" s="678"/>
    </row>
    <row r="20" spans="1:36" ht="20.100000000000001" customHeight="1" x14ac:dyDescent="0.2"/>
    <row r="21" spans="1:36" ht="20.100000000000001" customHeight="1" x14ac:dyDescent="0.2"/>
    <row r="22" spans="1:36" ht="20.100000000000001" customHeight="1" x14ac:dyDescent="0.2"/>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ht="20.100000000000001" customHeight="1" x14ac:dyDescent="0.2"/>
    <row r="29" spans="1:36" ht="20.100000000000001" customHeight="1" x14ac:dyDescent="0.2"/>
    <row r="30" spans="1:36" ht="20.100000000000001" customHeight="1" x14ac:dyDescent="0.2"/>
    <row r="31" spans="1:36" ht="20.100000000000001" customHeight="1" x14ac:dyDescent="0.2"/>
    <row r="32" spans="1:3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19.5" customHeight="1" x14ac:dyDescent="0.2"/>
    <row r="46" ht="19.5" customHeight="1" x14ac:dyDescent="0.2"/>
  </sheetData>
  <protectedRanges>
    <protectedRange sqref="W9:X10 B9:C10 B17:C18 E9:F10 H9:I13 H15:I18 K9:L10 N9:O10 T9:U10 Z9:AA18 AC9:AD10" name="Område1"/>
    <protectedRange sqref="B11:C16" name="Område1_1"/>
    <protectedRange sqref="E11:F18" name="Område1_2"/>
    <protectedRange sqref="N11:O18" name="Område1_3"/>
    <protectedRange sqref="H14:I14" name="Område1_4"/>
    <protectedRange sqref="T11:U18" name="Område1_5"/>
    <protectedRange sqref="W11:X18" name="Område1_6"/>
    <protectedRange sqref="K11:L18" name="Område1_7"/>
    <protectedRange sqref="AC11:AD18" name="Område1_8"/>
  </protectedRanges>
  <mergeCells count="30">
    <mergeCell ref="AT6:AV6"/>
    <mergeCell ref="AW6:AY6"/>
    <mergeCell ref="Z6:AB6"/>
    <mergeCell ref="AC6:AE6"/>
    <mergeCell ref="AF6:AH6"/>
    <mergeCell ref="AK6:AM6"/>
    <mergeCell ref="AN6:AP6"/>
    <mergeCell ref="AQ6:AS6"/>
    <mergeCell ref="AT5:AV5"/>
    <mergeCell ref="AW5:AY5"/>
    <mergeCell ref="B6:D6"/>
    <mergeCell ref="E6:G6"/>
    <mergeCell ref="H6:J6"/>
    <mergeCell ref="K6:M6"/>
    <mergeCell ref="N6:P6"/>
    <mergeCell ref="Q6:S6"/>
    <mergeCell ref="T6:V6"/>
    <mergeCell ref="W6:Y6"/>
    <mergeCell ref="Z5:AB5"/>
    <mergeCell ref="AC5:AE5"/>
    <mergeCell ref="AF5:AH5"/>
    <mergeCell ref="AK5:AM5"/>
    <mergeCell ref="AN5:AP5"/>
    <mergeCell ref="AQ5:AS5"/>
    <mergeCell ref="W5:Y5"/>
    <mergeCell ref="B5:D5"/>
    <mergeCell ref="E5:G5"/>
    <mergeCell ref="H5:J5"/>
    <mergeCell ref="K5:M5"/>
    <mergeCell ref="Q5:S5"/>
  </mergeCells>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72" man="1"/>
    <brk id="19" min="1" max="72" man="1"/>
    <brk id="25" min="1" max="72" man="1"/>
    <brk id="3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2" sqref="A2"/>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63"/>
      <c r="D2" s="363"/>
      <c r="E2" s="363"/>
    </row>
    <row r="3" spans="1:17" x14ac:dyDescent="0.2">
      <c r="A3" s="43" t="s">
        <v>52</v>
      </c>
    </row>
    <row r="4" spans="1:17" x14ac:dyDescent="0.2">
      <c r="C4" s="363"/>
      <c r="D4" s="363"/>
      <c r="E4" s="363"/>
      <c r="F4" s="363"/>
      <c r="G4" s="363"/>
      <c r="H4" s="363"/>
      <c r="I4" s="363"/>
      <c r="J4" s="363"/>
      <c r="K4" s="363"/>
    </row>
    <row r="6" spans="1:17" ht="15.75" x14ac:dyDescent="0.25">
      <c r="C6" s="370" t="s">
        <v>16</v>
      </c>
      <c r="D6" s="3"/>
      <c r="E6" s="370"/>
    </row>
    <row r="7" spans="1:17" ht="18.75" customHeight="1" x14ac:dyDescent="0.2">
      <c r="C7" s="3"/>
      <c r="D7" s="3"/>
      <c r="E7" s="50"/>
    </row>
    <row r="8" spans="1:17" ht="15.75" x14ac:dyDescent="0.25">
      <c r="B8" s="364">
        <v>1</v>
      </c>
      <c r="C8" s="365" t="s">
        <v>444</v>
      </c>
      <c r="E8" s="374"/>
    </row>
    <row r="9" spans="1:17" ht="31.5" x14ac:dyDescent="0.2">
      <c r="B9" s="364">
        <v>2</v>
      </c>
      <c r="C9" s="367" t="s">
        <v>367</v>
      </c>
      <c r="E9" s="8"/>
      <c r="Q9" s="3"/>
    </row>
    <row r="10" spans="1:17" ht="47.25" x14ac:dyDescent="0.2">
      <c r="B10" s="364">
        <v>3</v>
      </c>
      <c r="C10" s="365" t="s">
        <v>368</v>
      </c>
      <c r="E10" s="8"/>
    </row>
    <row r="11" spans="1:17" ht="47.25" x14ac:dyDescent="0.2">
      <c r="B11" s="364">
        <v>4</v>
      </c>
      <c r="C11" s="367" t="s">
        <v>369</v>
      </c>
      <c r="E11" s="8"/>
    </row>
    <row r="12" spans="1:17" ht="31.5" x14ac:dyDescent="0.2">
      <c r="B12" s="364">
        <v>5</v>
      </c>
      <c r="C12" s="365" t="s">
        <v>21</v>
      </c>
      <c r="E12" s="3"/>
    </row>
    <row r="13" spans="1:17" ht="15.75" x14ac:dyDescent="0.2">
      <c r="B13" s="364">
        <v>6</v>
      </c>
      <c r="C13" s="365" t="s">
        <v>445</v>
      </c>
      <c r="E13" s="3"/>
    </row>
    <row r="14" spans="1:17" ht="15.75" x14ac:dyDescent="0.2">
      <c r="B14" s="364">
        <v>7</v>
      </c>
      <c r="C14" s="365" t="s">
        <v>17</v>
      </c>
    </row>
    <row r="15" spans="1:17" ht="18.75" customHeight="1" x14ac:dyDescent="0.2">
      <c r="B15" s="364">
        <v>8</v>
      </c>
      <c r="C15" s="365" t="s">
        <v>18</v>
      </c>
    </row>
    <row r="16" spans="1:17" ht="18.75" customHeight="1" x14ac:dyDescent="0.2">
      <c r="B16" s="364">
        <v>9</v>
      </c>
      <c r="C16" s="365" t="s">
        <v>22</v>
      </c>
    </row>
    <row r="17" spans="2:9" ht="63" x14ac:dyDescent="0.25">
      <c r="B17" s="364">
        <v>10</v>
      </c>
      <c r="C17" s="365" t="s">
        <v>453</v>
      </c>
      <c r="E17" s="370"/>
    </row>
    <row r="18" spans="2:9" ht="15.75" x14ac:dyDescent="0.2">
      <c r="B18" s="364">
        <v>11</v>
      </c>
      <c r="C18" s="365" t="s">
        <v>19</v>
      </c>
      <c r="E18" s="8"/>
    </row>
    <row r="19" spans="2:9" ht="15.75" x14ac:dyDescent="0.2">
      <c r="B19" s="364">
        <v>12</v>
      </c>
      <c r="C19" s="365" t="s">
        <v>371</v>
      </c>
      <c r="E19" s="8"/>
    </row>
    <row r="20" spans="2:9" ht="15.75" x14ac:dyDescent="0.2">
      <c r="B20" s="364">
        <v>13</v>
      </c>
      <c r="C20" s="365" t="s">
        <v>20</v>
      </c>
      <c r="E20" s="3"/>
    </row>
    <row r="21" spans="2:9" ht="47.25" x14ac:dyDescent="0.2">
      <c r="B21" s="364">
        <v>14</v>
      </c>
      <c r="C21" s="365" t="s">
        <v>372</v>
      </c>
      <c r="E21" s="375"/>
    </row>
    <row r="22" spans="2:9" ht="31.5" x14ac:dyDescent="0.2">
      <c r="B22" s="364">
        <v>15</v>
      </c>
      <c r="C22" s="367" t="s">
        <v>431</v>
      </c>
      <c r="E22" s="3"/>
    </row>
    <row r="23" spans="2:9" ht="15.75" x14ac:dyDescent="0.25">
      <c r="B23" s="364">
        <v>16</v>
      </c>
      <c r="C23" s="369" t="s">
        <v>370</v>
      </c>
      <c r="D23" s="368"/>
      <c r="E23" s="363"/>
      <c r="F23" s="368"/>
      <c r="G23" s="2"/>
      <c r="H23" s="2"/>
      <c r="I23" s="2"/>
    </row>
    <row r="24" spans="2:9" ht="18.75" customHeight="1" x14ac:dyDescent="0.25">
      <c r="B24" s="366">
        <v>17</v>
      </c>
      <c r="C24" s="369" t="s">
        <v>373</v>
      </c>
    </row>
    <row r="25" spans="2:9" ht="18.75" customHeight="1" x14ac:dyDescent="0.25">
      <c r="B25" s="366"/>
      <c r="C25" s="372"/>
    </row>
    <row r="26" spans="2:9" ht="18.75" customHeight="1" x14ac:dyDescent="0.25">
      <c r="B26" s="366"/>
      <c r="C26" s="388"/>
    </row>
    <row r="27" spans="2:9" ht="18.75" customHeight="1" x14ac:dyDescent="0.2">
      <c r="C27" s="372"/>
    </row>
    <row r="28" spans="2:9" ht="18.75" customHeight="1" x14ac:dyDescent="0.2">
      <c r="C28" s="372"/>
    </row>
    <row r="29" spans="2:9" ht="18.75" customHeight="1" x14ac:dyDescent="0.2">
      <c r="C29" s="372"/>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73"/>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63"/>
      <c r="E50" s="363"/>
      <c r="F50" s="363"/>
      <c r="G50" s="363"/>
      <c r="H50" s="363"/>
      <c r="I50" s="363"/>
      <c r="J50" s="363"/>
      <c r="K50" s="363"/>
      <c r="L50" s="363"/>
      <c r="M50" s="363"/>
      <c r="N50" s="363"/>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O36"/>
  <sheetViews>
    <sheetView workbookViewId="0">
      <selection activeCell="C14" sqref="C14"/>
    </sheetView>
  </sheetViews>
  <sheetFormatPr baseColWidth="10" defaultColWidth="11.42578125" defaultRowHeight="12.75" x14ac:dyDescent="0.2"/>
  <cols>
    <col min="1" max="1" width="26.7109375" bestFit="1" customWidth="1"/>
    <col min="4" max="4" width="12.42578125" customWidth="1"/>
    <col min="6" max="6" width="39" bestFit="1" customWidth="1"/>
  </cols>
  <sheetData>
    <row r="1" spans="1:15" ht="15" x14ac:dyDescent="0.25">
      <c r="A1" t="s">
        <v>131</v>
      </c>
      <c r="B1" t="s">
        <v>132</v>
      </c>
      <c r="D1" s="142" t="s">
        <v>133</v>
      </c>
      <c r="E1" s="142" t="s">
        <v>134</v>
      </c>
      <c r="F1" s="142" t="s">
        <v>135</v>
      </c>
      <c r="H1" s="153" t="s">
        <v>215</v>
      </c>
      <c r="I1" s="154" t="s">
        <v>216</v>
      </c>
      <c r="K1" t="s">
        <v>222</v>
      </c>
      <c r="L1" t="s">
        <v>223</v>
      </c>
    </row>
    <row r="2" spans="1:15" ht="15" x14ac:dyDescent="0.25">
      <c r="A2">
        <v>2018</v>
      </c>
      <c r="B2">
        <v>1</v>
      </c>
      <c r="D2" s="143" t="s">
        <v>136</v>
      </c>
      <c r="E2" s="144" t="s">
        <v>137</v>
      </c>
      <c r="F2" s="142" t="s">
        <v>138</v>
      </c>
      <c r="H2" s="155">
        <v>1</v>
      </c>
      <c r="I2" s="155">
        <v>31</v>
      </c>
      <c r="K2">
        <v>2</v>
      </c>
      <c r="L2">
        <v>1</v>
      </c>
    </row>
    <row r="3" spans="1:15" ht="15" x14ac:dyDescent="0.25">
      <c r="A3" s="105" t="s">
        <v>213</v>
      </c>
      <c r="B3">
        <f>3*kvartal</f>
        <v>3</v>
      </c>
      <c r="D3" s="143" t="s">
        <v>139</v>
      </c>
      <c r="E3" s="144" t="s">
        <v>140</v>
      </c>
      <c r="F3" s="142" t="s">
        <v>89</v>
      </c>
      <c r="H3" s="155">
        <v>2</v>
      </c>
      <c r="I3" s="155">
        <v>28</v>
      </c>
      <c r="K3">
        <v>3</v>
      </c>
      <c r="L3">
        <v>0</v>
      </c>
    </row>
    <row r="4" spans="1:15" ht="15" x14ac:dyDescent="0.25">
      <c r="A4" s="105" t="s">
        <v>214</v>
      </c>
      <c r="B4">
        <f>VLOOKUP(Måned,Dager,2,FALSE)</f>
        <v>31</v>
      </c>
      <c r="D4" s="143" t="s">
        <v>141</v>
      </c>
      <c r="E4" s="144" t="s">
        <v>142</v>
      </c>
      <c r="F4" s="142" t="s">
        <v>143</v>
      </c>
      <c r="H4" s="155">
        <v>3</v>
      </c>
      <c r="I4" s="155">
        <v>31</v>
      </c>
      <c r="K4">
        <v>6</v>
      </c>
      <c r="L4" s="158">
        <v>1</v>
      </c>
    </row>
    <row r="5" spans="1:15" ht="15" x14ac:dyDescent="0.25">
      <c r="A5" s="105" t="s">
        <v>218</v>
      </c>
      <c r="B5" t="s">
        <v>219</v>
      </c>
      <c r="D5" s="143" t="s">
        <v>144</v>
      </c>
      <c r="E5" s="144" t="s">
        <v>145</v>
      </c>
      <c r="F5" s="142" t="s">
        <v>146</v>
      </c>
      <c r="H5" s="155">
        <v>4</v>
      </c>
      <c r="I5" s="155">
        <v>30</v>
      </c>
      <c r="K5">
        <v>7</v>
      </c>
      <c r="L5" s="158">
        <v>0</v>
      </c>
    </row>
    <row r="6" spans="1:15" x14ac:dyDescent="0.2">
      <c r="A6" s="105" t="s">
        <v>244</v>
      </c>
      <c r="B6">
        <v>8</v>
      </c>
      <c r="D6" s="145" t="s">
        <v>147</v>
      </c>
      <c r="E6" s="146" t="s">
        <v>148</v>
      </c>
      <c r="F6" s="147" t="s">
        <v>149</v>
      </c>
      <c r="H6" s="155">
        <v>5</v>
      </c>
      <c r="I6" s="155">
        <v>31</v>
      </c>
      <c r="K6">
        <v>10</v>
      </c>
      <c r="L6" s="158">
        <v>1</v>
      </c>
    </row>
    <row r="7" spans="1:15" x14ac:dyDescent="0.2">
      <c r="A7" s="105" t="s">
        <v>245</v>
      </c>
      <c r="B7">
        <v>3</v>
      </c>
      <c r="D7" s="145" t="s">
        <v>150</v>
      </c>
      <c r="E7" s="146" t="s">
        <v>151</v>
      </c>
      <c r="F7" s="147" t="s">
        <v>152</v>
      </c>
      <c r="H7" s="155">
        <v>6</v>
      </c>
      <c r="I7" s="155">
        <v>30</v>
      </c>
      <c r="K7">
        <v>11</v>
      </c>
      <c r="L7" s="158">
        <v>0</v>
      </c>
    </row>
    <row r="8" spans="1:15" x14ac:dyDescent="0.2">
      <c r="D8" s="145" t="s">
        <v>153</v>
      </c>
      <c r="E8" s="146" t="s">
        <v>154</v>
      </c>
      <c r="F8" s="147" t="s">
        <v>155</v>
      </c>
      <c r="H8" s="155">
        <v>7</v>
      </c>
      <c r="I8" s="155">
        <v>31</v>
      </c>
    </row>
    <row r="9" spans="1:15" x14ac:dyDescent="0.2">
      <c r="D9" s="145" t="s">
        <v>156</v>
      </c>
      <c r="E9" s="146" t="s">
        <v>157</v>
      </c>
      <c r="F9" s="147" t="s">
        <v>158</v>
      </c>
      <c r="H9" s="155">
        <v>8</v>
      </c>
      <c r="I9" s="155">
        <v>31</v>
      </c>
      <c r="K9" s="379"/>
      <c r="L9" s="379"/>
      <c r="M9" s="379"/>
      <c r="N9" s="379"/>
      <c r="O9" s="379"/>
    </row>
    <row r="10" spans="1:15" x14ac:dyDescent="0.2">
      <c r="C10" s="158"/>
      <c r="D10" s="145" t="s">
        <v>159</v>
      </c>
      <c r="E10" s="146" t="s">
        <v>160</v>
      </c>
      <c r="F10" s="147" t="s">
        <v>96</v>
      </c>
      <c r="H10" s="155">
        <v>9</v>
      </c>
      <c r="I10" s="155">
        <v>30</v>
      </c>
      <c r="K10" s="301"/>
      <c r="L10" s="379"/>
      <c r="M10" s="379"/>
      <c r="N10" s="379"/>
      <c r="O10" s="379"/>
    </row>
    <row r="11" spans="1:15" x14ac:dyDescent="0.2">
      <c r="C11" s="158"/>
      <c r="D11" s="145" t="s">
        <v>161</v>
      </c>
      <c r="E11" s="146" t="s">
        <v>162</v>
      </c>
      <c r="F11" s="147" t="s">
        <v>163</v>
      </c>
      <c r="H11" s="155">
        <v>10</v>
      </c>
      <c r="I11" s="155">
        <v>31</v>
      </c>
    </row>
    <row r="12" spans="1:15" x14ac:dyDescent="0.2">
      <c r="C12" s="158"/>
      <c r="D12" s="145" t="s">
        <v>164</v>
      </c>
      <c r="E12" s="146" t="s">
        <v>165</v>
      </c>
      <c r="F12" s="147" t="s">
        <v>98</v>
      </c>
      <c r="H12" s="155">
        <v>11</v>
      </c>
      <c r="I12" s="155">
        <v>30</v>
      </c>
    </row>
    <row r="13" spans="1:15" x14ac:dyDescent="0.2">
      <c r="C13" s="158"/>
      <c r="D13" s="145" t="s">
        <v>166</v>
      </c>
      <c r="E13" s="146" t="s">
        <v>167</v>
      </c>
      <c r="F13" s="147" t="s">
        <v>65</v>
      </c>
      <c r="H13" s="155">
        <v>12</v>
      </c>
      <c r="I13" s="156">
        <v>31</v>
      </c>
    </row>
    <row r="14" spans="1:15" x14ac:dyDescent="0.2">
      <c r="C14" s="158"/>
      <c r="D14" s="148" t="s">
        <v>168</v>
      </c>
      <c r="E14" s="149" t="s">
        <v>169</v>
      </c>
      <c r="F14" s="147" t="s">
        <v>100</v>
      </c>
    </row>
    <row r="15" spans="1:15" x14ac:dyDescent="0.2">
      <c r="D15" s="145" t="s">
        <v>170</v>
      </c>
      <c r="E15" s="146" t="s">
        <v>171</v>
      </c>
      <c r="F15" s="147" t="s">
        <v>172</v>
      </c>
    </row>
    <row r="16" spans="1:15" x14ac:dyDescent="0.2">
      <c r="D16" s="145" t="s">
        <v>173</v>
      </c>
      <c r="E16" s="146" t="s">
        <v>144</v>
      </c>
      <c r="F16" s="147" t="s">
        <v>174</v>
      </c>
    </row>
    <row r="17" spans="4:6" x14ac:dyDescent="0.2">
      <c r="D17" s="145" t="s">
        <v>175</v>
      </c>
      <c r="E17" s="146" t="s">
        <v>176</v>
      </c>
      <c r="F17" s="147" t="s">
        <v>103</v>
      </c>
    </row>
    <row r="18" spans="4:6" x14ac:dyDescent="0.2">
      <c r="D18" s="145" t="s">
        <v>177</v>
      </c>
      <c r="E18" s="146" t="s">
        <v>170</v>
      </c>
      <c r="F18" s="147" t="s">
        <v>178</v>
      </c>
    </row>
    <row r="19" spans="4:6" x14ac:dyDescent="0.2">
      <c r="D19" s="148" t="s">
        <v>179</v>
      </c>
      <c r="E19" s="149" t="s">
        <v>180</v>
      </c>
      <c r="F19" s="147" t="s">
        <v>181</v>
      </c>
    </row>
    <row r="20" spans="4:6" x14ac:dyDescent="0.2">
      <c r="D20" s="438" t="s">
        <v>182</v>
      </c>
      <c r="E20" s="149" t="s">
        <v>136</v>
      </c>
      <c r="F20" s="147" t="s">
        <v>183</v>
      </c>
    </row>
    <row r="21" spans="4:6" x14ac:dyDescent="0.2">
      <c r="D21" s="145" t="s">
        <v>176</v>
      </c>
      <c r="E21" s="146" t="s">
        <v>150</v>
      </c>
      <c r="F21" s="147" t="s">
        <v>184</v>
      </c>
    </row>
    <row r="22" spans="4:6" x14ac:dyDescent="0.2">
      <c r="D22" s="148" t="s">
        <v>185</v>
      </c>
      <c r="E22" s="149" t="s">
        <v>186</v>
      </c>
      <c r="F22" s="147" t="s">
        <v>187</v>
      </c>
    </row>
    <row r="23" spans="4:6" x14ac:dyDescent="0.2">
      <c r="D23" s="145" t="s">
        <v>188</v>
      </c>
      <c r="E23" s="150">
        <v>22</v>
      </c>
      <c r="F23" s="147" t="s">
        <v>106</v>
      </c>
    </row>
    <row r="24" spans="4:6" x14ac:dyDescent="0.2">
      <c r="D24" s="145" t="s">
        <v>162</v>
      </c>
      <c r="E24" s="150">
        <v>23</v>
      </c>
      <c r="F24" s="147" t="s">
        <v>189</v>
      </c>
    </row>
    <row r="25" spans="4:6" x14ac:dyDescent="0.2">
      <c r="D25" s="437" t="s">
        <v>190</v>
      </c>
      <c r="E25" s="150">
        <v>24</v>
      </c>
      <c r="F25" s="147" t="s">
        <v>191</v>
      </c>
    </row>
    <row r="26" spans="4:6" x14ac:dyDescent="0.2">
      <c r="D26" s="145" t="s">
        <v>192</v>
      </c>
      <c r="E26" s="150">
        <v>25</v>
      </c>
      <c r="F26" s="147" t="s">
        <v>193</v>
      </c>
    </row>
    <row r="27" spans="4:6" x14ac:dyDescent="0.2">
      <c r="D27" s="145" t="s">
        <v>194</v>
      </c>
      <c r="E27" s="150">
        <v>26</v>
      </c>
      <c r="F27" s="147" t="s">
        <v>76</v>
      </c>
    </row>
    <row r="28" spans="4:6" x14ac:dyDescent="0.2">
      <c r="D28" s="148" t="s">
        <v>195</v>
      </c>
      <c r="E28" s="151">
        <v>27</v>
      </c>
      <c r="F28" s="147" t="s">
        <v>196</v>
      </c>
    </row>
    <row r="29" spans="4:6" ht="15" x14ac:dyDescent="0.25">
      <c r="D29" s="148" t="s">
        <v>197</v>
      </c>
      <c r="E29" s="151">
        <v>28</v>
      </c>
      <c r="F29" s="152" t="s">
        <v>198</v>
      </c>
    </row>
    <row r="30" spans="4:6" x14ac:dyDescent="0.2">
      <c r="D30" s="148" t="s">
        <v>199</v>
      </c>
      <c r="E30" s="151">
        <v>29</v>
      </c>
      <c r="F30" s="147" t="s">
        <v>200</v>
      </c>
    </row>
    <row r="31" spans="4:6" x14ac:dyDescent="0.2">
      <c r="D31" s="148" t="s">
        <v>201</v>
      </c>
      <c r="E31" s="151">
        <v>30</v>
      </c>
      <c r="F31" s="147" t="s">
        <v>202</v>
      </c>
    </row>
    <row r="32" spans="4:6" x14ac:dyDescent="0.2">
      <c r="D32" s="148" t="s">
        <v>203</v>
      </c>
      <c r="E32" s="151">
        <v>31</v>
      </c>
      <c r="F32" s="147" t="s">
        <v>204</v>
      </c>
    </row>
    <row r="33" spans="4:6" x14ac:dyDescent="0.2">
      <c r="D33" s="148" t="s">
        <v>205</v>
      </c>
      <c r="E33" s="151">
        <v>32</v>
      </c>
      <c r="F33" s="147" t="s">
        <v>206</v>
      </c>
    </row>
    <row r="34" spans="4:6" x14ac:dyDescent="0.2">
      <c r="D34" s="148" t="s">
        <v>207</v>
      </c>
      <c r="E34" s="151">
        <v>33</v>
      </c>
      <c r="F34" s="147" t="s">
        <v>208</v>
      </c>
    </row>
    <row r="35" spans="4:6" x14ac:dyDescent="0.2">
      <c r="D35" s="148" t="s">
        <v>209</v>
      </c>
      <c r="E35" s="151">
        <v>34</v>
      </c>
      <c r="F35" s="147" t="s">
        <v>210</v>
      </c>
    </row>
    <row r="36" spans="4:6" x14ac:dyDescent="0.2">
      <c r="D36" s="148" t="s">
        <v>211</v>
      </c>
      <c r="E36" s="151">
        <v>35</v>
      </c>
      <c r="F36" s="147" t="s">
        <v>212</v>
      </c>
    </row>
  </sheetData>
  <pageMargins left="0.7" right="0.7" top="0.78740157499999996" bottom="0.78740157499999996" header="0.3" footer="0.3"/>
  <pageSetup paperSize="9"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F111"/>
  <sheetViews>
    <sheetView showGridLines="0" showZeros="0" zoomScale="90" zoomScaleNormal="90" workbookViewId="0">
      <pane ySplit="7" topLeftCell="A8"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205" hidden="1" customWidth="1"/>
    <col min="13" max="13" width="13.85546875" style="205" hidden="1" customWidth="1"/>
    <col min="14" max="15" width="15.7109375" style="205" hidden="1" customWidth="1"/>
    <col min="16" max="16" width="11.42578125" style="87" hidden="1" customWidth="1"/>
    <col min="17" max="19" width="11.42578125" style="87" customWidth="1"/>
    <col min="20" max="16384" width="11.42578125" style="87"/>
  </cols>
  <sheetData>
    <row r="1" spans="1:16" ht="20.25" x14ac:dyDescent="0.3">
      <c r="A1" s="80" t="s">
        <v>81</v>
      </c>
      <c r="B1" s="73" t="s">
        <v>53</v>
      </c>
      <c r="C1" s="74"/>
      <c r="D1" s="74"/>
      <c r="E1" s="74"/>
      <c r="F1" s="74"/>
      <c r="G1" s="74"/>
      <c r="H1" s="74"/>
      <c r="I1" s="74"/>
      <c r="J1" s="74"/>
      <c r="K1" s="74"/>
    </row>
    <row r="2" spans="1:16" ht="20.25" x14ac:dyDescent="0.3">
      <c r="A2" s="80" t="s">
        <v>82</v>
      </c>
      <c r="B2" s="74"/>
      <c r="C2" s="74"/>
      <c r="D2" s="74"/>
      <c r="E2" s="74"/>
      <c r="F2" s="74"/>
      <c r="G2" s="74"/>
      <c r="H2" s="74"/>
      <c r="I2" s="74"/>
      <c r="J2" s="74"/>
      <c r="K2" s="74"/>
    </row>
    <row r="3" spans="1:16" ht="18.75" x14ac:dyDescent="0.3">
      <c r="A3" s="733" t="s">
        <v>83</v>
      </c>
      <c r="B3" s="733"/>
      <c r="C3" s="74"/>
      <c r="D3" s="74"/>
      <c r="E3" s="74"/>
      <c r="F3" s="74"/>
      <c r="G3" s="74"/>
      <c r="H3" s="74"/>
      <c r="I3" s="74"/>
      <c r="J3" s="74"/>
      <c r="K3" s="74"/>
    </row>
    <row r="4" spans="1:16" ht="18.75" x14ac:dyDescent="0.3">
      <c r="A4" s="82" t="str">
        <f>Dag&amp;".0"&amp;Måned&amp;"."</f>
        <v>31.03.</v>
      </c>
      <c r="B4" s="83"/>
      <c r="C4" s="84"/>
      <c r="D4" s="84"/>
      <c r="E4" s="85"/>
      <c r="F4" s="86"/>
      <c r="G4" s="83"/>
      <c r="H4" s="84"/>
      <c r="I4" s="84"/>
      <c r="J4" s="85"/>
      <c r="K4" s="114"/>
      <c r="L4" s="227"/>
      <c r="M4" s="228"/>
      <c r="N4" s="229"/>
      <c r="O4" s="228"/>
    </row>
    <row r="5" spans="1:16" ht="22.5" x14ac:dyDescent="0.3">
      <c r="A5" s="88"/>
      <c r="B5" s="734" t="s">
        <v>84</v>
      </c>
      <c r="C5" s="735"/>
      <c r="D5" s="735"/>
      <c r="E5" s="736"/>
      <c r="F5" s="90"/>
      <c r="G5" s="734" t="s">
        <v>464</v>
      </c>
      <c r="H5" s="735"/>
      <c r="I5" s="735"/>
      <c r="J5" s="736"/>
      <c r="K5" s="89"/>
      <c r="L5" s="737" t="s">
        <v>220</v>
      </c>
      <c r="M5" s="732"/>
      <c r="N5" s="731" t="s">
        <v>221</v>
      </c>
      <c r="O5" s="732"/>
    </row>
    <row r="6" spans="1:16" ht="18.75" x14ac:dyDescent="0.3">
      <c r="A6" s="91"/>
      <c r="B6" s="92"/>
      <c r="C6" s="93"/>
      <c r="D6" s="93" t="s">
        <v>85</v>
      </c>
      <c r="E6" s="94" t="s">
        <v>30</v>
      </c>
      <c r="F6" s="95"/>
      <c r="G6" s="92"/>
      <c r="H6" s="93"/>
      <c r="I6" s="93" t="s">
        <v>85</v>
      </c>
      <c r="J6" s="94" t="s">
        <v>30</v>
      </c>
      <c r="K6" s="100"/>
      <c r="L6" s="230"/>
      <c r="M6" s="231"/>
      <c r="N6" s="232"/>
      <c r="O6" s="231"/>
    </row>
    <row r="7" spans="1:16" ht="15.75" x14ac:dyDescent="0.25">
      <c r="A7" s="96" t="s">
        <v>86</v>
      </c>
      <c r="B7" s="97">
        <v>2017</v>
      </c>
      <c r="C7" s="97">
        <v>2018</v>
      </c>
      <c r="D7" s="98" t="s">
        <v>87</v>
      </c>
      <c r="E7" s="99" t="s">
        <v>31</v>
      </c>
      <c r="F7" s="95"/>
      <c r="G7" s="97">
        <v>2017</v>
      </c>
      <c r="H7" s="97">
        <v>2018</v>
      </c>
      <c r="I7" s="98" t="s">
        <v>87</v>
      </c>
      <c r="J7" s="99" t="s">
        <v>31</v>
      </c>
      <c r="K7" s="100"/>
      <c r="L7" s="233">
        <v>2015</v>
      </c>
      <c r="M7" s="234">
        <v>2016</v>
      </c>
      <c r="N7" s="235">
        <v>2015</v>
      </c>
      <c r="O7" s="234">
        <v>2016</v>
      </c>
      <c r="P7" s="87" t="s">
        <v>226</v>
      </c>
    </row>
    <row r="8" spans="1:16" ht="18.75" x14ac:dyDescent="0.3">
      <c r="A8" s="101" t="s">
        <v>0</v>
      </c>
      <c r="B8" s="131"/>
      <c r="C8" s="103"/>
      <c r="D8" s="104"/>
      <c r="E8" s="445"/>
      <c r="F8" s="194"/>
      <c r="G8" s="131"/>
      <c r="H8" s="131"/>
      <c r="I8" s="103"/>
      <c r="J8" s="445"/>
      <c r="K8" s="141"/>
      <c r="L8" s="236" t="s">
        <v>0</v>
      </c>
      <c r="M8" s="237"/>
      <c r="N8" s="238"/>
      <c r="O8" s="237"/>
      <c r="P8" s="87" t="s">
        <v>234</v>
      </c>
    </row>
    <row r="9" spans="1:16" ht="18.75" x14ac:dyDescent="0.3">
      <c r="A9" s="209" t="s">
        <v>88</v>
      </c>
      <c r="B9" s="194">
        <f>'ACE European Group'!B7+'ACE European Group'!B22+'ACE European Group'!B36+'ACE European Group'!B47+'ACE European Group'!B66+'ACE European Group'!B134</f>
        <v>0</v>
      </c>
      <c r="C9" s="194">
        <f>'ACE European Group'!C7+'ACE European Group'!C22+'ACE European Group'!C36+'ACE European Group'!C47+'ACE European Group'!C66+'ACE European Group'!C134</f>
        <v>0</v>
      </c>
      <c r="D9" s="104"/>
      <c r="E9" s="445">
        <f t="shared" ref="E9:E29" si="0">100/C$30*C9</f>
        <v>0</v>
      </c>
      <c r="F9" s="103"/>
      <c r="G9" s="194">
        <f>'ACE European Group'!B10+'ACE European Group'!B29+'ACE European Group'!B37+'ACE European Group'!B87+'ACE European Group'!B135</f>
        <v>0</v>
      </c>
      <c r="H9" s="194">
        <f>'ACE European Group'!C10+'ACE European Group'!C29+'ACE European Group'!C37+'ACE European Group'!C87+'ACE European Group'!C135</f>
        <v>0</v>
      </c>
      <c r="I9" s="104"/>
      <c r="J9" s="445">
        <f t="shared" ref="J9:J29" si="1">100/H$30*H9</f>
        <v>0</v>
      </c>
      <c r="K9" s="223" t="s">
        <v>230</v>
      </c>
      <c r="L9" s="239">
        <f t="shared" ref="L9:L25" ca="1" si="2">INDIRECT("'" &amp; $A9 &amp; "'!" &amp; $P$7)</f>
        <v>0</v>
      </c>
      <c r="M9" s="237">
        <f t="shared" ref="M9:M25" ca="1" si="3">INDIRECT("'" &amp; $A9 &amp; "'!" &amp; $P$8)</f>
        <v>0</v>
      </c>
      <c r="N9" s="239">
        <f t="shared" ref="N9:N25" ca="1" si="4">INDIRECT("'" &amp; $A9 &amp; "'!" &amp; $P$9)</f>
        <v>0</v>
      </c>
      <c r="O9" s="237">
        <f t="shared" ref="O9:O25" ca="1" si="5">INDIRECT("'" &amp; $A9 &amp; "'!" &amp; $P$10)</f>
        <v>0</v>
      </c>
      <c r="P9" s="87" t="s">
        <v>238</v>
      </c>
    </row>
    <row r="10" spans="1:16" ht="18.75" x14ac:dyDescent="0.3">
      <c r="A10" s="209" t="s">
        <v>89</v>
      </c>
      <c r="B10" s="194">
        <f>'Danica Pensjonsforsikring'!B7+'Danica Pensjonsforsikring'!B22+'Danica Pensjonsforsikring'!B36+'Danica Pensjonsforsikring'!B47+'Danica Pensjonsforsikring'!B66+'Danica Pensjonsforsikring'!B134</f>
        <v>101335.864</v>
      </c>
      <c r="C10" s="194">
        <f>'Danica Pensjonsforsikring'!C7+'Danica Pensjonsforsikring'!C22+'Danica Pensjonsforsikring'!C36+'Danica Pensjonsforsikring'!C47+'Danica Pensjonsforsikring'!C66+'Danica Pensjonsforsikring'!C134</f>
        <v>105522.829</v>
      </c>
      <c r="D10" s="104">
        <f t="shared" ref="D10:D30" si="6">IF(B10=0, "    ---- ", IF(ABS(ROUND(100/B10*C10-100,1))&lt;999,ROUND(100/B10*C10-100,1),IF(ROUND(100/B10*C10-100,1)&gt;999,999,-999)))</f>
        <v>4.0999999999999996</v>
      </c>
      <c r="E10" s="445">
        <f t="shared" si="0"/>
        <v>0.69177311344318171</v>
      </c>
      <c r="F10" s="103"/>
      <c r="G10" s="194">
        <f>'Danica Pensjonsforsikring'!B10+'Danica Pensjonsforsikring'!B29+'Danica Pensjonsforsikring'!B37+'Danica Pensjonsforsikring'!B87+'Danica Pensjonsforsikring'!B135</f>
        <v>982925.81900000002</v>
      </c>
      <c r="H10" s="194">
        <f>'Danica Pensjonsforsikring'!C10+'Danica Pensjonsforsikring'!C29+'Danica Pensjonsforsikring'!C37+'Danica Pensjonsforsikring'!C87+'Danica Pensjonsforsikring'!C135</f>
        <v>1056297.5660000001</v>
      </c>
      <c r="I10" s="104">
        <f t="shared" ref="I10:I30" si="7">IF(G10=0, "    ---- ", IF(ABS(ROUND(100/G10*H10-100,1))&lt;999,ROUND(100/G10*H10-100,1),IF(ROUND(100/G10*H10-100,1)&gt;999,999,-999)))</f>
        <v>7.5</v>
      </c>
      <c r="J10" s="445">
        <f t="shared" si="1"/>
        <v>0.10725098150790961</v>
      </c>
      <c r="K10" s="224" t="s">
        <v>231</v>
      </c>
      <c r="L10" s="239">
        <f t="shared" ca="1" si="2"/>
        <v>0</v>
      </c>
      <c r="M10" s="237">
        <f t="shared" ca="1" si="3"/>
        <v>0</v>
      </c>
      <c r="N10" s="239">
        <f t="shared" ca="1" si="4"/>
        <v>0</v>
      </c>
      <c r="O10" s="237">
        <f t="shared" ca="1" si="5"/>
        <v>0</v>
      </c>
      <c r="P10" s="87" t="s">
        <v>243</v>
      </c>
    </row>
    <row r="11" spans="1:16" ht="18.75" x14ac:dyDescent="0.3">
      <c r="A11" s="209" t="s">
        <v>90</v>
      </c>
      <c r="B11" s="194">
        <f>'DNB Livsforsikring'!B7+'DNB Livsforsikring'!B22+'DNB Livsforsikring'!B36+'DNB Livsforsikring'!B47+'DNB Livsforsikring'!B66+'DNB Livsforsikring'!B134</f>
        <v>2121279</v>
      </c>
      <c r="C11" s="194">
        <f>'DNB Livsforsikring'!C7+'DNB Livsforsikring'!C22+'DNB Livsforsikring'!C36+'DNB Livsforsikring'!C47+'DNB Livsforsikring'!C66+'DNB Livsforsikring'!C134</f>
        <v>1773028</v>
      </c>
      <c r="D11" s="104">
        <f t="shared" si="6"/>
        <v>-16.399999999999999</v>
      </c>
      <c r="E11" s="445">
        <f t="shared" si="0"/>
        <v>11.623390989469565</v>
      </c>
      <c r="F11" s="103"/>
      <c r="G11" s="194">
        <f>'DNB Livsforsikring'!B10+'DNB Livsforsikring'!B29+'DNB Livsforsikring'!B37+'DNB Livsforsikring'!B87+'DNB Livsforsikring'!B135</f>
        <v>203821446</v>
      </c>
      <c r="H11" s="194">
        <f>'DNB Livsforsikring'!C10+'DNB Livsforsikring'!C29+'DNB Livsforsikring'!C37+'DNB Livsforsikring'!C87+'DNB Livsforsikring'!C135</f>
        <v>203084238.5</v>
      </c>
      <c r="I11" s="104">
        <f t="shared" si="7"/>
        <v>-0.4</v>
      </c>
      <c r="J11" s="445">
        <f t="shared" si="1"/>
        <v>20.620121269797</v>
      </c>
      <c r="K11" s="87" t="s">
        <v>224</v>
      </c>
      <c r="L11" s="239">
        <f t="shared" ca="1" si="2"/>
        <v>0</v>
      </c>
      <c r="M11" s="237">
        <f t="shared" ca="1" si="3"/>
        <v>0</v>
      </c>
      <c r="N11" s="239">
        <f t="shared" ca="1" si="4"/>
        <v>0</v>
      </c>
      <c r="O11" s="237">
        <f t="shared" ca="1" si="5"/>
        <v>0</v>
      </c>
    </row>
    <row r="12" spans="1:16" ht="18.75" x14ac:dyDescent="0.3">
      <c r="A12" s="209" t="s">
        <v>91</v>
      </c>
      <c r="B12" s="194">
        <f>'Eika Forsikring AS'!B7+'Eika Forsikring AS'!B22+'Eika Forsikring AS'!B36+'Eika Forsikring AS'!B47+'Eika Forsikring AS'!B66+'Eika Forsikring AS'!B134</f>
        <v>58168</v>
      </c>
      <c r="C12" s="194">
        <f>'Eika Forsikring AS'!C7+'Eika Forsikring AS'!C22+'Eika Forsikring AS'!C36+'Eika Forsikring AS'!C47+'Eika Forsikring AS'!C66+'Eika Forsikring AS'!C134</f>
        <v>66623</v>
      </c>
      <c r="D12" s="104">
        <f t="shared" si="6"/>
        <v>14.5</v>
      </c>
      <c r="E12" s="445">
        <f t="shared" si="0"/>
        <v>0.43675857227941739</v>
      </c>
      <c r="F12" s="103"/>
      <c r="G12" s="194">
        <f>'Eika Forsikring AS'!B10+'Eika Forsikring AS'!B29+'Eika Forsikring AS'!B37+'Eika Forsikring AS'!B87+'Eika Forsikring AS'!B135</f>
        <v>0</v>
      </c>
      <c r="H12" s="194">
        <f>'Eika Forsikring AS'!C10+'Eika Forsikring AS'!C29+'Eika Forsikring AS'!C37+'Eika Forsikring AS'!C87+'Eika Forsikring AS'!C135</f>
        <v>0</v>
      </c>
      <c r="I12" s="104"/>
      <c r="J12" s="445">
        <f t="shared" si="1"/>
        <v>0</v>
      </c>
      <c r="K12" s="87" t="s">
        <v>232</v>
      </c>
      <c r="L12" s="239">
        <f t="shared" ca="1" si="2"/>
        <v>0</v>
      </c>
      <c r="M12" s="237">
        <f t="shared" ca="1" si="3"/>
        <v>0</v>
      </c>
      <c r="N12" s="239">
        <f t="shared" ca="1" si="4"/>
        <v>0</v>
      </c>
      <c r="O12" s="237">
        <f t="shared" ca="1" si="5"/>
        <v>0</v>
      </c>
    </row>
    <row r="13" spans="1:16" ht="18.75" x14ac:dyDescent="0.3">
      <c r="A13" s="209" t="s">
        <v>92</v>
      </c>
      <c r="B13" s="195">
        <f>'Frende Livsforsikring'!B7+'Frende Livsforsikring'!B22+'Frende Livsforsikring'!B36+'Frende Livsforsikring'!B47+'Frende Livsforsikring'!B66+'Frende Livsforsikring'!B134</f>
        <v>487767</v>
      </c>
      <c r="C13" s="195">
        <f>'Frende Livsforsikring'!C7+'Frende Livsforsikring'!C22+'Frende Livsforsikring'!C36+'Frende Livsforsikring'!C47+'Frende Livsforsikring'!C66+'Frende Livsforsikring'!C134</f>
        <v>518678</v>
      </c>
      <c r="D13" s="104">
        <f t="shared" si="6"/>
        <v>6.3</v>
      </c>
      <c r="E13" s="445">
        <f t="shared" si="0"/>
        <v>3.4002831267391689</v>
      </c>
      <c r="F13" s="103"/>
      <c r="G13" s="194">
        <f>'Frende Livsforsikring'!B10+'Frende Livsforsikring'!B29+'Frende Livsforsikring'!B37+'Frende Livsforsikring'!B87+'Frende Livsforsikring'!B135</f>
        <v>1045718</v>
      </c>
      <c r="H13" s="194">
        <f>'Frende Livsforsikring'!C10+'Frende Livsforsikring'!C29+'Frende Livsforsikring'!C37+'Frende Livsforsikring'!C87+'Frende Livsforsikring'!C135</f>
        <v>1166853</v>
      </c>
      <c r="I13" s="104">
        <f t="shared" si="7"/>
        <v>11.6</v>
      </c>
      <c r="J13" s="445">
        <f t="shared" si="1"/>
        <v>0.1184762074188561</v>
      </c>
      <c r="K13" s="87" t="s">
        <v>225</v>
      </c>
      <c r="L13" s="239">
        <f t="shared" ca="1" si="2"/>
        <v>0</v>
      </c>
      <c r="M13" s="237">
        <f t="shared" ca="1" si="3"/>
        <v>0</v>
      </c>
      <c r="N13" s="239">
        <f t="shared" ca="1" si="4"/>
        <v>0</v>
      </c>
      <c r="O13" s="237">
        <f t="shared" ca="1" si="5"/>
        <v>0</v>
      </c>
    </row>
    <row r="14" spans="1:16" ht="18.75" x14ac:dyDescent="0.3">
      <c r="A14" s="209" t="s">
        <v>93</v>
      </c>
      <c r="B14" s="194">
        <f>'Frende Skadeforsikring'!B7+'Frende Skadeforsikring'!B22+'Frende Skadeforsikring'!B36+'Frende Skadeforsikring'!B47+'Frende Skadeforsikring'!B66+'Frende Skadeforsikring'!B134</f>
        <v>4414</v>
      </c>
      <c r="C14" s="194">
        <f>'Frende Skadeforsikring'!C7+'Frende Skadeforsikring'!C22+'Frende Skadeforsikring'!C36+'Frende Skadeforsikring'!C47+'Frende Skadeforsikring'!C66+'Frende Skadeforsikring'!C134</f>
        <v>4814</v>
      </c>
      <c r="D14" s="104">
        <f t="shared" si="6"/>
        <v>9.1</v>
      </c>
      <c r="E14" s="445">
        <f t="shared" si="0"/>
        <v>3.15590076543103E-2</v>
      </c>
      <c r="F14" s="103"/>
      <c r="G14" s="194">
        <f>'Frende Skadeforsikring'!B10+'Frende Skadeforsikring'!B29+'Frende Skadeforsikring'!B37+'Frende Skadeforsikring'!B87+'Frende Skadeforsikring'!B135</f>
        <v>0</v>
      </c>
      <c r="H14" s="194">
        <f>'Frende Skadeforsikring'!C10+'Frende Skadeforsikring'!C29+'Frende Skadeforsikring'!C37+'Frende Skadeforsikring'!C87+'Frende Skadeforsikring'!C135</f>
        <v>0</v>
      </c>
      <c r="I14" s="104"/>
      <c r="J14" s="445">
        <f t="shared" si="1"/>
        <v>0</v>
      </c>
      <c r="K14" s="87" t="s">
        <v>233</v>
      </c>
      <c r="L14" s="239">
        <f t="shared" ca="1" si="2"/>
        <v>0</v>
      </c>
      <c r="M14" s="237">
        <f t="shared" ca="1" si="3"/>
        <v>0</v>
      </c>
      <c r="N14" s="239">
        <f t="shared" ca="1" si="4"/>
        <v>0</v>
      </c>
      <c r="O14" s="237">
        <f t="shared" ca="1" si="5"/>
        <v>0</v>
      </c>
    </row>
    <row r="15" spans="1:16" ht="18.75" x14ac:dyDescent="0.3">
      <c r="A15" s="209" t="s">
        <v>94</v>
      </c>
      <c r="B15" s="194">
        <f>'Gjensidige Forsikring'!B7+'Gjensidige Forsikring'!B22+'Gjensidige Forsikring'!B36+'Gjensidige Forsikring'!B47+'Gjensidige Forsikring'!B66+'Gjensidige Forsikring'!B134</f>
        <v>1033220</v>
      </c>
      <c r="C15" s="194">
        <f>'Gjensidige Forsikring'!C7+'Gjensidige Forsikring'!C22+'Gjensidige Forsikring'!C36+'Gjensidige Forsikring'!C47+'Gjensidige Forsikring'!C66+'Gjensidige Forsikring'!C134</f>
        <v>1052245</v>
      </c>
      <c r="D15" s="104">
        <f t="shared" si="6"/>
        <v>1.8</v>
      </c>
      <c r="E15" s="445">
        <f t="shared" si="0"/>
        <v>6.898173662070989</v>
      </c>
      <c r="F15" s="103"/>
      <c r="G15" s="194">
        <f>'Gjensidige Forsikring'!B10+'Gjensidige Forsikring'!B29+'Gjensidige Forsikring'!B37+'Gjensidige Forsikring'!B87+'Gjensidige Forsikring'!B135</f>
        <v>0</v>
      </c>
      <c r="H15" s="194">
        <f>'Gjensidige Forsikring'!C10+'Gjensidige Forsikring'!C29+'Gjensidige Forsikring'!C37+'Gjensidige Forsikring'!C87+'Gjensidige Forsikring'!C135</f>
        <v>0</v>
      </c>
      <c r="I15" s="104"/>
      <c r="J15" s="445">
        <f t="shared" si="1"/>
        <v>0</v>
      </c>
      <c r="K15" s="87" t="s">
        <v>226</v>
      </c>
      <c r="L15" s="239">
        <f t="shared" ca="1" si="2"/>
        <v>0</v>
      </c>
      <c r="M15" s="237">
        <f t="shared" ca="1" si="3"/>
        <v>0</v>
      </c>
      <c r="N15" s="239">
        <f t="shared" ca="1" si="4"/>
        <v>0</v>
      </c>
      <c r="O15" s="237">
        <f t="shared" ca="1" si="5"/>
        <v>0</v>
      </c>
    </row>
    <row r="16" spans="1:16" ht="18.75" x14ac:dyDescent="0.3">
      <c r="A16" s="209" t="s">
        <v>95</v>
      </c>
      <c r="B16" s="194">
        <f>'Gjensidige Pensjon'!B7+'Gjensidige Pensjon'!B22+'Gjensidige Pensjon'!B36+'Gjensidige Pensjon'!B47+'Gjensidige Pensjon'!B66+'Gjensidige Pensjon'!B134</f>
        <v>155987</v>
      </c>
      <c r="C16" s="194">
        <f>'Gjensidige Pensjon'!C7+'Gjensidige Pensjon'!C22+'Gjensidige Pensjon'!C36+'Gjensidige Pensjon'!C47+'Gjensidige Pensjon'!C66+'Gjensidige Pensjon'!C134</f>
        <v>178625</v>
      </c>
      <c r="D16" s="104">
        <f t="shared" si="6"/>
        <v>14.5</v>
      </c>
      <c r="E16" s="445">
        <f t="shared" si="0"/>
        <v>1.1710070091921847</v>
      </c>
      <c r="F16" s="103"/>
      <c r="G16" s="194">
        <f>'Gjensidige Pensjon'!B10+'Gjensidige Pensjon'!B29+'Gjensidige Pensjon'!B37+'Gjensidige Pensjon'!B87+'Gjensidige Pensjon'!B135</f>
        <v>5573380</v>
      </c>
      <c r="H16" s="194">
        <f>'Gjensidige Pensjon'!C10+'Gjensidige Pensjon'!C29+'Gjensidige Pensjon'!C37+'Gjensidige Pensjon'!C87+'Gjensidige Pensjon'!C135</f>
        <v>6138522</v>
      </c>
      <c r="I16" s="104">
        <f t="shared" si="7"/>
        <v>10.1</v>
      </c>
      <c r="J16" s="445">
        <f t="shared" si="1"/>
        <v>0.62327371632691642</v>
      </c>
      <c r="K16" s="87" t="s">
        <v>234</v>
      </c>
      <c r="L16" s="239">
        <f t="shared" ca="1" si="2"/>
        <v>0</v>
      </c>
      <c r="M16" s="237">
        <f t="shared" ca="1" si="3"/>
        <v>0</v>
      </c>
      <c r="N16" s="239">
        <f t="shared" ca="1" si="4"/>
        <v>0</v>
      </c>
      <c r="O16" s="237">
        <f t="shared" ca="1" si="5"/>
        <v>0</v>
      </c>
    </row>
    <row r="17" spans="1:21" ht="18.75" x14ac:dyDescent="0.3">
      <c r="A17" s="209" t="s">
        <v>96</v>
      </c>
      <c r="B17" s="194">
        <f>'Handelsbanken Liv'!B7+'Handelsbanken Liv'!B22+'Handelsbanken Liv'!B36+'Handelsbanken Liv'!B47+'Handelsbanken Liv'!B66+'Handelsbanken Liv'!B134</f>
        <v>11269</v>
      </c>
      <c r="C17" s="194">
        <f>'Handelsbanken Liv'!C7+'Handelsbanken Liv'!C22+'Handelsbanken Liv'!C36+'Handelsbanken Liv'!C47+'Handelsbanken Liv'!C66+'Handelsbanken Liv'!C134</f>
        <v>10248</v>
      </c>
      <c r="D17" s="104">
        <f t="shared" si="6"/>
        <v>-9.1</v>
      </c>
      <c r="E17" s="445">
        <f t="shared" si="0"/>
        <v>6.7182532289441627E-2</v>
      </c>
      <c r="F17" s="103"/>
      <c r="G17" s="194">
        <f>'Handelsbanken Liv'!B10+'Handelsbanken Liv'!B29+'Handelsbanken Liv'!B37+'Handelsbanken Liv'!B87+'Handelsbanken Liv'!B135</f>
        <v>27115</v>
      </c>
      <c r="H17" s="194">
        <f>'Handelsbanken Liv'!C10+'Handelsbanken Liv'!C29+'Handelsbanken Liv'!C37+'Handelsbanken Liv'!C87+'Handelsbanken Liv'!C135</f>
        <v>23193</v>
      </c>
      <c r="I17" s="104">
        <f t="shared" si="7"/>
        <v>-14.5</v>
      </c>
      <c r="J17" s="445">
        <f t="shared" si="1"/>
        <v>2.3548970424428178E-3</v>
      </c>
      <c r="K17" s="141"/>
      <c r="L17" s="239">
        <f t="shared" ca="1" si="2"/>
        <v>0</v>
      </c>
      <c r="M17" s="237">
        <f t="shared" ca="1" si="3"/>
        <v>0</v>
      </c>
      <c r="N17" s="239">
        <f t="shared" ca="1" si="4"/>
        <v>0</v>
      </c>
      <c r="O17" s="237">
        <f t="shared" ca="1" si="5"/>
        <v>0</v>
      </c>
    </row>
    <row r="18" spans="1:21" ht="18.75" x14ac:dyDescent="0.3">
      <c r="A18" s="209" t="s">
        <v>97</v>
      </c>
      <c r="B18" s="194">
        <f>'If Skadeforsikring NUF'!B7+'If Skadeforsikring NUF'!B22+'If Skadeforsikring NUF'!B36+'If Skadeforsikring NUF'!B47+'If Skadeforsikring NUF'!B66+'If Skadeforsikring NUF'!B134</f>
        <v>171195.791</v>
      </c>
      <c r="C18" s="194">
        <f>'If Skadeforsikring NUF'!C7+'If Skadeforsikring NUF'!C22+'If Skadeforsikring NUF'!C36+'If Skadeforsikring NUF'!C47+'If Skadeforsikring NUF'!C66+'If Skadeforsikring NUF'!C134</f>
        <v>153678.71638</v>
      </c>
      <c r="D18" s="104">
        <f t="shared" si="6"/>
        <v>-10.199999999999999</v>
      </c>
      <c r="E18" s="445">
        <f t="shared" si="0"/>
        <v>1.0074673424472376</v>
      </c>
      <c r="F18" s="103"/>
      <c r="G18" s="194">
        <f>'If Skadeforsikring NUF'!B10+'If Skadeforsikring NUF'!B29+'If Skadeforsikring NUF'!B37+'If Skadeforsikring NUF'!B87+'If Skadeforsikring NUF'!B135</f>
        <v>0</v>
      </c>
      <c r="H18" s="194">
        <f>'If Skadeforsikring NUF'!C10+'If Skadeforsikring NUF'!C29+'If Skadeforsikring NUF'!C37+'If Skadeforsikring NUF'!C87+'If Skadeforsikring NUF'!C135</f>
        <v>0</v>
      </c>
      <c r="I18" s="104"/>
      <c r="J18" s="445">
        <f t="shared" si="1"/>
        <v>0</v>
      </c>
      <c r="K18" s="141"/>
      <c r="L18" s="239">
        <f t="shared" ca="1" si="2"/>
        <v>0</v>
      </c>
      <c r="M18" s="237">
        <f t="shared" ca="1" si="3"/>
        <v>0</v>
      </c>
      <c r="N18" s="239">
        <f t="shared" ca="1" si="4"/>
        <v>0</v>
      </c>
      <c r="O18" s="237">
        <f t="shared" ca="1" si="5"/>
        <v>0</v>
      </c>
    </row>
    <row r="19" spans="1:21" ht="18.75" x14ac:dyDescent="0.3">
      <c r="A19" s="209" t="s">
        <v>65</v>
      </c>
      <c r="B19" s="194">
        <f>KLP!B7+KLP!B22+KLP!B36+KLP!B47+KLP!B66+KLP!B134</f>
        <v>6288898.7351200003</v>
      </c>
      <c r="C19" s="194">
        <f>KLP!C7+KLP!C22+KLP!C36+KLP!C47+KLP!C66+KLP!C134</f>
        <v>6307422.4361200007</v>
      </c>
      <c r="D19" s="104">
        <f t="shared" si="6"/>
        <v>0.3</v>
      </c>
      <c r="E19" s="445">
        <f t="shared" si="0"/>
        <v>41.349396123905201</v>
      </c>
      <c r="F19" s="103"/>
      <c r="G19" s="194">
        <f>KLP!B10+KLP!B29+KLP!B37+KLP!B87+KLP!B135</f>
        <v>425409512.87142003</v>
      </c>
      <c r="H19" s="194">
        <f>KLP!C10+KLP!C29+KLP!C37+KLP!C87+KLP!C135</f>
        <v>450711574.44376999</v>
      </c>
      <c r="I19" s="104">
        <f t="shared" si="7"/>
        <v>5.9</v>
      </c>
      <c r="J19" s="445">
        <f t="shared" si="1"/>
        <v>45.762917848160214</v>
      </c>
      <c r="K19" s="141"/>
      <c r="L19" s="239">
        <f t="shared" ca="1" si="2"/>
        <v>0</v>
      </c>
      <c r="M19" s="237">
        <f t="shared" ca="1" si="3"/>
        <v>0</v>
      </c>
      <c r="N19" s="239">
        <f t="shared" ca="1" si="4"/>
        <v>0</v>
      </c>
      <c r="O19" s="237">
        <f t="shared" ca="1" si="5"/>
        <v>0</v>
      </c>
    </row>
    <row r="20" spans="1:21" ht="18.75" x14ac:dyDescent="0.3">
      <c r="A20" s="109" t="s">
        <v>98</v>
      </c>
      <c r="B20" s="194">
        <f>'KLP Bedriftspensjon AS'!B7+'KLP Bedriftspensjon AS'!B22+'KLP Bedriftspensjon AS'!B36+'KLP Bedriftspensjon AS'!B47+'KLP Bedriftspensjon AS'!B66+'KLP Bedriftspensjon AS'!B134</f>
        <v>21438</v>
      </c>
      <c r="C20" s="194">
        <f>'KLP Bedriftspensjon AS'!C7+'KLP Bedriftspensjon AS'!C22+'KLP Bedriftspensjon AS'!C36+'KLP Bedriftspensjon AS'!C47+'KLP Bedriftspensjon AS'!C66+'KLP Bedriftspensjon AS'!C134</f>
        <v>20618</v>
      </c>
      <c r="D20" s="104">
        <f t="shared" si="6"/>
        <v>-3.8</v>
      </c>
      <c r="E20" s="445">
        <f t="shared" si="0"/>
        <v>0.13516485662994801</v>
      </c>
      <c r="F20" s="103"/>
      <c r="G20" s="194">
        <f>'KLP Bedriftspensjon AS'!B10+'KLP Bedriftspensjon AS'!B29+'KLP Bedriftspensjon AS'!B37+'KLP Bedriftspensjon AS'!B87+'KLP Bedriftspensjon AS'!B135</f>
        <v>1459120</v>
      </c>
      <c r="H20" s="194">
        <f>'KLP Bedriftspensjon AS'!C10+'KLP Bedriftspensjon AS'!C29+'KLP Bedriftspensjon AS'!C37+'KLP Bedriftspensjon AS'!C87+'KLP Bedriftspensjon AS'!C135</f>
        <v>1517090</v>
      </c>
      <c r="I20" s="104">
        <f t="shared" si="7"/>
        <v>4</v>
      </c>
      <c r="J20" s="445">
        <f t="shared" si="1"/>
        <v>0.15403745760011964</v>
      </c>
      <c r="K20" s="141"/>
      <c r="L20" s="239">
        <f t="shared" ca="1" si="2"/>
        <v>0</v>
      </c>
      <c r="M20" s="237">
        <f t="shared" ca="1" si="3"/>
        <v>0</v>
      </c>
      <c r="N20" s="239">
        <f t="shared" ca="1" si="4"/>
        <v>0</v>
      </c>
      <c r="O20" s="237">
        <f t="shared" ca="1" si="5"/>
        <v>0</v>
      </c>
    </row>
    <row r="21" spans="1:21" ht="18.75" x14ac:dyDescent="0.3">
      <c r="A21" s="109" t="s">
        <v>99</v>
      </c>
      <c r="B21" s="194">
        <f>'KLP Skadeforsikring AS'!B7+'KLP Skadeforsikring AS'!B22+'KLP Skadeforsikring AS'!B36+'KLP Skadeforsikring AS'!B47+'KLP Skadeforsikring AS'!B66+'KLP Skadeforsikring AS'!B134</f>
        <v>117684.757</v>
      </c>
      <c r="C21" s="194">
        <f>'KLP Skadeforsikring AS'!C7+'KLP Skadeforsikring AS'!C22+'KLP Skadeforsikring AS'!C36+'KLP Skadeforsikring AS'!C47+'KLP Skadeforsikring AS'!C66+'KLP Skadeforsikring AS'!C134</f>
        <v>107643.077</v>
      </c>
      <c r="D21" s="104">
        <f t="shared" si="6"/>
        <v>-8.5</v>
      </c>
      <c r="E21" s="445">
        <f t="shared" si="0"/>
        <v>0.70567276505536214</v>
      </c>
      <c r="F21" s="103"/>
      <c r="G21" s="194">
        <f>'KLP Skadeforsikring AS'!B10+'KLP Skadeforsikring AS'!B29+'KLP Skadeforsikring AS'!B37+'KLP Skadeforsikring AS'!B87+'KLP Skadeforsikring AS'!B135</f>
        <v>3783.1570000000002</v>
      </c>
      <c r="H21" s="194">
        <f>'KLP Skadeforsikring AS'!C10+'KLP Skadeforsikring AS'!C29+'KLP Skadeforsikring AS'!C37+'KLP Skadeforsikring AS'!C87+'KLP Skadeforsikring AS'!C135</f>
        <v>12214.147999999999</v>
      </c>
      <c r="I21" s="104">
        <f t="shared" si="7"/>
        <v>222.9</v>
      </c>
      <c r="J21" s="445">
        <f t="shared" si="1"/>
        <v>1.2401612987176674E-3</v>
      </c>
      <c r="K21" s="141"/>
      <c r="L21" s="239">
        <f t="shared" ca="1" si="2"/>
        <v>0</v>
      </c>
      <c r="M21" s="237">
        <f t="shared" ca="1" si="3"/>
        <v>0</v>
      </c>
      <c r="N21" s="239">
        <f t="shared" ca="1" si="4"/>
        <v>0</v>
      </c>
      <c r="O21" s="237">
        <f t="shared" ca="1" si="5"/>
        <v>0</v>
      </c>
    </row>
    <row r="22" spans="1:21" ht="18.75" x14ac:dyDescent="0.3">
      <c r="A22" s="109" t="s">
        <v>100</v>
      </c>
      <c r="B22" s="194">
        <f>'Landbruksforsikring AS'!B7+'Landbruksforsikring AS'!B22+'Landbruksforsikring AS'!B36+'Landbruksforsikring AS'!B47+'Landbruksforsikring AS'!B66+'Landbruksforsikring AS'!B134</f>
        <v>19934</v>
      </c>
      <c r="C22" s="194">
        <f>'Landbruksforsikring AS'!C7+'Landbruksforsikring AS'!C22+'Landbruksforsikring AS'!C36+'Landbruksforsikring AS'!C47+'Landbruksforsikring AS'!C66+'Landbruksforsikring AS'!C134</f>
        <v>21888.014999999999</v>
      </c>
      <c r="D22" s="104">
        <f t="shared" si="6"/>
        <v>9.8000000000000007</v>
      </c>
      <c r="E22" s="445">
        <f t="shared" si="0"/>
        <v>0.14349065910316963</v>
      </c>
      <c r="F22" s="103"/>
      <c r="G22" s="194">
        <f>'Landbruksforsikring AS'!B10+'Landbruksforsikring AS'!B29+'Landbruksforsikring AS'!B37+'Landbruksforsikring AS'!B87+'Landbruksforsikring AS'!B135</f>
        <v>0</v>
      </c>
      <c r="H22" s="194">
        <f>'Landbruksforsikring AS'!C10+'Landbruksforsikring AS'!C29+'Landbruksforsikring AS'!C37+'Landbruksforsikring AS'!C87+'Landbruksforsikring AS'!C135</f>
        <v>0</v>
      </c>
      <c r="I22" s="104"/>
      <c r="J22" s="445">
        <f t="shared" si="1"/>
        <v>0</v>
      </c>
      <c r="K22" s="141"/>
      <c r="L22" s="239">
        <f t="shared" ca="1" si="2"/>
        <v>0</v>
      </c>
      <c r="M22" s="237">
        <f t="shared" ca="1" si="3"/>
        <v>0</v>
      </c>
      <c r="N22" s="239">
        <f t="shared" ca="1" si="4"/>
        <v>0</v>
      </c>
      <c r="O22" s="237">
        <f t="shared" ca="1" si="5"/>
        <v>0</v>
      </c>
    </row>
    <row r="23" spans="1:21" ht="18.75" x14ac:dyDescent="0.3">
      <c r="A23" s="209" t="s">
        <v>101</v>
      </c>
      <c r="B23" s="194">
        <f>'NEMI Forsikring'!B7+'NEMI Forsikring'!B22+'NEMI Forsikring'!B36+'NEMI Forsikring'!B47+'NEMI Forsikring'!B66+'NEMI Forsikring'!B134</f>
        <v>2312</v>
      </c>
      <c r="C23" s="194">
        <f>'NEMI Forsikring'!C7+'NEMI Forsikring'!C22+'NEMI Forsikring'!C36+'NEMI Forsikring'!C47+'NEMI Forsikring'!C66+'NEMI Forsikring'!C134</f>
        <v>620</v>
      </c>
      <c r="D23" s="104">
        <f t="shared" si="6"/>
        <v>-73.2</v>
      </c>
      <c r="E23" s="445">
        <f t="shared" si="0"/>
        <v>4.0645169808210188E-3</v>
      </c>
      <c r="F23" s="103"/>
      <c r="G23" s="194">
        <f>'NEMI Forsikring'!B10+'NEMI Forsikring'!B29+'NEMI Forsikring'!B37+'NEMI Forsikring'!B87+'NEMI Forsikring'!B135</f>
        <v>0</v>
      </c>
      <c r="H23" s="194">
        <f>'NEMI Forsikring'!C10+'NEMI Forsikring'!C29+'NEMI Forsikring'!C37+'NEMI Forsikring'!C87+'NEMI Forsikring'!C135</f>
        <v>0</v>
      </c>
      <c r="I23" s="104"/>
      <c r="J23" s="445">
        <f t="shared" si="1"/>
        <v>0</v>
      </c>
      <c r="K23" s="141"/>
      <c r="L23" s="239">
        <f t="shared" ca="1" si="2"/>
        <v>0</v>
      </c>
      <c r="M23" s="237">
        <f t="shared" ca="1" si="3"/>
        <v>0</v>
      </c>
      <c r="N23" s="239">
        <f t="shared" ca="1" si="4"/>
        <v>0</v>
      </c>
      <c r="O23" s="237">
        <f t="shared" ca="1" si="5"/>
        <v>0</v>
      </c>
    </row>
    <row r="24" spans="1:21" ht="18.75" x14ac:dyDescent="0.3">
      <c r="A24" s="109" t="s">
        <v>102</v>
      </c>
      <c r="B24" s="194">
        <f>'Nordea Liv '!B7+'Nordea Liv '!B22+'Nordea Liv '!B36+'Nordea Liv '!B47+'Nordea Liv '!B66+'Nordea Liv '!B134</f>
        <v>817756.21181999997</v>
      </c>
      <c r="C24" s="194">
        <f>'Nordea Liv '!C7+'Nordea Liv '!C22+'Nordea Liv '!C36+'Nordea Liv '!C47+'Nordea Liv '!C66+'Nordea Liv '!C134</f>
        <v>665744.15912939585</v>
      </c>
      <c r="D24" s="104">
        <f t="shared" si="6"/>
        <v>-18.600000000000001</v>
      </c>
      <c r="E24" s="445">
        <f t="shared" si="0"/>
        <v>4.3644007091352259</v>
      </c>
      <c r="F24" s="103"/>
      <c r="G24" s="195">
        <f>'Nordea Liv '!B10+'Nordea Liv '!B29+'Nordea Liv '!B37+'Nordea Liv '!B87+'Nordea Liv '!B135</f>
        <v>49076949.99999997</v>
      </c>
      <c r="H24" s="195">
        <f>'Nordea Liv '!C10+'Nordea Liv '!C29+'Nordea Liv '!C37+'Nordea Liv '!C87+'Nordea Liv '!C135</f>
        <v>49831728.590089791</v>
      </c>
      <c r="I24" s="104">
        <f t="shared" si="7"/>
        <v>1.5</v>
      </c>
      <c r="J24" s="445">
        <f t="shared" si="1"/>
        <v>5.0596555114308481</v>
      </c>
      <c r="K24" s="141"/>
      <c r="L24" s="239">
        <f t="shared" ca="1" si="2"/>
        <v>0</v>
      </c>
      <c r="M24" s="237">
        <f t="shared" ca="1" si="3"/>
        <v>0</v>
      </c>
      <c r="N24" s="239">
        <f t="shared" ca="1" si="4"/>
        <v>0</v>
      </c>
      <c r="O24" s="237">
        <f t="shared" ca="1" si="5"/>
        <v>0</v>
      </c>
    </row>
    <row r="25" spans="1:21" ht="18.75" x14ac:dyDescent="0.3">
      <c r="A25" s="109" t="s">
        <v>103</v>
      </c>
      <c r="B25" s="194">
        <f>'Oslo Pensjonsforsikring'!B7+'Oslo Pensjonsforsikring'!B22+'Oslo Pensjonsforsikring'!B36+'Oslo Pensjonsforsikring'!B47+'Oslo Pensjonsforsikring'!B66+'Oslo Pensjonsforsikring'!B134</f>
        <v>785297</v>
      </c>
      <c r="C25" s="194">
        <f>'Oslo Pensjonsforsikring'!C7+'Oslo Pensjonsforsikring'!C22+'Oslo Pensjonsforsikring'!C36+'Oslo Pensjonsforsikring'!C47+'Oslo Pensjonsforsikring'!C66+'Oslo Pensjonsforsikring'!C134</f>
        <v>725316</v>
      </c>
      <c r="D25" s="104">
        <f t="shared" si="6"/>
        <v>-7.6</v>
      </c>
      <c r="E25" s="445">
        <f t="shared" si="0"/>
        <v>4.7549341910664165</v>
      </c>
      <c r="F25" s="103"/>
      <c r="G25" s="194">
        <f>'Oslo Pensjonsforsikring'!B10+'Oslo Pensjonsforsikring'!B29+'Oslo Pensjonsforsikring'!B37+'Oslo Pensjonsforsikring'!B87+'Oslo Pensjonsforsikring'!B135</f>
        <v>66115112</v>
      </c>
      <c r="H25" s="194">
        <f>'Oslo Pensjonsforsikring'!C10+'Oslo Pensjonsforsikring'!C29+'Oslo Pensjonsforsikring'!C37+'Oslo Pensjonsforsikring'!C87+'Oslo Pensjonsforsikring'!C135</f>
        <v>71272663</v>
      </c>
      <c r="I25" s="104">
        <f t="shared" si="7"/>
        <v>7.8</v>
      </c>
      <c r="J25" s="445">
        <f t="shared" si="1"/>
        <v>7.2366568924125234</v>
      </c>
      <c r="K25" s="141"/>
      <c r="L25" s="239">
        <f t="shared" ca="1" si="2"/>
        <v>0</v>
      </c>
      <c r="M25" s="237">
        <f t="shared" ca="1" si="3"/>
        <v>0</v>
      </c>
      <c r="N25" s="239">
        <f t="shared" ca="1" si="4"/>
        <v>0</v>
      </c>
      <c r="O25" s="237">
        <f t="shared" ca="1" si="5"/>
        <v>0</v>
      </c>
    </row>
    <row r="26" spans="1:21" ht="18.75" x14ac:dyDescent="0.3">
      <c r="A26" s="209" t="s">
        <v>72</v>
      </c>
      <c r="B26" s="194">
        <f>'Sparebank 1'!B7+'Sparebank 1'!B22+'Sparebank 1'!B36+'Sparebank 1'!B47+'Sparebank 1'!B66+'Sparebank 1'!B134</f>
        <v>782973.22236999997</v>
      </c>
      <c r="C26" s="194">
        <f>'Sparebank 1'!C7+'Sparebank 1'!C22+'Sparebank 1'!C36+'Sparebank 1'!C47+'Sparebank 1'!C66+'Sparebank 1'!C134</f>
        <v>816522.19760999992</v>
      </c>
      <c r="D26" s="104">
        <f t="shared" si="6"/>
        <v>4.3</v>
      </c>
      <c r="E26" s="445">
        <f t="shared" si="0"/>
        <v>5.3528521571018395</v>
      </c>
      <c r="F26" s="103"/>
      <c r="G26" s="194">
        <f>'Sparebank 1'!B10+'Sparebank 1'!B29+'Sparebank 1'!B37+'Sparebank 1'!B87+'Sparebank 1'!B135</f>
        <v>17555674.020039972</v>
      </c>
      <c r="H26" s="194">
        <f>'Sparebank 1'!C10+'Sparebank 1'!C29+'Sparebank 1'!C37+'Sparebank 1'!C87+'Sparebank 1'!C135</f>
        <v>18998939.185520001</v>
      </c>
      <c r="I26" s="104">
        <f t="shared" si="7"/>
        <v>8.1999999999999993</v>
      </c>
      <c r="J26" s="445">
        <f t="shared" si="1"/>
        <v>1.9290538394141341</v>
      </c>
      <c r="K26" s="141"/>
      <c r="L26" s="239" t="e">
        <f ca="1">INDIRECT("'" &amp;#REF! &amp; "'!" &amp; $P$7)</f>
        <v>#REF!</v>
      </c>
      <c r="M26" s="237" t="e">
        <f ca="1">INDIRECT("'" &amp;#REF! &amp; "'!" &amp; $P$8)</f>
        <v>#REF!</v>
      </c>
      <c r="N26" s="239" t="e">
        <f ca="1">INDIRECT("'" &amp;#REF! &amp; "'!" &amp; $P$9)</f>
        <v>#REF!</v>
      </c>
      <c r="O26" s="237" t="e">
        <f ca="1">INDIRECT("'" &amp;#REF! &amp; "'!" &amp; $P$10)</f>
        <v>#REF!</v>
      </c>
    </row>
    <row r="27" spans="1:21" ht="18.75" x14ac:dyDescent="0.3">
      <c r="A27" s="209" t="s">
        <v>104</v>
      </c>
      <c r="B27" s="194">
        <f>'Storebrand Livsforsikring'!B7+'Storebrand Livsforsikring'!B22+'Storebrand Livsforsikring'!B36+'Storebrand Livsforsikring'!B47+'Storebrand Livsforsikring'!B66+'Storebrand Livsforsikring'!B134</f>
        <v>2413053.41</v>
      </c>
      <c r="C27" s="194">
        <f>'Storebrand Livsforsikring'!C7+'Storebrand Livsforsikring'!C22+'Storebrand Livsforsikring'!C36+'Storebrand Livsforsikring'!C47+'Storebrand Livsforsikring'!C66+'Storebrand Livsforsikring'!C134</f>
        <v>2307542.6269999999</v>
      </c>
      <c r="D27" s="104">
        <f t="shared" si="6"/>
        <v>-4.4000000000000004</v>
      </c>
      <c r="E27" s="445">
        <f t="shared" si="0"/>
        <v>15.12749385711265</v>
      </c>
      <c r="F27" s="103"/>
      <c r="G27" s="194">
        <f>'Storebrand Livsforsikring'!B10+'Storebrand Livsforsikring'!B29+'Storebrand Livsforsikring'!B37+'Storebrand Livsforsikring'!B87+'Storebrand Livsforsikring'!B135</f>
        <v>178438668.08399999</v>
      </c>
      <c r="H27" s="194">
        <f>'Storebrand Livsforsikring'!C10+'Storebrand Livsforsikring'!C29+'Storebrand Livsforsikring'!C37+'Storebrand Livsforsikring'!C87+'Storebrand Livsforsikring'!C135</f>
        <v>181070508.74600002</v>
      </c>
      <c r="I27" s="104">
        <f t="shared" si="7"/>
        <v>1.5</v>
      </c>
      <c r="J27" s="445">
        <f t="shared" si="1"/>
        <v>18.384961217590302</v>
      </c>
      <c r="K27" s="141"/>
      <c r="L27" s="239">
        <f ca="1">INDIRECT("'" &amp; $A26 &amp; "'!" &amp; $P$7)</f>
        <v>0</v>
      </c>
      <c r="M27" s="237">
        <f ca="1">INDIRECT("'" &amp; $A26 &amp; "'!" &amp; $P$8)</f>
        <v>0</v>
      </c>
      <c r="N27" s="239">
        <f ca="1">INDIRECT("'" &amp; $A26 &amp; "'!" &amp; $P$9)</f>
        <v>0</v>
      </c>
      <c r="O27" s="237">
        <f ca="1">INDIRECT("'" &amp; $A26 &amp; "'!" &amp; $P$10)</f>
        <v>0</v>
      </c>
    </row>
    <row r="28" spans="1:21" ht="18.75" x14ac:dyDescent="0.3">
      <c r="A28" s="209" t="s">
        <v>105</v>
      </c>
      <c r="B28" s="194">
        <f>'Telenor Forsikring'!B7+'Telenor Forsikring'!B22+'Telenor Forsikring'!B36+'Telenor Forsikring'!B47+'Telenor Forsikring'!B66+'Telenor Forsikring'!B134</f>
        <v>0</v>
      </c>
      <c r="C28" s="194">
        <f>'Telenor Forsikring'!C7+'Telenor Forsikring'!C22+'Telenor Forsikring'!C36+'Telenor Forsikring'!C47+'Telenor Forsikring'!C66+'Telenor Forsikring'!C134</f>
        <v>0</v>
      </c>
      <c r="D28" s="104"/>
      <c r="E28" s="445">
        <f t="shared" si="0"/>
        <v>0</v>
      </c>
      <c r="F28" s="103"/>
      <c r="G28" s="194">
        <f>'Telenor Forsikring'!B10+'Telenor Forsikring'!B29+'Telenor Forsikring'!B37+'Telenor Forsikring'!B87+'Telenor Forsikring'!B135</f>
        <v>0</v>
      </c>
      <c r="H28" s="194">
        <f>'Telenor Forsikring'!C10+'Telenor Forsikring'!C29+'Telenor Forsikring'!C37+'Telenor Forsikring'!C87+'Telenor Forsikring'!C135</f>
        <v>0</v>
      </c>
      <c r="I28" s="104"/>
      <c r="J28" s="445">
        <f t="shared" si="1"/>
        <v>0</v>
      </c>
      <c r="K28" s="141"/>
      <c r="L28" s="239">
        <f ca="1">INDIRECT("'" &amp; $A27 &amp; "'!" &amp; $P$7)</f>
        <v>0</v>
      </c>
      <c r="M28" s="237">
        <f ca="1">INDIRECT("'" &amp; $A27 &amp; "'!" &amp; $P$8)</f>
        <v>0</v>
      </c>
      <c r="N28" s="239">
        <f ca="1">INDIRECT("'" &amp; $A27 &amp; "'!" &amp; $P$9)</f>
        <v>0</v>
      </c>
      <c r="O28" s="237">
        <f ca="1">INDIRECT("'" &amp; $A27 &amp; "'!" &amp; $P$10)</f>
        <v>0</v>
      </c>
    </row>
    <row r="29" spans="1:21" ht="18.75" x14ac:dyDescent="0.3">
      <c r="A29" s="209" t="s">
        <v>106</v>
      </c>
      <c r="B29" s="194">
        <f>'Tryg Forsikring'!B7+'Tryg Forsikring'!B22+'Tryg Forsikring'!B36+'Tryg Forsikring'!B47+'Tryg Forsikring'!B66+'Tryg Forsikring'!B134</f>
        <v>424578.353</v>
      </c>
      <c r="C29" s="194">
        <f>'Tryg Forsikring'!C7+'Tryg Forsikring'!C22+'Tryg Forsikring'!C36+'Tryg Forsikring'!C47+'Tryg Forsikring'!C66+'Tryg Forsikring'!C134</f>
        <v>417186</v>
      </c>
      <c r="D29" s="104">
        <f t="shared" si="6"/>
        <v>-1.7</v>
      </c>
      <c r="E29" s="445">
        <f t="shared" si="0"/>
        <v>2.7349348083238674</v>
      </c>
      <c r="F29" s="103"/>
      <c r="G29" s="194">
        <f>'Tryg Forsikring'!B10+'Tryg Forsikring'!B29+'Tryg Forsikring'!B37+'Tryg Forsikring'!B87+'Tryg Forsikring'!B135</f>
        <v>0</v>
      </c>
      <c r="H29" s="194">
        <f>'Tryg Forsikring'!C10+'Tryg Forsikring'!C29+'Tryg Forsikring'!C37+'Tryg Forsikring'!C87+'Tryg Forsikring'!C135</f>
        <v>0</v>
      </c>
      <c r="I29" s="104"/>
      <c r="J29" s="445">
        <f t="shared" si="1"/>
        <v>0</v>
      </c>
      <c r="K29" s="223"/>
      <c r="L29" s="239">
        <f ca="1">INDIRECT("'" &amp; $A28 &amp; "'!" &amp; $P$7)</f>
        <v>0</v>
      </c>
      <c r="M29" s="237">
        <f ca="1">INDIRECT("'" &amp; $A28 &amp; "'!" &amp; $P$8)</f>
        <v>0</v>
      </c>
      <c r="N29" s="239">
        <f ca="1">INDIRECT("'" &amp; $A28 &amp; "'!" &amp; $P$9)</f>
        <v>0</v>
      </c>
      <c r="O29" s="237">
        <f ca="1">INDIRECT("'" &amp; $A28 &amp; "'!" &amp; $P$10)</f>
        <v>0</v>
      </c>
    </row>
    <row r="30" spans="1:21" ht="18.75" x14ac:dyDescent="0.3">
      <c r="A30" s="139" t="s">
        <v>107</v>
      </c>
      <c r="B30" s="196">
        <f>SUM(B9:B29)</f>
        <v>15818561.344310001</v>
      </c>
      <c r="C30" s="257">
        <f>SUM(C9:C29)</f>
        <v>15253965.057239396</v>
      </c>
      <c r="D30" s="104">
        <f t="shared" si="6"/>
        <v>-3.6</v>
      </c>
      <c r="E30" s="446">
        <f>SUM(E9:E29)</f>
        <v>99.999999999999986</v>
      </c>
      <c r="F30" s="110"/>
      <c r="G30" s="196">
        <f>SUM(G9:G29)</f>
        <v>949509404.95145988</v>
      </c>
      <c r="H30" s="196">
        <f>SUM(H9:H29)</f>
        <v>984883822.17937994</v>
      </c>
      <c r="I30" s="104">
        <f t="shared" si="7"/>
        <v>3.7</v>
      </c>
      <c r="J30" s="446">
        <f>SUM(J9:J29)</f>
        <v>100</v>
      </c>
      <c r="K30" s="223"/>
      <c r="L30" s="239">
        <f ca="1">INDIRECT("'" &amp; $A29 &amp; "'!" &amp; $P$7)</f>
        <v>0</v>
      </c>
      <c r="M30" s="237">
        <f ca="1">INDIRECT("'" &amp; $A29 &amp; "'!" &amp; $P$8)</f>
        <v>0</v>
      </c>
      <c r="N30" s="239">
        <f ca="1">INDIRECT("'" &amp; $A29 &amp; "'!" &amp; $P$9)</f>
        <v>0</v>
      </c>
      <c r="O30" s="237">
        <f ca="1">INDIRECT("'" &amp; $A29 &amp; "'!" &amp; $P$10)</f>
        <v>0</v>
      </c>
    </row>
    <row r="31" spans="1:21" s="112" customFormat="1" ht="18.75" x14ac:dyDescent="0.3">
      <c r="A31" s="86"/>
      <c r="B31" s="194"/>
      <c r="C31" s="141"/>
      <c r="D31" s="104"/>
      <c r="E31" s="445"/>
      <c r="F31" s="103"/>
      <c r="G31" s="194"/>
      <c r="H31" s="103"/>
      <c r="I31" s="104"/>
      <c r="J31" s="445"/>
      <c r="K31" s="225"/>
      <c r="L31" s="239" t="e">
        <f ca="1">SUM(L9:L30)</f>
        <v>#REF!</v>
      </c>
      <c r="M31" s="237" t="e">
        <f ca="1">SUM(M9:M30)</f>
        <v>#REF!</v>
      </c>
      <c r="N31" s="239" t="e">
        <f ca="1">SUM(N9:N30)</f>
        <v>#REF!</v>
      </c>
      <c r="O31" s="237" t="e">
        <f ca="1">SUM(O9:O30)</f>
        <v>#REF!</v>
      </c>
      <c r="U31" s="221"/>
    </row>
    <row r="32" spans="1:21" ht="18.75" x14ac:dyDescent="0.3">
      <c r="A32" s="101" t="s">
        <v>1</v>
      </c>
      <c r="B32" s="194"/>
      <c r="C32" s="141"/>
      <c r="D32" s="104"/>
      <c r="E32" s="445"/>
      <c r="F32" s="103"/>
      <c r="G32" s="194"/>
      <c r="H32" s="103"/>
      <c r="I32" s="104"/>
      <c r="J32" s="445"/>
      <c r="K32" s="223"/>
      <c r="L32" s="236" t="s">
        <v>1</v>
      </c>
      <c r="M32" s="237"/>
      <c r="N32" s="239"/>
      <c r="O32" s="237"/>
    </row>
    <row r="33" spans="1:20" ht="18.75" x14ac:dyDescent="0.3">
      <c r="A33" s="108" t="s">
        <v>89</v>
      </c>
      <c r="B33" s="132">
        <f>'Danica Pensjonsforsikring'!F7+'Danica Pensjonsforsikring'!F22+'Danica Pensjonsforsikring'!F66+'Danica Pensjonsforsikring'!F134</f>
        <v>481311.815</v>
      </c>
      <c r="C33" s="132">
        <f>'Danica Pensjonsforsikring'!G7+'Danica Pensjonsforsikring'!G22+'Danica Pensjonsforsikring'!G66+'Danica Pensjonsforsikring'!G134</f>
        <v>512553.30499999999</v>
      </c>
      <c r="D33" s="104">
        <f t="shared" ref="D33:D43" si="8">IF(B33=0, "    ---- ", IF(ABS(ROUND(100/B33*C33-100,1))&lt;999,ROUND(100/B33*C33-100,1),IF(ROUND(100/B33*C33-100,1)&gt;999,999,-999)))</f>
        <v>6.5</v>
      </c>
      <c r="E33" s="445">
        <f t="shared" ref="E33:E42" si="9">100/C$43*C33</f>
        <v>5.5330405521938584</v>
      </c>
      <c r="F33" s="103"/>
      <c r="G33" s="194">
        <f>'Danica Pensjonsforsikring'!F10+'Danica Pensjonsforsikring'!F29+'Danica Pensjonsforsikring'!F87+'Danica Pensjonsforsikring'!F135</f>
        <v>14971198.460999999</v>
      </c>
      <c r="H33" s="194">
        <f>'Danica Pensjonsforsikring'!G10+'Danica Pensjonsforsikring'!G29+'Danica Pensjonsforsikring'!G87+'Danica Pensjonsforsikring'!G135</f>
        <v>16706584.574999999</v>
      </c>
      <c r="I33" s="104">
        <f t="shared" ref="I33:I43" si="10">IF(G33=0, "    ---- ", IF(ABS(ROUND(100/G33*H33-100,1))&lt;999,ROUND(100/G33*H33-100,1),IF(ROUND(100/G33*H33-100,1)&gt;999,999,-999)))</f>
        <v>11.6</v>
      </c>
      <c r="J33" s="445">
        <f t="shared" ref="J33:J42" si="11">100/H$43*H33</f>
        <v>5.5972130263273678</v>
      </c>
      <c r="K33" s="223"/>
      <c r="L33" s="240">
        <v>2015</v>
      </c>
      <c r="M33" s="241">
        <v>2016</v>
      </c>
      <c r="N33" s="240">
        <v>2015</v>
      </c>
      <c r="O33" s="241">
        <v>2016</v>
      </c>
      <c r="P33" s="87" t="s">
        <v>239</v>
      </c>
    </row>
    <row r="34" spans="1:20" ht="18.75" x14ac:dyDescent="0.3">
      <c r="A34" s="86" t="s">
        <v>90</v>
      </c>
      <c r="B34" s="132">
        <f>'DNB Livsforsikring'!F7+'DNB Livsforsikring'!F22+'DNB Livsforsikring'!F66+'DNB Livsforsikring'!F134</f>
        <v>2020493</v>
      </c>
      <c r="C34" s="132">
        <f>'DNB Livsforsikring'!G7+'DNB Livsforsikring'!G22+'DNB Livsforsikring'!G66+'DNB Livsforsikring'!G134</f>
        <v>1933331</v>
      </c>
      <c r="D34" s="104">
        <f t="shared" si="8"/>
        <v>-4.3</v>
      </c>
      <c r="E34" s="445">
        <f t="shared" si="9"/>
        <v>20.870412344358027</v>
      </c>
      <c r="F34" s="103"/>
      <c r="G34" s="194">
        <f>'DNB Livsforsikring'!F10+'DNB Livsforsikring'!F29+'DNB Livsforsikring'!F87+'DNB Livsforsikring'!F135</f>
        <v>64688136</v>
      </c>
      <c r="H34" s="194">
        <f>'DNB Livsforsikring'!G10+'DNB Livsforsikring'!G29+'DNB Livsforsikring'!G87+'DNB Livsforsikring'!G135</f>
        <v>74630254</v>
      </c>
      <c r="I34" s="104">
        <f t="shared" si="10"/>
        <v>15.4</v>
      </c>
      <c r="J34" s="445">
        <f t="shared" si="11"/>
        <v>25.00340078318612</v>
      </c>
      <c r="K34" s="223" t="s">
        <v>227</v>
      </c>
      <c r="L34" s="239">
        <f t="shared" ref="L34:L41" ca="1" si="12">INDIRECT("'" &amp; $A33 &amp; "'!" &amp; $P$33)</f>
        <v>0</v>
      </c>
      <c r="M34" s="237">
        <f t="shared" ref="M34:M41" ca="1" si="13">INDIRECT("'" &amp; $A33 &amp; "'!" &amp; $P$34)</f>
        <v>0</v>
      </c>
      <c r="N34" s="239">
        <f t="shared" ref="N34:N41" ca="1" si="14">INDIRECT("'" &amp; $A33 &amp; "'!" &amp; $P$35)</f>
        <v>0</v>
      </c>
      <c r="O34" s="237">
        <f t="shared" ref="O34:O41" ca="1" si="15">INDIRECT("'"&amp;$A33&amp;"'!"&amp;$P$36)</f>
        <v>0</v>
      </c>
      <c r="P34" s="87" t="s">
        <v>241</v>
      </c>
    </row>
    <row r="35" spans="1:20" ht="18.75" x14ac:dyDescent="0.3">
      <c r="A35" s="108" t="s">
        <v>92</v>
      </c>
      <c r="B35" s="132">
        <f>'Frende Livsforsikring'!F7+'Frende Livsforsikring'!F22+'Frende Livsforsikring'!F66+'Frende Livsforsikring'!F134</f>
        <v>83001</v>
      </c>
      <c r="C35" s="132">
        <f>'Frende Livsforsikring'!G7+'Frende Livsforsikring'!G22+'Frende Livsforsikring'!G66+'Frende Livsforsikring'!G134</f>
        <v>88637</v>
      </c>
      <c r="D35" s="104">
        <f t="shared" si="8"/>
        <v>6.8</v>
      </c>
      <c r="E35" s="445">
        <f t="shared" si="9"/>
        <v>0.95684119220498831</v>
      </c>
      <c r="F35" s="103"/>
      <c r="G35" s="194">
        <f>'Frende Livsforsikring'!F10+'Frende Livsforsikring'!F29+'Frende Livsforsikring'!F87+'Frende Livsforsikring'!F135</f>
        <v>2825243</v>
      </c>
      <c r="H35" s="194">
        <f>'Frende Livsforsikring'!G10+'Frende Livsforsikring'!G29+'Frende Livsforsikring'!G87+'Frende Livsforsikring'!G135</f>
        <v>3185848</v>
      </c>
      <c r="I35" s="104">
        <f t="shared" si="10"/>
        <v>12.8</v>
      </c>
      <c r="J35" s="445">
        <f t="shared" si="11"/>
        <v>1.0673557988736302</v>
      </c>
      <c r="K35" s="87" t="s">
        <v>235</v>
      </c>
      <c r="L35" s="239">
        <f t="shared" ca="1" si="12"/>
        <v>0</v>
      </c>
      <c r="M35" s="237">
        <f t="shared" ca="1" si="13"/>
        <v>0</v>
      </c>
      <c r="N35" s="239">
        <f t="shared" ca="1" si="14"/>
        <v>0</v>
      </c>
      <c r="O35" s="237">
        <f t="shared" ca="1" si="15"/>
        <v>0</v>
      </c>
      <c r="P35" s="87" t="s">
        <v>240</v>
      </c>
    </row>
    <row r="36" spans="1:20" ht="18.75" x14ac:dyDescent="0.3">
      <c r="A36" s="108" t="s">
        <v>95</v>
      </c>
      <c r="B36" s="132">
        <f>'Gjensidige Pensjon'!F7+'Gjensidige Pensjon'!F22+'Gjensidige Pensjon'!F66+'Gjensidige Pensjon'!F134</f>
        <v>601986</v>
      </c>
      <c r="C36" s="132">
        <f>'Gjensidige Pensjon'!G7+'Gjensidige Pensjon'!G22+'Gjensidige Pensjon'!G66+'Gjensidige Pensjon'!G134</f>
        <v>681493</v>
      </c>
      <c r="D36" s="104">
        <f t="shared" si="8"/>
        <v>13.2</v>
      </c>
      <c r="E36" s="445">
        <f t="shared" si="9"/>
        <v>7.3567536649407597</v>
      </c>
      <c r="F36" s="103"/>
      <c r="G36" s="194">
        <f>'Gjensidige Pensjon'!F10+'Gjensidige Pensjon'!F29+'Gjensidige Pensjon'!F87+'Gjensidige Pensjon'!F135</f>
        <v>19415872</v>
      </c>
      <c r="H36" s="194">
        <f>'Gjensidige Pensjon'!G10+'Gjensidige Pensjon'!G29+'Gjensidige Pensjon'!G87+'Gjensidige Pensjon'!G135</f>
        <v>22784107</v>
      </c>
      <c r="I36" s="104">
        <f t="shared" si="10"/>
        <v>17.3</v>
      </c>
      <c r="J36" s="445">
        <f t="shared" si="11"/>
        <v>7.6333675456604553</v>
      </c>
      <c r="K36" s="87" t="s">
        <v>228</v>
      </c>
      <c r="L36" s="239">
        <f t="shared" ca="1" si="12"/>
        <v>0</v>
      </c>
      <c r="M36" s="237">
        <f t="shared" ca="1" si="13"/>
        <v>0</v>
      </c>
      <c r="N36" s="239">
        <f t="shared" ca="1" si="14"/>
        <v>0</v>
      </c>
      <c r="O36" s="237">
        <f t="shared" ca="1" si="15"/>
        <v>0</v>
      </c>
      <c r="P36" s="87" t="s">
        <v>242</v>
      </c>
    </row>
    <row r="37" spans="1:20" ht="18.75" x14ac:dyDescent="0.3">
      <c r="A37" s="108" t="s">
        <v>65</v>
      </c>
      <c r="B37" s="132">
        <f>KLP!F7+KLP!F22+KLP!F66+KLP!F134</f>
        <v>17027.863000000001</v>
      </c>
      <c r="C37" s="132">
        <f>KLP!G7+KLP!G22+KLP!G66+KLP!G134</f>
        <v>20875.777999999998</v>
      </c>
      <c r="D37" s="104">
        <f t="shared" si="8"/>
        <v>22.6</v>
      </c>
      <c r="E37" s="445">
        <f t="shared" si="9"/>
        <v>0.22535514863687472</v>
      </c>
      <c r="F37" s="103"/>
      <c r="G37" s="194">
        <f>KLP!F10+KLP!F29+KLP!F87+KLP!F135</f>
        <v>2241526.4711500001</v>
      </c>
      <c r="H37" s="194">
        <f>KLP!G10+KLP!G29+KLP!G87+KLP!G135</f>
        <v>2344983.7411500001</v>
      </c>
      <c r="I37" s="104">
        <f t="shared" si="10"/>
        <v>4.5999999999999996</v>
      </c>
      <c r="J37" s="445">
        <f t="shared" si="11"/>
        <v>0.78564074443627963</v>
      </c>
      <c r="K37" s="87" t="s">
        <v>236</v>
      </c>
      <c r="L37" s="239">
        <f t="shared" ca="1" si="12"/>
        <v>0</v>
      </c>
      <c r="M37" s="237">
        <f t="shared" ca="1" si="13"/>
        <v>0</v>
      </c>
      <c r="N37" s="239">
        <f t="shared" ca="1" si="14"/>
        <v>0</v>
      </c>
      <c r="O37" s="237">
        <f t="shared" ca="1" si="15"/>
        <v>0</v>
      </c>
    </row>
    <row r="38" spans="1:20" ht="18.75" x14ac:dyDescent="0.3">
      <c r="A38" s="108" t="s">
        <v>98</v>
      </c>
      <c r="B38" s="132">
        <f>'KLP Bedriftspensjon AS'!F7+'KLP Bedriftspensjon AS'!F22+'KLP Bedriftspensjon AS'!F66+'KLP Bedriftspensjon AS'!F134</f>
        <v>89510</v>
      </c>
      <c r="C38" s="132">
        <f>'KLP Bedriftspensjon AS'!G7+'KLP Bedriftspensjon AS'!G22+'KLP Bedriftspensjon AS'!G66+'KLP Bedriftspensjon AS'!G134</f>
        <v>108569</v>
      </c>
      <c r="D38" s="104">
        <f t="shared" si="8"/>
        <v>21.3</v>
      </c>
      <c r="E38" s="445">
        <f t="shared" si="9"/>
        <v>1.1720082064657353</v>
      </c>
      <c r="F38" s="103"/>
      <c r="G38" s="194">
        <f>'KLP Bedriftspensjon AS'!F10+'KLP Bedriftspensjon AS'!F29+'KLP Bedriftspensjon AS'!F87+'KLP Bedriftspensjon AS'!F135</f>
        <v>1965832</v>
      </c>
      <c r="H38" s="194">
        <f>'KLP Bedriftspensjon AS'!G10+'KLP Bedriftspensjon AS'!G29+'KLP Bedriftspensjon AS'!G87+'KLP Bedriftspensjon AS'!G135</f>
        <v>2816074</v>
      </c>
      <c r="I38" s="104">
        <f t="shared" si="10"/>
        <v>43.3</v>
      </c>
      <c r="J38" s="445">
        <f t="shared" si="11"/>
        <v>0.94347028293793656</v>
      </c>
      <c r="K38" s="87" t="s">
        <v>229</v>
      </c>
      <c r="L38" s="239">
        <f t="shared" ca="1" si="12"/>
        <v>0</v>
      </c>
      <c r="M38" s="237">
        <f t="shared" ca="1" si="13"/>
        <v>0</v>
      </c>
      <c r="N38" s="239">
        <f t="shared" ca="1" si="14"/>
        <v>0</v>
      </c>
      <c r="O38" s="237">
        <f t="shared" ca="1" si="15"/>
        <v>0</v>
      </c>
    </row>
    <row r="39" spans="1:20" ht="18.75" x14ac:dyDescent="0.3">
      <c r="A39" s="108" t="s">
        <v>102</v>
      </c>
      <c r="B39" s="132">
        <f>'Nordea Liv '!F7+'Nordea Liv '!F22+'Nordea Liv '!F66+'Nordea Liv '!F134</f>
        <v>2401470.4565099999</v>
      </c>
      <c r="C39" s="132">
        <f>'Nordea Liv '!G7+'Nordea Liv '!G22+'Nordea Liv '!G66+'Nordea Liv '!G134</f>
        <v>2294973.0361000001</v>
      </c>
      <c r="D39" s="104">
        <f t="shared" si="8"/>
        <v>-4.4000000000000004</v>
      </c>
      <c r="E39" s="445">
        <f t="shared" si="9"/>
        <v>24.774357615219671</v>
      </c>
      <c r="F39" s="103"/>
      <c r="G39" s="194">
        <f>'Nordea Liv '!F10+'Nordea Liv '!F29+'Nordea Liv '!F87+'Nordea Liv '!F135</f>
        <v>50143350</v>
      </c>
      <c r="H39" s="194">
        <f>'Nordea Liv '!G10+'Nordea Liv '!G29+'Nordea Liv '!G87+'Nordea Liv '!G135</f>
        <v>58443269.995210707</v>
      </c>
      <c r="I39" s="104">
        <f t="shared" si="10"/>
        <v>16.600000000000001</v>
      </c>
      <c r="J39" s="445">
        <f t="shared" si="11"/>
        <v>19.580269722386436</v>
      </c>
      <c r="K39" s="87" t="s">
        <v>237</v>
      </c>
      <c r="L39" s="239">
        <f t="shared" ca="1" si="12"/>
        <v>0</v>
      </c>
      <c r="M39" s="237">
        <f t="shared" ca="1" si="13"/>
        <v>0</v>
      </c>
      <c r="N39" s="239">
        <f t="shared" ca="1" si="14"/>
        <v>0</v>
      </c>
      <c r="O39" s="237">
        <f t="shared" ca="1" si="15"/>
        <v>0</v>
      </c>
    </row>
    <row r="40" spans="1:20" ht="18.75" x14ac:dyDescent="0.3">
      <c r="A40" s="108" t="s">
        <v>76</v>
      </c>
      <c r="B40" s="132">
        <f>'SHB Liv'!F7+'SHB Liv'!F22+'SHB Liv'!F66+'SHB Liv'!F134</f>
        <v>33664</v>
      </c>
      <c r="C40" s="132">
        <f>'SHB Liv'!G7+'SHB Liv'!G22+'SHB Liv'!G66+'SHB Liv'!G134</f>
        <v>42877</v>
      </c>
      <c r="D40" s="104">
        <f t="shared" si="8"/>
        <v>27.4</v>
      </c>
      <c r="E40" s="445">
        <f t="shared" si="9"/>
        <v>0.46285952591099977</v>
      </c>
      <c r="F40" s="103"/>
      <c r="G40" s="194">
        <f>'SHB Liv'!F10+'SHB Liv'!F29+'SHB Liv'!F87+'SHB Liv'!F135</f>
        <v>1836877</v>
      </c>
      <c r="H40" s="194">
        <f>'SHB Liv'!G10+'SHB Liv'!G29+'SHB Liv'!G87+'SHB Liv'!G135</f>
        <v>2055445</v>
      </c>
      <c r="I40" s="104">
        <f t="shared" si="10"/>
        <v>11.9</v>
      </c>
      <c r="J40" s="445">
        <f t="shared" si="11"/>
        <v>0.68863647607036138</v>
      </c>
      <c r="K40" s="223"/>
      <c r="L40" s="239">
        <f t="shared" ca="1" si="12"/>
        <v>0</v>
      </c>
      <c r="M40" s="237">
        <f t="shared" ca="1" si="13"/>
        <v>0</v>
      </c>
      <c r="N40" s="239">
        <f t="shared" ca="1" si="14"/>
        <v>0</v>
      </c>
      <c r="O40" s="237">
        <f t="shared" ca="1" si="15"/>
        <v>0</v>
      </c>
    </row>
    <row r="41" spans="1:20" ht="18.75" x14ac:dyDescent="0.3">
      <c r="A41" s="86" t="s">
        <v>72</v>
      </c>
      <c r="B41" s="132">
        <f>'Sparebank 1'!F7+'Sparebank 1'!F22+'Sparebank 1'!F66+'Sparebank 1'!F134</f>
        <v>697464.44410999992</v>
      </c>
      <c r="C41" s="132">
        <f>'Sparebank 1'!G7+'Sparebank 1'!G22+'Sparebank 1'!G66+'Sparebank 1'!G134</f>
        <v>912443.09380000003</v>
      </c>
      <c r="D41" s="104">
        <f t="shared" si="8"/>
        <v>30.8</v>
      </c>
      <c r="E41" s="445">
        <f t="shared" si="9"/>
        <v>9.8498723748637698</v>
      </c>
      <c r="F41" s="103"/>
      <c r="G41" s="194">
        <f>'Sparebank 1'!F10+'Sparebank 1'!F29+'Sparebank 1'!F87+'Sparebank 1'!F135</f>
        <v>20880311.99315</v>
      </c>
      <c r="H41" s="194">
        <f>'Sparebank 1'!G10+'Sparebank 1'!G29+'Sparebank 1'!G87+'Sparebank 1'!G135</f>
        <v>26221241.436800003</v>
      </c>
      <c r="I41" s="104">
        <f t="shared" si="10"/>
        <v>25.6</v>
      </c>
      <c r="J41" s="445">
        <f t="shared" si="11"/>
        <v>8.784911929644478</v>
      </c>
      <c r="K41" s="223"/>
      <c r="L41" s="239">
        <f t="shared" ca="1" si="12"/>
        <v>0</v>
      </c>
      <c r="M41" s="237">
        <f t="shared" ca="1" si="13"/>
        <v>0</v>
      </c>
      <c r="N41" s="239">
        <f t="shared" ca="1" si="14"/>
        <v>0</v>
      </c>
      <c r="O41" s="237">
        <f t="shared" ca="1" si="15"/>
        <v>0</v>
      </c>
    </row>
    <row r="42" spans="1:20" ht="18.75" x14ac:dyDescent="0.3">
      <c r="A42" s="86" t="s">
        <v>104</v>
      </c>
      <c r="B42" s="132">
        <f>'Storebrand Livsforsikring'!F7+'Storebrand Livsforsikring'!F22+'Storebrand Livsforsikring'!F66+'Storebrand Livsforsikring'!F134</f>
        <v>2537946.216</v>
      </c>
      <c r="C42" s="132">
        <f>'Storebrand Livsforsikring'!G7+'Storebrand Livsforsikring'!G22+'Storebrand Livsforsikring'!G66+'Storebrand Livsforsikring'!G134</f>
        <v>2667749.4759999998</v>
      </c>
      <c r="D42" s="104">
        <f t="shared" si="8"/>
        <v>5.0999999999999996</v>
      </c>
      <c r="E42" s="445">
        <f t="shared" si="9"/>
        <v>28.798499375205306</v>
      </c>
      <c r="F42" s="103"/>
      <c r="G42" s="194">
        <f>'Storebrand Livsforsikring'!F10+'Storebrand Livsforsikring'!F29+'Storebrand Livsforsikring'!F87+'Storebrand Livsforsikring'!F135</f>
        <v>67802748.372999996</v>
      </c>
      <c r="H42" s="194">
        <f>'Storebrand Livsforsikring'!G10+'Storebrand Livsforsikring'!G29+'Storebrand Livsforsikring'!G87+'Storebrand Livsforsikring'!G135</f>
        <v>89292605.564999998</v>
      </c>
      <c r="I42" s="104">
        <f t="shared" si="10"/>
        <v>31.7</v>
      </c>
      <c r="J42" s="445">
        <f t="shared" si="11"/>
        <v>29.915733690476923</v>
      </c>
      <c r="K42" s="141"/>
      <c r="L42" s="239" t="e">
        <f ca="1">INDIRECT("'" &amp;#REF! &amp; "'!" &amp; $P$33)</f>
        <v>#REF!</v>
      </c>
      <c r="M42" s="237" t="e">
        <f ca="1">INDIRECT("'" &amp;#REF! &amp; "'!" &amp; $P$34)</f>
        <v>#REF!</v>
      </c>
      <c r="N42" s="239" t="e">
        <f ca="1">INDIRECT("'" &amp;#REF! &amp; "'!" &amp; $P$35)</f>
        <v>#REF!</v>
      </c>
      <c r="O42" s="237" t="e">
        <f ca="1">INDIRECT("'"&amp;#REF!&amp;"'!"&amp;$P$36)</f>
        <v>#REF!</v>
      </c>
    </row>
    <row r="43" spans="1:20" ht="18.75" x14ac:dyDescent="0.3">
      <c r="A43" s="101" t="s">
        <v>108</v>
      </c>
      <c r="B43" s="257">
        <f>SUM(B33:B42)</f>
        <v>8963874.7946199998</v>
      </c>
      <c r="C43" s="257">
        <f>SUM(C33:C42)</f>
        <v>9263501.6889000013</v>
      </c>
      <c r="D43" s="104">
        <f t="shared" si="8"/>
        <v>3.3</v>
      </c>
      <c r="E43" s="446">
        <f>SUM(E33:E42)</f>
        <v>99.999999999999986</v>
      </c>
      <c r="F43" s="110"/>
      <c r="G43" s="196">
        <f>SUM(G33:G42)</f>
        <v>246771095.2983</v>
      </c>
      <c r="H43" s="196">
        <f>SUM(H33:H42)</f>
        <v>298480413.31316072</v>
      </c>
      <c r="I43" s="104">
        <f t="shared" si="10"/>
        <v>21</v>
      </c>
      <c r="J43" s="446">
        <f>SUM(J33:J42)</f>
        <v>99.999999999999986</v>
      </c>
      <c r="K43" s="141"/>
      <c r="L43" s="239">
        <f ca="1">INDIRECT("'" &amp; $A41 &amp; "'!" &amp; $P$33)</f>
        <v>0</v>
      </c>
      <c r="M43" s="237">
        <f ca="1">INDIRECT("'" &amp; $A41 &amp; "'!" &amp; $P$34)</f>
        <v>0</v>
      </c>
      <c r="N43" s="239">
        <f ca="1">INDIRECT("'" &amp; $A41 &amp; "'!" &amp; $P$35)</f>
        <v>0</v>
      </c>
      <c r="O43" s="237">
        <f ca="1">INDIRECT("'"&amp;$A41&amp;"'!"&amp;$P$36)</f>
        <v>0</v>
      </c>
    </row>
    <row r="44" spans="1:20" ht="18.75" x14ac:dyDescent="0.3">
      <c r="A44" s="101"/>
      <c r="B44" s="132"/>
      <c r="C44" s="110"/>
      <c r="D44" s="111"/>
      <c r="E44" s="445"/>
      <c r="F44" s="110"/>
      <c r="G44" s="196"/>
      <c r="H44" s="110"/>
      <c r="I44" s="111"/>
      <c r="J44" s="446"/>
      <c r="K44" s="141"/>
      <c r="L44" s="239">
        <f ca="1">INDIRECT("'" &amp; $A42 &amp; "'!" &amp; $P$33)</f>
        <v>0</v>
      </c>
      <c r="M44" s="237">
        <f ca="1">INDIRECT("'" &amp; $A42 &amp; "'!" &amp; $P$34)</f>
        <v>0</v>
      </c>
      <c r="N44" s="239">
        <f ca="1">INDIRECT("'" &amp; $A42 &amp; "'!" &amp; $P$35)</f>
        <v>0</v>
      </c>
      <c r="O44" s="237">
        <f ca="1">INDIRECT("'"&amp;$A42&amp;"'!"&amp;$P$36)</f>
        <v>0</v>
      </c>
    </row>
    <row r="45" spans="1:20" s="112" customFormat="1" ht="18.75" x14ac:dyDescent="0.3">
      <c r="A45" s="86"/>
      <c r="B45" s="132"/>
      <c r="C45" s="103"/>
      <c r="D45" s="104"/>
      <c r="E45" s="445"/>
      <c r="F45" s="103"/>
      <c r="G45" s="194"/>
      <c r="H45" s="103"/>
      <c r="I45" s="104"/>
      <c r="J45" s="445"/>
      <c r="K45" s="141"/>
      <c r="L45" s="239" t="e">
        <f ca="1">SUM(L34:L44)</f>
        <v>#REF!</v>
      </c>
      <c r="M45" s="237" t="e">
        <f t="shared" ref="M45:O45" ca="1" si="16">SUM(M34:M44)</f>
        <v>#REF!</v>
      </c>
      <c r="N45" s="239" t="e">
        <f t="shared" ca="1" si="16"/>
        <v>#REF!</v>
      </c>
      <c r="O45" s="237" t="e">
        <f t="shared" ca="1" si="16"/>
        <v>#REF!</v>
      </c>
    </row>
    <row r="46" spans="1:20" ht="18.75" x14ac:dyDescent="0.3">
      <c r="A46" s="101" t="s">
        <v>109</v>
      </c>
      <c r="B46" s="132"/>
      <c r="C46" s="103"/>
      <c r="D46" s="104"/>
      <c r="E46" s="445"/>
      <c r="F46" s="103"/>
      <c r="G46" s="194"/>
      <c r="H46" s="103"/>
      <c r="I46" s="104"/>
      <c r="J46" s="445"/>
      <c r="K46" s="141"/>
      <c r="L46" s="236" t="s">
        <v>109</v>
      </c>
      <c r="M46" s="242"/>
      <c r="N46" s="243"/>
      <c r="O46" s="242"/>
    </row>
    <row r="47" spans="1:20" ht="18.75" x14ac:dyDescent="0.3">
      <c r="A47" s="86" t="s">
        <v>88</v>
      </c>
      <c r="B47" s="132">
        <f>B9</f>
        <v>0</v>
      </c>
      <c r="C47" s="198">
        <f>C9</f>
        <v>0</v>
      </c>
      <c r="D47" s="104"/>
      <c r="E47" s="445">
        <f t="shared" ref="E47:E68" si="17">100/C$69*C47</f>
        <v>0</v>
      </c>
      <c r="F47" s="103"/>
      <c r="G47" s="194">
        <f>G9</f>
        <v>0</v>
      </c>
      <c r="H47" s="194">
        <f>H9</f>
        <v>0</v>
      </c>
      <c r="I47" s="104"/>
      <c r="J47" s="445">
        <f t="shared" ref="J47:J68" si="18">100/H$69*H47</f>
        <v>0</v>
      </c>
      <c r="K47" s="141"/>
      <c r="L47" s="240">
        <v>2015</v>
      </c>
      <c r="M47" s="241">
        <v>2016</v>
      </c>
      <c r="N47" s="240">
        <v>2015</v>
      </c>
      <c r="O47" s="241">
        <v>2016</v>
      </c>
    </row>
    <row r="48" spans="1:20" ht="18.75" x14ac:dyDescent="0.3">
      <c r="A48" s="108" t="s">
        <v>89</v>
      </c>
      <c r="B48" s="132">
        <f>B10+B33</f>
        <v>582647.679</v>
      </c>
      <c r="C48" s="103">
        <f>C10+C33</f>
        <v>618076.13399999996</v>
      </c>
      <c r="D48" s="104">
        <f t="shared" ref="D48:D68" si="19">IF(B48=0, "    ---- ", IF(ABS(ROUND(100/B48*C48-100,1))&lt;999,ROUND(100/B48*C48-100,1),IF(ROUND(100/B48*C48-100,1)&gt;999,999,-999)))</f>
        <v>6.1</v>
      </c>
      <c r="E48" s="445">
        <f t="shared" si="17"/>
        <v>2.5209624648408036</v>
      </c>
      <c r="F48" s="103"/>
      <c r="G48" s="194">
        <f>G10+G33</f>
        <v>15954124.279999999</v>
      </c>
      <c r="H48" s="194">
        <f>H10+H33</f>
        <v>17762882.140999999</v>
      </c>
      <c r="I48" s="104">
        <f t="shared" ref="I48:I66" si="20">IF(G48=0, "    ---- ", IF(ABS(ROUND(100/G48*H48-100,1))&lt;999,ROUND(100/G48*H48-100,1),IF(ROUND(100/G48*H48-100,1)&gt;999,999,-999)))</f>
        <v>11.3</v>
      </c>
      <c r="J48" s="445">
        <f t="shared" si="18"/>
        <v>1.3840873580354067</v>
      </c>
      <c r="K48" s="141"/>
      <c r="L48" s="239"/>
      <c r="M48" s="237"/>
      <c r="N48" s="239"/>
      <c r="O48" s="237"/>
      <c r="P48" s="223"/>
      <c r="Q48" s="223"/>
      <c r="R48" s="223"/>
      <c r="S48" s="200"/>
      <c r="T48" s="141"/>
    </row>
    <row r="49" spans="1:20" ht="18.75" x14ac:dyDescent="0.3">
      <c r="A49" s="86" t="s">
        <v>90</v>
      </c>
      <c r="B49" s="132">
        <f>B11+B34</f>
        <v>4141772</v>
      </c>
      <c r="C49" s="103">
        <f>+C11+C34</f>
        <v>3706359</v>
      </c>
      <c r="D49" s="104">
        <f t="shared" si="19"/>
        <v>-10.5</v>
      </c>
      <c r="E49" s="445">
        <f t="shared" si="17"/>
        <v>15.11721842381459</v>
      </c>
      <c r="F49" s="103"/>
      <c r="G49" s="194">
        <f>+G11+G34</f>
        <v>268509582</v>
      </c>
      <c r="H49" s="194">
        <f>+H11+H34</f>
        <v>277714492.5</v>
      </c>
      <c r="I49" s="104">
        <f t="shared" si="20"/>
        <v>3.4</v>
      </c>
      <c r="J49" s="445">
        <f t="shared" si="18"/>
        <v>21.63956925240451</v>
      </c>
      <c r="K49" s="141"/>
      <c r="L49" s="239">
        <f ca="1">L9</f>
        <v>0</v>
      </c>
      <c r="M49" s="244">
        <f ca="1">M9</f>
        <v>0</v>
      </c>
      <c r="N49" s="239">
        <f ca="1">N9</f>
        <v>0</v>
      </c>
      <c r="O49" s="244">
        <f ca="1">O9</f>
        <v>0</v>
      </c>
      <c r="P49" s="223"/>
      <c r="Q49" s="223"/>
      <c r="R49" s="223"/>
      <c r="S49" s="200"/>
      <c r="T49" s="141"/>
    </row>
    <row r="50" spans="1:20" ht="18.75" x14ac:dyDescent="0.3">
      <c r="A50" s="86" t="s">
        <v>91</v>
      </c>
      <c r="B50" s="132">
        <f>B12</f>
        <v>58168</v>
      </c>
      <c r="C50" s="103">
        <f>C12</f>
        <v>66623</v>
      </c>
      <c r="D50" s="104">
        <f t="shared" si="19"/>
        <v>14.5</v>
      </c>
      <c r="E50" s="445">
        <f t="shared" si="17"/>
        <v>0.2717368832997018</v>
      </c>
      <c r="F50" s="103"/>
      <c r="G50" s="194">
        <f>G12</f>
        <v>0</v>
      </c>
      <c r="H50" s="194">
        <f>H12</f>
        <v>0</v>
      </c>
      <c r="I50" s="104"/>
      <c r="J50" s="445">
        <f t="shared" si="18"/>
        <v>0</v>
      </c>
      <c r="K50" s="141"/>
      <c r="L50" s="239">
        <f ca="1">L10+L34</f>
        <v>0</v>
      </c>
      <c r="M50" s="237">
        <f ca="1">M10+M34</f>
        <v>0</v>
      </c>
      <c r="N50" s="239">
        <f ca="1">N10+N34</f>
        <v>0</v>
      </c>
      <c r="O50" s="237">
        <f ca="1">O10+O34</f>
        <v>0</v>
      </c>
      <c r="P50" s="223"/>
      <c r="Q50" s="223"/>
      <c r="R50" s="223"/>
      <c r="S50" s="200"/>
      <c r="T50" s="141"/>
    </row>
    <row r="51" spans="1:20" ht="18.75" x14ac:dyDescent="0.3">
      <c r="A51" s="108" t="s">
        <v>92</v>
      </c>
      <c r="B51" s="132">
        <f>B13+B35</f>
        <v>570768</v>
      </c>
      <c r="C51" s="106">
        <f>C13+C35</f>
        <v>607315</v>
      </c>
      <c r="D51" s="107">
        <f t="shared" si="19"/>
        <v>6.4</v>
      </c>
      <c r="E51" s="447">
        <f t="shared" si="17"/>
        <v>2.4770707605655464</v>
      </c>
      <c r="F51" s="106"/>
      <c r="G51" s="195">
        <f>G13+G35</f>
        <v>3870961</v>
      </c>
      <c r="H51" s="195">
        <f>H13+H35</f>
        <v>4352701</v>
      </c>
      <c r="I51" s="104">
        <f t="shared" si="20"/>
        <v>12.4</v>
      </c>
      <c r="J51" s="445">
        <f t="shared" si="18"/>
        <v>0.33916333957440253</v>
      </c>
      <c r="K51" s="141"/>
      <c r="L51" s="239">
        <f ca="1">L11+L35</f>
        <v>0</v>
      </c>
      <c r="M51" s="237">
        <f ca="1">+M11+M35</f>
        <v>0</v>
      </c>
      <c r="N51" s="239">
        <f ca="1">+N11+N35</f>
        <v>0</v>
      </c>
      <c r="O51" s="237">
        <f ca="1">+O11+O35</f>
        <v>0</v>
      </c>
      <c r="P51" s="223"/>
      <c r="Q51" s="223"/>
      <c r="R51" s="223"/>
      <c r="S51" s="200"/>
      <c r="T51" s="141"/>
    </row>
    <row r="52" spans="1:20" ht="18.75" x14ac:dyDescent="0.3">
      <c r="A52" s="108" t="s">
        <v>93</v>
      </c>
      <c r="B52" s="132">
        <f>B14</f>
        <v>4414</v>
      </c>
      <c r="C52" s="106">
        <f>C14</f>
        <v>4814</v>
      </c>
      <c r="D52" s="107">
        <f t="shared" si="19"/>
        <v>9.1</v>
      </c>
      <c r="E52" s="447">
        <f t="shared" si="17"/>
        <v>1.9634981255794014E-2</v>
      </c>
      <c r="F52" s="106"/>
      <c r="G52" s="195">
        <f>G14</f>
        <v>0</v>
      </c>
      <c r="H52" s="195">
        <f>H14</f>
        <v>0</v>
      </c>
      <c r="I52" s="104"/>
      <c r="J52" s="445">
        <f t="shared" si="18"/>
        <v>0</v>
      </c>
      <c r="K52" s="141"/>
      <c r="L52" s="239">
        <f ca="1">L12</f>
        <v>0</v>
      </c>
      <c r="M52" s="237">
        <f ca="1">M12</f>
        <v>0</v>
      </c>
      <c r="N52" s="239">
        <f ca="1">N12</f>
        <v>0</v>
      </c>
      <c r="O52" s="237">
        <f ca="1">+O12+O36</f>
        <v>0</v>
      </c>
      <c r="P52" s="223"/>
      <c r="Q52" s="223"/>
      <c r="R52" s="223"/>
      <c r="S52" s="200"/>
      <c r="T52" s="141"/>
    </row>
    <row r="53" spans="1:20" ht="18.75" x14ac:dyDescent="0.3">
      <c r="A53" s="86" t="s">
        <v>94</v>
      </c>
      <c r="B53" s="103">
        <f>B15</f>
        <v>1033220</v>
      </c>
      <c r="C53" s="103">
        <f>+C15</f>
        <v>1052245</v>
      </c>
      <c r="D53" s="104">
        <f t="shared" si="19"/>
        <v>1.8</v>
      </c>
      <c r="E53" s="445">
        <f t="shared" si="17"/>
        <v>4.2918177921692919</v>
      </c>
      <c r="F53" s="103"/>
      <c r="G53" s="194">
        <f>+G15</f>
        <v>0</v>
      </c>
      <c r="H53" s="194">
        <f>+H15</f>
        <v>0</v>
      </c>
      <c r="I53" s="104"/>
      <c r="J53" s="445">
        <f t="shared" si="18"/>
        <v>0</v>
      </c>
      <c r="K53" s="141"/>
      <c r="L53" s="239">
        <f ca="1">L13+L36</f>
        <v>0</v>
      </c>
      <c r="M53" s="237">
        <f ca="1">M13+M36</f>
        <v>0</v>
      </c>
      <c r="N53" s="239">
        <f ca="1">N13+N36</f>
        <v>0</v>
      </c>
      <c r="O53" s="237">
        <f ca="1">O13+O36</f>
        <v>0</v>
      </c>
      <c r="P53" s="226"/>
      <c r="Q53" s="226"/>
      <c r="R53" s="226"/>
      <c r="S53" s="200"/>
      <c r="T53" s="141"/>
    </row>
    <row r="54" spans="1:20" ht="18.75" x14ac:dyDescent="0.3">
      <c r="A54" s="86" t="s">
        <v>95</v>
      </c>
      <c r="B54" s="103">
        <f>B16+B36</f>
        <v>757973</v>
      </c>
      <c r="C54" s="103">
        <f>C16+C36</f>
        <v>860118</v>
      </c>
      <c r="D54" s="104">
        <f t="shared" si="19"/>
        <v>13.5</v>
      </c>
      <c r="E54" s="445">
        <f t="shared" si="17"/>
        <v>3.5081846297821011</v>
      </c>
      <c r="F54" s="103"/>
      <c r="G54" s="194">
        <f>G16+G36</f>
        <v>24989252</v>
      </c>
      <c r="H54" s="194">
        <f>H16+H36</f>
        <v>28922629</v>
      </c>
      <c r="I54" s="104">
        <f t="shared" si="20"/>
        <v>15.7</v>
      </c>
      <c r="J54" s="445">
        <f t="shared" si="18"/>
        <v>2.2536570834779281</v>
      </c>
      <c r="K54" s="141"/>
      <c r="L54" s="239">
        <f ca="1">L14</f>
        <v>0</v>
      </c>
      <c r="M54" s="237">
        <f ca="1">M14</f>
        <v>0</v>
      </c>
      <c r="N54" s="239">
        <f ca="1">N14</f>
        <v>0</v>
      </c>
      <c r="O54" s="237">
        <f ca="1">O14</f>
        <v>0</v>
      </c>
      <c r="P54" s="226"/>
      <c r="Q54" s="226"/>
      <c r="R54" s="226"/>
      <c r="S54" s="200"/>
      <c r="T54" s="141"/>
    </row>
    <row r="55" spans="1:20" ht="18.75" x14ac:dyDescent="0.3">
      <c r="A55" s="86" t="s">
        <v>96</v>
      </c>
      <c r="B55" s="103">
        <f>B17</f>
        <v>11269</v>
      </c>
      <c r="C55" s="103">
        <f>+C17</f>
        <v>10248</v>
      </c>
      <c r="D55" s="104">
        <f t="shared" si="19"/>
        <v>-9.1</v>
      </c>
      <c r="E55" s="445">
        <f t="shared" si="17"/>
        <v>4.1798771896422317E-2</v>
      </c>
      <c r="F55" s="103"/>
      <c r="G55" s="194">
        <f>+G17</f>
        <v>27115</v>
      </c>
      <c r="H55" s="194">
        <f>+H17</f>
        <v>23193</v>
      </c>
      <c r="I55" s="104">
        <f t="shared" si="20"/>
        <v>-14.5</v>
      </c>
      <c r="J55" s="445">
        <f t="shared" si="18"/>
        <v>1.8072032365074279E-3</v>
      </c>
      <c r="K55" s="141"/>
      <c r="L55" s="239">
        <f ca="1">L15</f>
        <v>0</v>
      </c>
      <c r="M55" s="237">
        <f ca="1">+M15</f>
        <v>0</v>
      </c>
      <c r="N55" s="239">
        <f ca="1">+N15</f>
        <v>0</v>
      </c>
      <c r="O55" s="237">
        <f ca="1">+O15</f>
        <v>0</v>
      </c>
      <c r="P55" s="223"/>
      <c r="Q55" s="223"/>
      <c r="R55" s="223"/>
      <c r="S55" s="200"/>
      <c r="T55" s="141"/>
    </row>
    <row r="56" spans="1:20" ht="18.75" x14ac:dyDescent="0.3">
      <c r="A56" s="86" t="s">
        <v>97</v>
      </c>
      <c r="B56" s="103">
        <f>B18</f>
        <v>171195.791</v>
      </c>
      <c r="C56" s="103">
        <f>+C18</f>
        <v>153678.71638</v>
      </c>
      <c r="D56" s="104">
        <f t="shared" si="19"/>
        <v>-10.199999999999999</v>
      </c>
      <c r="E56" s="445">
        <f t="shared" si="17"/>
        <v>0.62681319392101875</v>
      </c>
      <c r="F56" s="103"/>
      <c r="G56" s="194">
        <f>+G18</f>
        <v>0</v>
      </c>
      <c r="H56" s="194">
        <f>+H18</f>
        <v>0</v>
      </c>
      <c r="I56" s="104"/>
      <c r="J56" s="445">
        <f t="shared" si="18"/>
        <v>0</v>
      </c>
      <c r="K56" s="141"/>
      <c r="L56" s="239">
        <f ca="1">L16+L37</f>
        <v>0</v>
      </c>
      <c r="M56" s="237">
        <f ca="1">M16+M37</f>
        <v>0</v>
      </c>
      <c r="N56" s="239">
        <f ca="1">N16+N37</f>
        <v>0</v>
      </c>
      <c r="O56" s="237">
        <f ca="1">O16+O37</f>
        <v>0</v>
      </c>
      <c r="P56" s="223"/>
      <c r="Q56" s="223"/>
      <c r="R56" s="223"/>
      <c r="S56" s="200"/>
      <c r="T56" s="141"/>
    </row>
    <row r="57" spans="1:20" ht="18.75" x14ac:dyDescent="0.3">
      <c r="A57" s="86" t="s">
        <v>65</v>
      </c>
      <c r="B57" s="106">
        <f>B19+B37</f>
        <v>6305926.5981200002</v>
      </c>
      <c r="C57" s="106">
        <f>C19+C37</f>
        <v>6328298.2141200006</v>
      </c>
      <c r="D57" s="107">
        <f t="shared" si="19"/>
        <v>0.4</v>
      </c>
      <c r="E57" s="447">
        <f t="shared" si="17"/>
        <v>25.811386957897991</v>
      </c>
      <c r="F57" s="106"/>
      <c r="G57" s="195">
        <f>G19+G37</f>
        <v>427651039.34257001</v>
      </c>
      <c r="H57" s="195">
        <f>H19+H37</f>
        <v>453056558.18492001</v>
      </c>
      <c r="I57" s="104">
        <f t="shared" si="20"/>
        <v>5.9</v>
      </c>
      <c r="J57" s="445">
        <f t="shared" si="18"/>
        <v>35.302258365571646</v>
      </c>
      <c r="K57" s="141"/>
      <c r="L57" s="239">
        <f ca="1">L17</f>
        <v>0</v>
      </c>
      <c r="M57" s="237">
        <f t="shared" ref="M57:O58" ca="1" si="21">+M17</f>
        <v>0</v>
      </c>
      <c r="N57" s="239">
        <f t="shared" ca="1" si="21"/>
        <v>0</v>
      </c>
      <c r="O57" s="237">
        <f t="shared" ca="1" si="21"/>
        <v>0</v>
      </c>
      <c r="P57" s="223"/>
      <c r="Q57" s="223"/>
      <c r="R57" s="223"/>
      <c r="S57" s="200"/>
      <c r="T57" s="141"/>
    </row>
    <row r="58" spans="1:20" ht="18.75" x14ac:dyDescent="0.3">
      <c r="A58" s="86" t="s">
        <v>98</v>
      </c>
      <c r="B58" s="103">
        <f>B20+B38</f>
        <v>110948</v>
      </c>
      <c r="C58" s="103">
        <f>+C20+C38</f>
        <v>129187</v>
      </c>
      <c r="D58" s="104">
        <f t="shared" si="19"/>
        <v>16.399999999999999</v>
      </c>
      <c r="E58" s="445">
        <f t="shared" si="17"/>
        <v>0.52691822257836751</v>
      </c>
      <c r="F58" s="103"/>
      <c r="G58" s="194">
        <f>G20+G38</f>
        <v>3424952</v>
      </c>
      <c r="H58" s="194">
        <f>H20+H38</f>
        <v>4333164</v>
      </c>
      <c r="I58" s="104">
        <f t="shared" si="20"/>
        <v>26.5</v>
      </c>
      <c r="J58" s="445">
        <f t="shared" si="18"/>
        <v>0.33764101259507057</v>
      </c>
      <c r="K58" s="141"/>
      <c r="L58" s="239">
        <f ca="1">L18</f>
        <v>0</v>
      </c>
      <c r="M58" s="237">
        <f t="shared" ca="1" si="21"/>
        <v>0</v>
      </c>
      <c r="N58" s="239">
        <f t="shared" ca="1" si="21"/>
        <v>0</v>
      </c>
      <c r="O58" s="237">
        <f t="shared" ca="1" si="21"/>
        <v>0</v>
      </c>
      <c r="P58" s="223"/>
      <c r="Q58" s="223"/>
      <c r="R58" s="223"/>
      <c r="S58" s="200"/>
      <c r="T58" s="141"/>
    </row>
    <row r="59" spans="1:20" ht="18.75" x14ac:dyDescent="0.3">
      <c r="A59" s="86" t="s">
        <v>99</v>
      </c>
      <c r="B59" s="103">
        <f t="shared" ref="B59:C61" si="22">B21</f>
        <v>117684.757</v>
      </c>
      <c r="C59" s="103">
        <f t="shared" si="22"/>
        <v>107643.077</v>
      </c>
      <c r="D59" s="104">
        <f t="shared" si="19"/>
        <v>-8.5</v>
      </c>
      <c r="E59" s="445">
        <f t="shared" si="17"/>
        <v>0.43904648924200074</v>
      </c>
      <c r="F59" s="103"/>
      <c r="G59" s="194">
        <f t="shared" ref="G59:H61" si="23">G21</f>
        <v>3783.1570000000002</v>
      </c>
      <c r="H59" s="194">
        <f t="shared" si="23"/>
        <v>12214.147999999999</v>
      </c>
      <c r="I59" s="104">
        <f t="shared" si="20"/>
        <v>222.9</v>
      </c>
      <c r="J59" s="445">
        <f t="shared" si="18"/>
        <v>9.5172887495281874E-4</v>
      </c>
      <c r="K59" s="141"/>
      <c r="L59" s="239">
        <f ca="1">L19+L38</f>
        <v>0</v>
      </c>
      <c r="M59" s="237">
        <f ca="1">M19+M38</f>
        <v>0</v>
      </c>
      <c r="N59" s="239">
        <f ca="1">N19+N38</f>
        <v>0</v>
      </c>
      <c r="O59" s="237">
        <f ca="1">O19+O38</f>
        <v>0</v>
      </c>
      <c r="P59" s="226"/>
      <c r="Q59" s="226"/>
      <c r="R59" s="226"/>
      <c r="S59" s="200"/>
      <c r="T59" s="141"/>
    </row>
    <row r="60" spans="1:20" ht="18.75" x14ac:dyDescent="0.3">
      <c r="A60" s="86" t="s">
        <v>100</v>
      </c>
      <c r="B60" s="103">
        <f t="shared" si="22"/>
        <v>19934</v>
      </c>
      <c r="C60" s="103">
        <f t="shared" si="22"/>
        <v>21888.014999999999</v>
      </c>
      <c r="D60" s="104">
        <f t="shared" si="19"/>
        <v>9.8000000000000007</v>
      </c>
      <c r="E60" s="445">
        <f t="shared" si="17"/>
        <v>8.9275189915151265E-2</v>
      </c>
      <c r="F60" s="103"/>
      <c r="G60" s="194">
        <f t="shared" si="23"/>
        <v>0</v>
      </c>
      <c r="H60" s="194">
        <f t="shared" si="23"/>
        <v>0</v>
      </c>
      <c r="I60" s="104"/>
      <c r="J60" s="445">
        <f t="shared" si="18"/>
        <v>0</v>
      </c>
      <c r="K60" s="141"/>
      <c r="L60" s="239">
        <f ca="1">L20+L39</f>
        <v>0</v>
      </c>
      <c r="M60" s="237">
        <f ca="1">+M20+M39</f>
        <v>0</v>
      </c>
      <c r="N60" s="239">
        <f ca="1">N20+N39</f>
        <v>0</v>
      </c>
      <c r="O60" s="237">
        <f ca="1">O20+O39</f>
        <v>0</v>
      </c>
      <c r="P60" s="223"/>
      <c r="Q60" s="223"/>
      <c r="R60" s="223"/>
      <c r="S60" s="200"/>
      <c r="T60" s="141"/>
    </row>
    <row r="61" spans="1:20" ht="18.75" x14ac:dyDescent="0.3">
      <c r="A61" s="86" t="s">
        <v>101</v>
      </c>
      <c r="B61" s="103">
        <f t="shared" si="22"/>
        <v>2312</v>
      </c>
      <c r="C61" s="103">
        <f t="shared" si="22"/>
        <v>620</v>
      </c>
      <c r="D61" s="104">
        <f t="shared" si="19"/>
        <v>-73.2</v>
      </c>
      <c r="E61" s="445">
        <f t="shared" si="17"/>
        <v>2.5288093848342933E-3</v>
      </c>
      <c r="F61" s="103"/>
      <c r="G61" s="194">
        <f t="shared" si="23"/>
        <v>0</v>
      </c>
      <c r="H61" s="194">
        <f t="shared" si="23"/>
        <v>0</v>
      </c>
      <c r="I61" s="104"/>
      <c r="J61" s="445">
        <f t="shared" si="18"/>
        <v>0</v>
      </c>
      <c r="K61" s="141"/>
      <c r="L61" s="239">
        <f ca="1">L21</f>
        <v>0</v>
      </c>
      <c r="M61" s="237">
        <f t="shared" ref="M61:M63" ca="1" si="24">M21</f>
        <v>0</v>
      </c>
      <c r="N61" s="239">
        <f t="shared" ref="N61:O61" ca="1" si="25">N21</f>
        <v>0</v>
      </c>
      <c r="O61" s="237">
        <f t="shared" ca="1" si="25"/>
        <v>0</v>
      </c>
      <c r="P61" s="223"/>
      <c r="Q61" s="223"/>
      <c r="R61" s="223"/>
      <c r="S61" s="200"/>
      <c r="T61" s="141"/>
    </row>
    <row r="62" spans="1:20" ht="18.75" x14ac:dyDescent="0.3">
      <c r="A62" s="108" t="s">
        <v>70</v>
      </c>
      <c r="B62" s="103">
        <f>B24+B39</f>
        <v>3219226.6683299998</v>
      </c>
      <c r="C62" s="103">
        <f>+C24+C39</f>
        <v>2960717.1952293962</v>
      </c>
      <c r="D62" s="104">
        <f t="shared" si="19"/>
        <v>-8</v>
      </c>
      <c r="E62" s="445">
        <f t="shared" si="17"/>
        <v>12.075950692155425</v>
      </c>
      <c r="F62" s="103"/>
      <c r="G62" s="194">
        <f>+G24+G39</f>
        <v>99220299.99999997</v>
      </c>
      <c r="H62" s="194">
        <f>+H24+H39</f>
        <v>108274998.58530051</v>
      </c>
      <c r="I62" s="104">
        <f t="shared" si="20"/>
        <v>9.1</v>
      </c>
      <c r="J62" s="445">
        <f t="shared" si="18"/>
        <v>8.4368097217346723</v>
      </c>
      <c r="K62" s="141"/>
      <c r="L62" s="239">
        <f ca="1">L22</f>
        <v>0</v>
      </c>
      <c r="M62" s="237">
        <f t="shared" ca="1" si="24"/>
        <v>0</v>
      </c>
      <c r="N62" s="239">
        <f t="shared" ref="N62:O62" ca="1" si="26">N22</f>
        <v>0</v>
      </c>
      <c r="O62" s="237">
        <f t="shared" ca="1" si="26"/>
        <v>0</v>
      </c>
      <c r="P62" s="223"/>
      <c r="Q62" s="223"/>
      <c r="R62" s="223"/>
      <c r="S62" s="200"/>
      <c r="T62" s="141"/>
    </row>
    <row r="63" spans="1:20" ht="18.75" x14ac:dyDescent="0.3">
      <c r="A63" s="108" t="s">
        <v>103</v>
      </c>
      <c r="B63" s="103">
        <f>B25</f>
        <v>785297</v>
      </c>
      <c r="C63" s="103">
        <f>C25</f>
        <v>725316</v>
      </c>
      <c r="D63" s="104">
        <f t="shared" si="19"/>
        <v>-7.6</v>
      </c>
      <c r="E63" s="445">
        <f t="shared" si="17"/>
        <v>2.9583643673717259</v>
      </c>
      <c r="F63" s="103"/>
      <c r="G63" s="194">
        <f>G25</f>
        <v>66115112</v>
      </c>
      <c r="H63" s="194">
        <f>H25</f>
        <v>71272663</v>
      </c>
      <c r="I63" s="104">
        <f t="shared" si="20"/>
        <v>7.8</v>
      </c>
      <c r="J63" s="445">
        <f t="shared" si="18"/>
        <v>5.5535802719830638</v>
      </c>
      <c r="K63" s="141"/>
      <c r="L63" s="239">
        <f ca="1">L23</f>
        <v>0</v>
      </c>
      <c r="M63" s="237">
        <f t="shared" ca="1" si="24"/>
        <v>0</v>
      </c>
      <c r="N63" s="239">
        <f t="shared" ref="N63:O63" ca="1" si="27">N23</f>
        <v>0</v>
      </c>
      <c r="O63" s="237">
        <f t="shared" ca="1" si="27"/>
        <v>0</v>
      </c>
      <c r="P63" s="223"/>
      <c r="Q63" s="223"/>
      <c r="R63" s="223"/>
      <c r="S63" s="200"/>
      <c r="T63" s="141"/>
    </row>
    <row r="64" spans="1:20" ht="18.75" x14ac:dyDescent="0.3">
      <c r="A64" s="108" t="s">
        <v>76</v>
      </c>
      <c r="B64" s="103">
        <f>B40</f>
        <v>33664</v>
      </c>
      <c r="C64" s="103">
        <f>C40</f>
        <v>42877</v>
      </c>
      <c r="D64" s="104">
        <f t="shared" si="19"/>
        <v>27.4</v>
      </c>
      <c r="E64" s="445">
        <f t="shared" si="17"/>
        <v>0.17488348386054836</v>
      </c>
      <c r="F64" s="103"/>
      <c r="G64" s="194">
        <f>G40</f>
        <v>1836877</v>
      </c>
      <c r="H64" s="194">
        <f>H40</f>
        <v>2055445</v>
      </c>
      <c r="I64" s="104">
        <f t="shared" si="20"/>
        <v>11.9</v>
      </c>
      <c r="J64" s="445">
        <f t="shared" si="18"/>
        <v>0.16016068884848919</v>
      </c>
      <c r="K64" s="141"/>
      <c r="L64" s="239">
        <f ca="1">L24+L40</f>
        <v>0</v>
      </c>
      <c r="M64" s="237">
        <f ca="1">+M24+M40</f>
        <v>0</v>
      </c>
      <c r="N64" s="239">
        <f ca="1">+N24+N40</f>
        <v>0</v>
      </c>
      <c r="O64" s="237">
        <f ca="1">+O24+O40</f>
        <v>0</v>
      </c>
      <c r="P64" s="223"/>
      <c r="Q64" s="223"/>
      <c r="R64" s="223"/>
      <c r="S64" s="200"/>
      <c r="T64" s="141"/>
    </row>
    <row r="65" spans="1:240" ht="18.75" customHeight="1" x14ac:dyDescent="0.3">
      <c r="A65" s="86" t="s">
        <v>72</v>
      </c>
      <c r="B65" s="103">
        <f>B26+B41</f>
        <v>1480437.6664799999</v>
      </c>
      <c r="C65" s="103">
        <f>+C26+C41</f>
        <v>1728965.2914100001</v>
      </c>
      <c r="D65" s="104">
        <f t="shared" si="19"/>
        <v>16.8</v>
      </c>
      <c r="E65" s="445">
        <f t="shared" si="17"/>
        <v>7.0519736370489783</v>
      </c>
      <c r="F65" s="103"/>
      <c r="G65" s="194">
        <f>+G26+G41</f>
        <v>38435986.013189971</v>
      </c>
      <c r="H65" s="194">
        <f>+H26+H41</f>
        <v>45220180.622320004</v>
      </c>
      <c r="I65" s="104">
        <f t="shared" si="20"/>
        <v>17.7</v>
      </c>
      <c r="J65" s="445">
        <f t="shared" si="18"/>
        <v>3.5235655920367002</v>
      </c>
      <c r="K65" s="141"/>
      <c r="L65" s="239">
        <f ca="1">L25</f>
        <v>0</v>
      </c>
      <c r="M65" s="237">
        <f ca="1">M25</f>
        <v>0</v>
      </c>
      <c r="N65" s="239">
        <f ca="1">N25</f>
        <v>0</v>
      </c>
      <c r="O65" s="237">
        <f ca="1">O25</f>
        <v>0</v>
      </c>
      <c r="P65" s="223"/>
      <c r="Q65" s="223"/>
      <c r="R65" s="223"/>
      <c r="S65" s="200"/>
      <c r="T65" s="141"/>
    </row>
    <row r="66" spans="1:240" ht="18.75" customHeight="1" x14ac:dyDescent="0.3">
      <c r="A66" s="86" t="s">
        <v>104</v>
      </c>
      <c r="B66" s="103">
        <f>B42+B27</f>
        <v>4950999.6260000002</v>
      </c>
      <c r="C66" s="103">
        <f>+C27+C42</f>
        <v>4975292.1030000001</v>
      </c>
      <c r="D66" s="104">
        <f t="shared" si="19"/>
        <v>0.5</v>
      </c>
      <c r="E66" s="445">
        <f t="shared" si="17"/>
        <v>20.292847358642497</v>
      </c>
      <c r="F66" s="103"/>
      <c r="G66" s="194">
        <f>+G27+G42</f>
        <v>246241416.45699999</v>
      </c>
      <c r="H66" s="194">
        <f>+H27+H42</f>
        <v>270363114.31099999</v>
      </c>
      <c r="I66" s="104">
        <f t="shared" si="20"/>
        <v>9.8000000000000007</v>
      </c>
      <c r="J66" s="445">
        <f t="shared" si="18"/>
        <v>21.066748381626649</v>
      </c>
      <c r="K66" s="141"/>
      <c r="L66" s="239">
        <f ca="1">L41</f>
        <v>0</v>
      </c>
      <c r="M66" s="237">
        <f ca="1">M41</f>
        <v>0</v>
      </c>
      <c r="N66" s="239">
        <f ca="1">N41</f>
        <v>0</v>
      </c>
      <c r="O66" s="237">
        <f ca="1">O41</f>
        <v>0</v>
      </c>
      <c r="P66" s="223"/>
      <c r="Q66" s="223"/>
      <c r="R66" s="223"/>
      <c r="S66" s="200"/>
      <c r="T66" s="141"/>
    </row>
    <row r="67" spans="1:240" ht="18.75" customHeight="1" x14ac:dyDescent="0.3">
      <c r="A67" s="86" t="s">
        <v>105</v>
      </c>
      <c r="B67" s="103">
        <f>B28</f>
        <v>0</v>
      </c>
      <c r="C67" s="103">
        <f>+C28</f>
        <v>0</v>
      </c>
      <c r="D67" s="104"/>
      <c r="E67" s="445">
        <f t="shared" si="17"/>
        <v>0</v>
      </c>
      <c r="F67" s="103"/>
      <c r="G67" s="194">
        <f>+G28</f>
        <v>0</v>
      </c>
      <c r="H67" s="194">
        <f>+H28</f>
        <v>0</v>
      </c>
      <c r="I67" s="104"/>
      <c r="J67" s="445">
        <f t="shared" si="18"/>
        <v>0</v>
      </c>
      <c r="K67" s="141"/>
      <c r="L67" s="239" t="e">
        <f ca="1">L42+L26</f>
        <v>#REF!</v>
      </c>
      <c r="M67" s="237" t="e">
        <f ca="1">M26+M42</f>
        <v>#REF!</v>
      </c>
      <c r="N67" s="239" t="e">
        <f ca="1">N26+N42</f>
        <v>#REF!</v>
      </c>
      <c r="O67" s="237" t="e">
        <f ca="1">O26+O42</f>
        <v>#REF!</v>
      </c>
      <c r="P67" s="223"/>
      <c r="Q67" s="223"/>
      <c r="R67" s="223"/>
      <c r="S67" s="200"/>
      <c r="T67" s="141"/>
    </row>
    <row r="68" spans="1:240" ht="18.75" customHeight="1" x14ac:dyDescent="0.3">
      <c r="A68" s="86" t="s">
        <v>106</v>
      </c>
      <c r="B68" s="103">
        <f>B29</f>
        <v>424578.353</v>
      </c>
      <c r="C68" s="103">
        <f>+C29</f>
        <v>417186</v>
      </c>
      <c r="D68" s="104">
        <f t="shared" si="19"/>
        <v>-1.7</v>
      </c>
      <c r="E68" s="445">
        <f t="shared" si="17"/>
        <v>1.7015868903572249</v>
      </c>
      <c r="F68" s="103"/>
      <c r="G68" s="194">
        <f>+G29</f>
        <v>0</v>
      </c>
      <c r="H68" s="194">
        <f>+H29</f>
        <v>0</v>
      </c>
      <c r="I68" s="104"/>
      <c r="J68" s="445">
        <f t="shared" si="18"/>
        <v>0</v>
      </c>
      <c r="K68" s="141"/>
      <c r="L68" s="239">
        <f ca="1">L27+L43</f>
        <v>0</v>
      </c>
      <c r="M68" s="237">
        <f t="shared" ref="M68:O69" ca="1" si="28">+M27+M43</f>
        <v>0</v>
      </c>
      <c r="N68" s="239">
        <f t="shared" ca="1" si="28"/>
        <v>0</v>
      </c>
      <c r="O68" s="237">
        <f t="shared" ca="1" si="28"/>
        <v>0</v>
      </c>
      <c r="P68" s="223"/>
      <c r="Q68" s="223"/>
      <c r="R68" s="223"/>
      <c r="S68" s="200"/>
      <c r="T68" s="141"/>
    </row>
    <row r="69" spans="1:240" ht="18.75" customHeight="1" x14ac:dyDescent="0.3">
      <c r="A69" s="115" t="s">
        <v>2</v>
      </c>
      <c r="B69" s="116">
        <f>SUM(B47:B68)</f>
        <v>24782436.13893</v>
      </c>
      <c r="C69" s="116">
        <f>SUM(C47:C68)</f>
        <v>24517466.746139396</v>
      </c>
      <c r="D69" s="117">
        <f>IF(B69=0, "    ---- ", IF(ABS(ROUND(100/B69*C69-100,1))&lt;999,ROUND(100/B69*C69-100,1),IF(ROUND(100/B69*C69-100,1)&gt;999,999,-999)))</f>
        <v>-1.1000000000000001</v>
      </c>
      <c r="E69" s="448">
        <f>SUM(E47:E68)</f>
        <v>100</v>
      </c>
      <c r="F69" s="110"/>
      <c r="G69" s="199">
        <f>SUM(G47:G68)</f>
        <v>1196280500.2497599</v>
      </c>
      <c r="H69" s="199">
        <f>SUM(H47:H68)</f>
        <v>1283364235.4925406</v>
      </c>
      <c r="I69" s="117">
        <f>IF(G69=0, "    ---- ", IF(ABS(ROUND(100/G69*H69-100,1))&lt;999,ROUND(100/G69*H69-100,1),IF(ROUND(100/G69*H69-100,1)&gt;999,999,-999)))</f>
        <v>7.3</v>
      </c>
      <c r="J69" s="448">
        <f>SUM(J47:J68)</f>
        <v>100.00000000000001</v>
      </c>
      <c r="K69" s="141"/>
      <c r="L69" s="239">
        <f ca="1">L44+L28</f>
        <v>0</v>
      </c>
      <c r="M69" s="237">
        <f t="shared" ca="1" si="28"/>
        <v>0</v>
      </c>
      <c r="N69" s="239">
        <f t="shared" ca="1" si="28"/>
        <v>0</v>
      </c>
      <c r="O69" s="237">
        <f t="shared" ca="1" si="28"/>
        <v>0</v>
      </c>
      <c r="P69" s="223"/>
      <c r="Q69" s="223"/>
      <c r="R69" s="223"/>
      <c r="S69" s="200"/>
      <c r="T69" s="141"/>
    </row>
    <row r="70" spans="1:240" ht="18.75" customHeight="1" x14ac:dyDescent="0.3">
      <c r="A70" s="114" t="s">
        <v>110</v>
      </c>
      <c r="B70" s="114"/>
      <c r="C70" s="114"/>
      <c r="D70" s="114"/>
      <c r="E70" s="114"/>
      <c r="F70" s="114"/>
      <c r="G70" s="114"/>
      <c r="H70" s="114"/>
      <c r="I70" s="114"/>
      <c r="J70" s="114"/>
      <c r="K70" s="141"/>
      <c r="L70" s="239">
        <f ca="1">L29</f>
        <v>0</v>
      </c>
      <c r="M70" s="237">
        <f t="shared" ref="M70:O71" ca="1" si="29">+M29</f>
        <v>0</v>
      </c>
      <c r="N70" s="239">
        <f t="shared" ca="1" si="29"/>
        <v>0</v>
      </c>
      <c r="O70" s="237">
        <f t="shared" ca="1" si="29"/>
        <v>0</v>
      </c>
      <c r="P70" s="223"/>
      <c r="Q70" s="223"/>
      <c r="R70" s="223"/>
      <c r="S70" s="200"/>
      <c r="T70" s="141"/>
    </row>
    <row r="71" spans="1:240" ht="18.75" customHeight="1" x14ac:dyDescent="0.3">
      <c r="A71" s="74"/>
      <c r="B71" s="74"/>
      <c r="C71" s="74"/>
      <c r="D71" s="74"/>
      <c r="E71" s="74"/>
      <c r="F71" s="74"/>
      <c r="G71" s="74"/>
      <c r="H71" s="74"/>
      <c r="I71" s="74"/>
      <c r="J71" s="74"/>
      <c r="K71" s="141"/>
      <c r="L71" s="239">
        <f ca="1">L30</f>
        <v>0</v>
      </c>
      <c r="M71" s="237">
        <f t="shared" ca="1" si="29"/>
        <v>0</v>
      </c>
      <c r="N71" s="239">
        <f t="shared" ca="1" si="29"/>
        <v>0</v>
      </c>
      <c r="O71" s="237">
        <f t="shared" ca="1" si="29"/>
        <v>0</v>
      </c>
      <c r="P71" s="223"/>
      <c r="Q71" s="223"/>
      <c r="R71" s="223"/>
      <c r="S71" s="200"/>
      <c r="T71" s="141"/>
    </row>
    <row r="72" spans="1:240" s="112" customFormat="1" ht="18.75" customHeight="1" x14ac:dyDescent="0.3">
      <c r="A72" s="74"/>
      <c r="B72" s="74"/>
      <c r="C72" s="74"/>
      <c r="D72" s="74"/>
      <c r="E72" s="74"/>
      <c r="F72" s="74"/>
      <c r="G72" s="74"/>
      <c r="H72" s="74"/>
      <c r="I72" s="74"/>
      <c r="J72" s="74"/>
      <c r="K72" s="197"/>
      <c r="L72" s="245" t="e">
        <f ca="1">SUM(L49:L71)</f>
        <v>#REF!</v>
      </c>
      <c r="M72" s="246" t="e">
        <f ca="1">SUM(M49:M71)</f>
        <v>#REF!</v>
      </c>
      <c r="N72" s="245" t="e">
        <f ca="1">SUM(N49:N71)</f>
        <v>#REF!</v>
      </c>
      <c r="O72" s="246" t="e">
        <f ca="1">SUM(O49:O71)</f>
        <v>#REF!</v>
      </c>
      <c r="P72" s="225"/>
      <c r="Q72" s="225"/>
      <c r="R72" s="225"/>
      <c r="S72" s="140"/>
      <c r="T72" s="197"/>
    </row>
    <row r="73" spans="1:240" ht="18.75" customHeight="1" x14ac:dyDescent="0.3">
      <c r="A73" s="74"/>
      <c r="B73" s="77"/>
      <c r="C73" s="77"/>
      <c r="D73" s="74"/>
      <c r="E73" s="74"/>
      <c r="F73" s="74"/>
      <c r="G73" s="77"/>
      <c r="H73" s="77"/>
      <c r="I73" s="74"/>
      <c r="J73" s="74"/>
      <c r="K73" s="114"/>
      <c r="L73" s="203"/>
      <c r="M73" s="203"/>
      <c r="N73" s="203"/>
      <c r="O73" s="203"/>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4"/>
      <c r="FU73" s="114"/>
      <c r="FV73" s="114"/>
      <c r="FW73" s="114"/>
      <c r="FX73" s="114"/>
      <c r="FY73" s="114"/>
      <c r="FZ73" s="114"/>
      <c r="GA73" s="114"/>
      <c r="GB73" s="114"/>
      <c r="GC73" s="114"/>
      <c r="GD73" s="114"/>
      <c r="GE73" s="114"/>
      <c r="GF73" s="114"/>
      <c r="GG73" s="114"/>
      <c r="GH73" s="114"/>
      <c r="GI73" s="114"/>
      <c r="GJ73" s="114"/>
      <c r="GK73" s="114"/>
      <c r="GL73" s="114"/>
      <c r="GM73" s="114"/>
      <c r="GN73" s="114"/>
      <c r="GO73" s="114"/>
      <c r="GP73" s="114"/>
      <c r="GQ73" s="114"/>
      <c r="GR73" s="114"/>
      <c r="GS73" s="114"/>
      <c r="GT73" s="114"/>
      <c r="GU73" s="114"/>
      <c r="GV73" s="114"/>
      <c r="GW73" s="114"/>
      <c r="GX73" s="114"/>
      <c r="GY73" s="114"/>
      <c r="GZ73" s="114"/>
      <c r="HA73" s="114"/>
      <c r="HB73" s="114"/>
      <c r="HC73" s="114"/>
      <c r="HD73" s="114"/>
      <c r="HE73" s="114"/>
      <c r="HF73" s="114"/>
      <c r="HG73" s="114"/>
      <c r="HH73" s="114"/>
      <c r="HI73" s="114"/>
      <c r="HJ73" s="114"/>
      <c r="HK73" s="114"/>
      <c r="HL73" s="114"/>
      <c r="HM73" s="114"/>
      <c r="HN73" s="114"/>
      <c r="HO73" s="114"/>
      <c r="HP73" s="114"/>
      <c r="HQ73" s="114"/>
      <c r="HR73" s="114"/>
      <c r="HS73" s="114"/>
      <c r="HT73" s="114"/>
      <c r="HU73" s="114"/>
      <c r="HV73" s="114"/>
      <c r="HW73" s="114"/>
      <c r="HX73" s="114"/>
      <c r="HY73" s="114"/>
      <c r="HZ73" s="114"/>
      <c r="IA73" s="114"/>
      <c r="IB73" s="114"/>
      <c r="IC73" s="114"/>
      <c r="ID73" s="114"/>
      <c r="IE73" s="114"/>
      <c r="IF73" s="114"/>
    </row>
    <row r="74" spans="1:240" ht="18.75" customHeight="1" x14ac:dyDescent="0.3">
      <c r="A74" s="74"/>
      <c r="B74" s="74"/>
      <c r="C74" s="74"/>
      <c r="D74" s="74"/>
      <c r="E74" s="74"/>
      <c r="F74" s="74"/>
      <c r="G74" s="74"/>
      <c r="H74" s="74"/>
      <c r="I74" s="74"/>
      <c r="J74" s="74"/>
      <c r="K74" s="74"/>
    </row>
    <row r="75" spans="1:240" ht="18.75" customHeight="1" x14ac:dyDescent="0.3">
      <c r="A75" s="74"/>
      <c r="B75" s="74"/>
      <c r="C75" s="74"/>
      <c r="D75" s="74"/>
      <c r="E75" s="74"/>
      <c r="F75" s="74"/>
      <c r="G75" s="74"/>
      <c r="H75" s="74"/>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114"/>
      <c r="B95" s="114"/>
      <c r="C95" s="114"/>
      <c r="D95" s="114"/>
      <c r="E95" s="114"/>
      <c r="F95" s="114"/>
      <c r="G95" s="114"/>
      <c r="H95" s="114"/>
      <c r="I95" s="114"/>
      <c r="J95" s="114"/>
      <c r="K95" s="74"/>
    </row>
    <row r="96" spans="1:11" ht="18.75" x14ac:dyDescent="0.3">
      <c r="A96" s="118"/>
      <c r="B96" s="119"/>
      <c r="C96" s="119"/>
      <c r="D96" s="119"/>
      <c r="E96" s="74"/>
      <c r="F96" s="74"/>
      <c r="G96" s="74"/>
      <c r="H96" s="74"/>
      <c r="I96" s="74"/>
      <c r="J96" s="75"/>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114"/>
    </row>
    <row r="99" spans="1:11" ht="18.75" x14ac:dyDescent="0.3">
      <c r="A99" s="74"/>
      <c r="B99" s="74"/>
      <c r="C99" s="74"/>
      <c r="D99" s="74"/>
      <c r="E99" s="74"/>
      <c r="F99" s="74"/>
      <c r="G99" s="74"/>
      <c r="H99" s="74"/>
      <c r="I99" s="74"/>
      <c r="J99" s="74"/>
      <c r="K99" s="75"/>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K109" s="74"/>
    </row>
    <row r="110" spans="1:11" ht="18.75" x14ac:dyDescent="0.3">
      <c r="K110" s="74"/>
    </row>
    <row r="111" spans="1:11" ht="18.75" x14ac:dyDescent="0.3">
      <c r="K111" s="74"/>
    </row>
  </sheetData>
  <mergeCells count="5">
    <mergeCell ref="N5:O5"/>
    <mergeCell ref="A3:B3"/>
    <mergeCell ref="B5:E5"/>
    <mergeCell ref="G5:J5"/>
    <mergeCell ref="L5:M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14"/>
  <sheetViews>
    <sheetView showGridLines="0" showZeros="0" zoomScale="90" zoomScaleNormal="90" workbookViewId="0">
      <pane xSplit="1" ySplit="7" topLeftCell="B50"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6.7109375" style="8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5" width="17.140625" style="81" bestFit="1" customWidth="1"/>
    <col min="16" max="16384" width="11.42578125" style="81"/>
  </cols>
  <sheetData>
    <row r="1" spans="1:13" ht="20.25" x14ac:dyDescent="0.3">
      <c r="A1" s="80" t="s">
        <v>81</v>
      </c>
      <c r="B1" s="73" t="s">
        <v>53</v>
      </c>
      <c r="C1" s="74"/>
      <c r="D1" s="74"/>
      <c r="E1" s="74"/>
      <c r="F1" s="74"/>
      <c r="G1" s="74"/>
      <c r="H1" s="74"/>
      <c r="I1" s="74"/>
      <c r="J1" s="74"/>
      <c r="K1" s="74"/>
      <c r="L1" s="74"/>
      <c r="M1" s="74"/>
    </row>
    <row r="2" spans="1:13" ht="20.25" x14ac:dyDescent="0.3">
      <c r="A2" s="80" t="s">
        <v>111</v>
      </c>
      <c r="B2" s="73"/>
      <c r="C2" s="74"/>
      <c r="D2" s="74"/>
      <c r="E2" s="74"/>
      <c r="F2" s="74"/>
      <c r="G2" s="74"/>
      <c r="H2" s="74"/>
      <c r="I2" s="74"/>
      <c r="J2" s="74"/>
      <c r="K2" s="74"/>
      <c r="L2" s="74"/>
      <c r="M2" s="74"/>
    </row>
    <row r="3" spans="1:13" ht="18.75" x14ac:dyDescent="0.3">
      <c r="A3" s="75" t="s">
        <v>112</v>
      </c>
      <c r="B3" s="74"/>
      <c r="C3" s="74"/>
      <c r="D3" s="74"/>
      <c r="E3" s="74"/>
      <c r="F3" s="74"/>
      <c r="G3" s="74"/>
      <c r="H3" s="74"/>
      <c r="I3" s="74"/>
      <c r="J3" s="74"/>
      <c r="K3" s="74"/>
      <c r="L3" s="74"/>
      <c r="M3" s="74"/>
    </row>
    <row r="4" spans="1:13" ht="18.75" x14ac:dyDescent="0.3">
      <c r="A4" s="82" t="str">
        <f>'Tabel 1.1'!A4</f>
        <v>31.03.</v>
      </c>
      <c r="B4" s="102"/>
      <c r="C4" s="120"/>
      <c r="D4" s="121"/>
      <c r="E4" s="114"/>
      <c r="F4" s="83"/>
      <c r="G4" s="84"/>
      <c r="H4" s="85"/>
      <c r="I4" s="114"/>
      <c r="J4" s="83"/>
      <c r="K4" s="84"/>
      <c r="L4" s="85"/>
      <c r="M4" s="74"/>
    </row>
    <row r="5" spans="1:13" ht="18.75" x14ac:dyDescent="0.3">
      <c r="A5" s="122"/>
      <c r="B5" s="734" t="s">
        <v>0</v>
      </c>
      <c r="C5" s="735"/>
      <c r="D5" s="736"/>
      <c r="E5" s="89"/>
      <c r="F5" s="734" t="s">
        <v>1</v>
      </c>
      <c r="G5" s="735"/>
      <c r="H5" s="736"/>
      <c r="I5" s="123"/>
      <c r="J5" s="734" t="s">
        <v>113</v>
      </c>
      <c r="K5" s="735"/>
      <c r="L5" s="736"/>
      <c r="M5" s="74"/>
    </row>
    <row r="6" spans="1:13" ht="18.75" x14ac:dyDescent="0.3">
      <c r="A6" s="124"/>
      <c r="B6" s="125"/>
      <c r="C6" s="126"/>
      <c r="D6" s="94" t="s">
        <v>114</v>
      </c>
      <c r="E6" s="100"/>
      <c r="F6" s="125"/>
      <c r="G6" s="126"/>
      <c r="H6" s="94" t="s">
        <v>114</v>
      </c>
      <c r="I6" s="127"/>
      <c r="J6" s="125"/>
      <c r="K6" s="126"/>
      <c r="L6" s="94" t="s">
        <v>114</v>
      </c>
      <c r="M6" s="74"/>
    </row>
    <row r="7" spans="1:13" ht="18.75" x14ac:dyDescent="0.3">
      <c r="A7" s="128" t="s">
        <v>115</v>
      </c>
      <c r="B7" s="129">
        <v>2017</v>
      </c>
      <c r="C7" s="202">
        <v>2018</v>
      </c>
      <c r="D7" s="99" t="s">
        <v>87</v>
      </c>
      <c r="E7" s="100"/>
      <c r="F7" s="129">
        <v>2017</v>
      </c>
      <c r="G7" s="202">
        <v>2018</v>
      </c>
      <c r="H7" s="99" t="s">
        <v>87</v>
      </c>
      <c r="I7" s="130"/>
      <c r="J7" s="129">
        <v>2017</v>
      </c>
      <c r="K7" s="202">
        <v>2018</v>
      </c>
      <c r="L7" s="99" t="s">
        <v>87</v>
      </c>
      <c r="M7" s="74"/>
    </row>
    <row r="8" spans="1:13" ht="22.5" x14ac:dyDescent="0.3">
      <c r="A8" s="208" t="s">
        <v>116</v>
      </c>
      <c r="B8" s="248"/>
      <c r="C8" s="217"/>
      <c r="D8" s="217"/>
      <c r="E8" s="200"/>
      <c r="F8" s="217"/>
      <c r="G8" s="217"/>
      <c r="H8" s="217"/>
      <c r="I8" s="218"/>
      <c r="J8" s="217"/>
      <c r="K8" s="217"/>
      <c r="L8" s="217"/>
      <c r="M8" s="74"/>
    </row>
    <row r="9" spans="1:13" ht="18.75" x14ac:dyDescent="0.3">
      <c r="A9" s="209" t="s">
        <v>117</v>
      </c>
      <c r="B9" s="104">
        <f>'Skjema total MA'!B7</f>
        <v>1680634.3524500004</v>
      </c>
      <c r="C9" s="104">
        <f>'Skjema total MA'!C7</f>
        <v>1649932.721506322</v>
      </c>
      <c r="D9" s="249">
        <f>IF(B9=0, "    ---- ", IF(ABS(ROUND(100/B9*C9-100,1))&lt;999,ROUND(100/B9*C9-100,1),IF(ROUND(100/B9*C9-100,1)&gt;999,999,-999)))</f>
        <v>-1.8</v>
      </c>
      <c r="E9" s="200"/>
      <c r="F9" s="212">
        <f>'Skjema total MA'!E7</f>
        <v>2343344.4600900002</v>
      </c>
      <c r="G9" s="212">
        <f>'Skjema total MA'!F7</f>
        <v>2036900.6120499999</v>
      </c>
      <c r="H9" s="249">
        <f>IF(F9=0, "    ---- ", IF(ABS(ROUND(100/F9*G9-100,1))&lt;999,ROUND(100/F9*G9-100,1),IF(ROUND(100/F9*G9-100,1)&gt;999,999,-999)))</f>
        <v>-13.1</v>
      </c>
      <c r="I9" s="200"/>
      <c r="J9" s="212">
        <f t="shared" ref="J9:K60" si="0">SUM(B9+F9)</f>
        <v>4023978.8125400003</v>
      </c>
      <c r="K9" s="212">
        <f t="shared" si="0"/>
        <v>3686833.3335563219</v>
      </c>
      <c r="L9" s="247">
        <f>IF(J9=0, "    ---- ", IF(ABS(ROUND(100/J9*K9-100,1))&lt;999,ROUND(100/J9*K9-100,1),IF(ROUND(100/J9*K9-100,1)&gt;999,999,-999)))</f>
        <v>-8.4</v>
      </c>
      <c r="M9" s="74"/>
    </row>
    <row r="10" spans="1:13" ht="18.75" x14ac:dyDescent="0.3">
      <c r="A10" s="209" t="s">
        <v>118</v>
      </c>
      <c r="B10" s="104">
        <f>'Skjema total MA'!B22</f>
        <v>613810.22395000001</v>
      </c>
      <c r="C10" s="104">
        <f>'Skjema total MA'!C22</f>
        <v>505077.99162307387</v>
      </c>
      <c r="D10" s="249">
        <f t="shared" ref="D10:D17" si="1">IF(B10=0, "    ---- ", IF(ABS(ROUND(100/B10*C10-100,1))&lt;999,ROUND(100/B10*C10-100,1),IF(ROUND(100/B10*C10-100,1)&gt;999,999,-999)))</f>
        <v>-17.7</v>
      </c>
      <c r="E10" s="200"/>
      <c r="F10" s="212">
        <f>'Skjema total MA'!E22</f>
        <v>95650.709930000026</v>
      </c>
      <c r="G10" s="212">
        <f>'Skjema total MA'!F22</f>
        <v>294957.45139</v>
      </c>
      <c r="H10" s="249">
        <f t="shared" ref="H10:H57" si="2">IF(F10=0, "    ---- ", IF(ABS(ROUND(100/F10*G10-100,1))&lt;999,ROUND(100/F10*G10-100,1),IF(ROUND(100/F10*G10-100,1)&gt;999,999,-999)))</f>
        <v>208.4</v>
      </c>
      <c r="I10" s="200"/>
      <c r="J10" s="212">
        <f t="shared" si="0"/>
        <v>709460.93388000003</v>
      </c>
      <c r="K10" s="212">
        <f t="shared" si="0"/>
        <v>800035.44301307388</v>
      </c>
      <c r="L10" s="247">
        <f t="shared" ref="L10:L60" si="3">IF(J10=0, "    ---- ", IF(ABS(ROUND(100/J10*K10-100,1))&lt;999,ROUND(100/J10*K10-100,1),IF(ROUND(100/J10*K10-100,1)&gt;999,999,-999)))</f>
        <v>12.8</v>
      </c>
      <c r="M10" s="74"/>
    </row>
    <row r="11" spans="1:13" ht="18.75" x14ac:dyDescent="0.3">
      <c r="A11" s="209" t="s">
        <v>119</v>
      </c>
      <c r="B11" s="104">
        <f>'Skjema total MA'!B47</f>
        <v>2218113.2496799999</v>
      </c>
      <c r="C11" s="104">
        <f>'Skjema total MA'!C47</f>
        <v>2242938.5179999997</v>
      </c>
      <c r="D11" s="249">
        <f t="shared" si="1"/>
        <v>1.1000000000000001</v>
      </c>
      <c r="E11" s="200"/>
      <c r="F11" s="212"/>
      <c r="G11" s="212"/>
      <c r="H11" s="249" t="str">
        <f t="shared" si="2"/>
        <v xml:space="preserve">    ---- </v>
      </c>
      <c r="I11" s="200"/>
      <c r="J11" s="212">
        <f t="shared" si="0"/>
        <v>2218113.2496799999</v>
      </c>
      <c r="K11" s="212">
        <f t="shared" si="0"/>
        <v>2242938.5179999997</v>
      </c>
      <c r="L11" s="247">
        <f t="shared" si="3"/>
        <v>1.1000000000000001</v>
      </c>
      <c r="M11" s="74"/>
    </row>
    <row r="12" spans="1:13" ht="18.75" x14ac:dyDescent="0.3">
      <c r="A12" s="209" t="s">
        <v>120</v>
      </c>
      <c r="B12" s="104">
        <f>'Skjema total MA'!B66</f>
        <v>4168028.5099299997</v>
      </c>
      <c r="C12" s="104">
        <f>'Skjema total MA'!C66</f>
        <v>3759362.3480099998</v>
      </c>
      <c r="D12" s="249">
        <f t="shared" si="1"/>
        <v>-9.8000000000000007</v>
      </c>
      <c r="E12" s="200"/>
      <c r="F12" s="212">
        <f>'Skjema total MA'!E66</f>
        <v>6507851.7616000008</v>
      </c>
      <c r="G12" s="212">
        <f>'Skjema total MA'!F66</f>
        <v>6910767.8474599998</v>
      </c>
      <c r="H12" s="249">
        <f t="shared" si="2"/>
        <v>6.2</v>
      </c>
      <c r="I12" s="200"/>
      <c r="J12" s="212">
        <f t="shared" si="0"/>
        <v>10675880.27153</v>
      </c>
      <c r="K12" s="212">
        <f t="shared" si="0"/>
        <v>10670130.19547</v>
      </c>
      <c r="L12" s="247">
        <f t="shared" si="3"/>
        <v>-0.1</v>
      </c>
      <c r="M12" s="74"/>
    </row>
    <row r="13" spans="1:13" ht="18.75" x14ac:dyDescent="0.3">
      <c r="A13" s="209" t="s">
        <v>121</v>
      </c>
      <c r="B13" s="104">
        <f>'Skjema total MA'!B68</f>
        <v>93372.902560000002</v>
      </c>
      <c r="C13" s="104">
        <f>'Skjema total MA'!C68</f>
        <v>93203.550610000006</v>
      </c>
      <c r="D13" s="249">
        <f t="shared" si="1"/>
        <v>-0.2</v>
      </c>
      <c r="E13" s="200"/>
      <c r="F13" s="212">
        <f>'Skjema total MA'!E68</f>
        <v>6449106.5011999998</v>
      </c>
      <c r="G13" s="212">
        <f>'Skjema total MA'!F68</f>
        <v>6810945.3706999999</v>
      </c>
      <c r="H13" s="249">
        <f t="shared" si="2"/>
        <v>5.6</v>
      </c>
      <c r="I13" s="200"/>
      <c r="J13" s="212">
        <f t="shared" si="0"/>
        <v>6542479.4037600001</v>
      </c>
      <c r="K13" s="212">
        <f t="shared" si="0"/>
        <v>6904148.9213100001</v>
      </c>
      <c r="L13" s="247">
        <f t="shared" si="3"/>
        <v>5.5</v>
      </c>
      <c r="M13" s="74"/>
    </row>
    <row r="14" spans="1:13" s="135" customFormat="1" ht="18.75" x14ac:dyDescent="0.3">
      <c r="A14" s="210" t="s">
        <v>122</v>
      </c>
      <c r="B14" s="133">
        <f>'Skjema total MA'!B75+'Skjema total MA'!B76</f>
        <v>410583.78616999998</v>
      </c>
      <c r="C14" s="133">
        <f>'Skjema total MA'!C75+'Skjema total MA'!C76</f>
        <v>502472.40094000002</v>
      </c>
      <c r="D14" s="249">
        <f t="shared" si="1"/>
        <v>22.4</v>
      </c>
      <c r="E14" s="201"/>
      <c r="F14" s="213">
        <f>'Skjema total MA'!E75+'Skjema total MA'!E76</f>
        <v>58745.260399999999</v>
      </c>
      <c r="G14" s="213">
        <f>'Skjema total MA'!F75+'Skjema total MA'!F76</f>
        <v>99822.47675999999</v>
      </c>
      <c r="H14" s="249">
        <f t="shared" si="2"/>
        <v>69.900000000000006</v>
      </c>
      <c r="I14" s="201"/>
      <c r="J14" s="212">
        <f t="shared" si="0"/>
        <v>469329.04657000001</v>
      </c>
      <c r="K14" s="212">
        <f t="shared" si="0"/>
        <v>602294.87770000007</v>
      </c>
      <c r="L14" s="247">
        <f t="shared" si="3"/>
        <v>28.3</v>
      </c>
      <c r="M14" s="134"/>
    </row>
    <row r="15" spans="1:13" ht="22.5" x14ac:dyDescent="0.3">
      <c r="A15" s="209" t="s">
        <v>446</v>
      </c>
      <c r="B15" s="104">
        <f>'Skjema total MA'!B134</f>
        <v>7136900.6703000003</v>
      </c>
      <c r="C15" s="104">
        <f>'Skjema total MA'!C134</f>
        <v>7095848.5151000004</v>
      </c>
      <c r="D15" s="249">
        <f t="shared" si="1"/>
        <v>-0.6</v>
      </c>
      <c r="E15" s="200"/>
      <c r="F15" s="212">
        <f>'Skjema total MA'!E134</f>
        <v>17027.863000000001</v>
      </c>
      <c r="G15" s="212">
        <f>'Skjema total MA'!F134</f>
        <v>20875.777999999998</v>
      </c>
      <c r="H15" s="249">
        <f t="shared" si="2"/>
        <v>22.6</v>
      </c>
      <c r="I15" s="200"/>
      <c r="J15" s="212">
        <f t="shared" si="0"/>
        <v>7153928.5333000002</v>
      </c>
      <c r="K15" s="212">
        <f t="shared" si="0"/>
        <v>7116724.2931000004</v>
      </c>
      <c r="L15" s="247">
        <f t="shared" si="3"/>
        <v>-0.5</v>
      </c>
      <c r="M15" s="74"/>
    </row>
    <row r="16" spans="1:13" ht="18.75" x14ac:dyDescent="0.3">
      <c r="A16" s="209" t="s">
        <v>123</v>
      </c>
      <c r="B16" s="104">
        <f>'Skjema total MA'!B36</f>
        <v>1074.338</v>
      </c>
      <c r="C16" s="104">
        <f>'Skjema total MA'!C36</f>
        <v>804.96299999999997</v>
      </c>
      <c r="D16" s="249">
        <f t="shared" si="1"/>
        <v>-25.1</v>
      </c>
      <c r="E16" s="200"/>
      <c r="F16" s="212">
        <f>'Skjema total MA'!E36</f>
        <v>0</v>
      </c>
      <c r="G16" s="212">
        <f>'Skjema total MA'!F36</f>
        <v>0</v>
      </c>
      <c r="H16" s="249" t="str">
        <f t="shared" si="2"/>
        <v xml:space="preserve">    ---- </v>
      </c>
      <c r="I16" s="200"/>
      <c r="J16" s="212">
        <f t="shared" si="0"/>
        <v>1074.338</v>
      </c>
      <c r="K16" s="212">
        <f t="shared" si="0"/>
        <v>804.96299999999997</v>
      </c>
      <c r="L16" s="247">
        <f t="shared" si="3"/>
        <v>-25.1</v>
      </c>
      <c r="M16" s="74"/>
    </row>
    <row r="17" spans="1:23" s="137" customFormat="1" ht="18.75" customHeight="1" x14ac:dyDescent="0.3">
      <c r="A17" s="139" t="s">
        <v>124</v>
      </c>
      <c r="B17" s="111">
        <f>'Tabel 1.1'!B30</f>
        <v>15818561.344310001</v>
      </c>
      <c r="C17" s="214">
        <f>'Tabel 1.1'!C30</f>
        <v>15253965.057239396</v>
      </c>
      <c r="D17" s="249">
        <f t="shared" si="1"/>
        <v>-3.6</v>
      </c>
      <c r="E17" s="140"/>
      <c r="F17" s="214">
        <f>'Tabel 1.1'!B43</f>
        <v>8963874.7946199998</v>
      </c>
      <c r="G17" s="214">
        <f>'Tabel 1.1'!C43</f>
        <v>9263501.6889000013</v>
      </c>
      <c r="H17" s="249">
        <f t="shared" si="2"/>
        <v>3.3</v>
      </c>
      <c r="I17" s="140"/>
      <c r="J17" s="214">
        <f t="shared" si="0"/>
        <v>24782436.13893</v>
      </c>
      <c r="K17" s="214">
        <f t="shared" si="0"/>
        <v>24517466.7461394</v>
      </c>
      <c r="L17" s="247">
        <f t="shared" si="3"/>
        <v>-1.1000000000000001</v>
      </c>
      <c r="M17" s="75"/>
      <c r="N17" s="136"/>
      <c r="O17" s="136"/>
      <c r="Q17" s="138"/>
      <c r="R17" s="138"/>
      <c r="S17" s="138"/>
      <c r="T17" s="138"/>
      <c r="U17" s="138"/>
      <c r="V17" s="138"/>
      <c r="W17" s="138"/>
    </row>
    <row r="18" spans="1:23" ht="18.75" customHeight="1" x14ac:dyDescent="0.3">
      <c r="A18" s="139"/>
      <c r="B18" s="104"/>
      <c r="C18" s="212"/>
      <c r="D18" s="212"/>
      <c r="E18" s="200"/>
      <c r="F18" s="212"/>
      <c r="G18" s="212"/>
      <c r="H18" s="249"/>
      <c r="I18" s="200"/>
      <c r="J18" s="212"/>
      <c r="K18" s="212"/>
      <c r="L18" s="247"/>
      <c r="M18" s="74"/>
    </row>
    <row r="19" spans="1:23" ht="18.75" customHeight="1" x14ac:dyDescent="0.3">
      <c r="A19" s="208" t="s">
        <v>447</v>
      </c>
      <c r="B19" s="216"/>
      <c r="C19" s="219"/>
      <c r="D19" s="212"/>
      <c r="E19" s="200"/>
      <c r="F19" s="219"/>
      <c r="G19" s="219"/>
      <c r="H19" s="249"/>
      <c r="I19" s="200"/>
      <c r="J19" s="212"/>
      <c r="K19" s="212"/>
      <c r="L19" s="247"/>
      <c r="M19" s="74"/>
    </row>
    <row r="20" spans="1:23" ht="18.75" customHeight="1" x14ac:dyDescent="0.3">
      <c r="A20" s="209" t="s">
        <v>117</v>
      </c>
      <c r="B20" s="104">
        <f>'Skjema total MA'!B10</f>
        <v>23708112.299210005</v>
      </c>
      <c r="C20" s="104">
        <f>'Skjema total MA'!C10</f>
        <v>21934671.751078147</v>
      </c>
      <c r="D20" s="249">
        <f>IF(B20=0, "    ---- ", IF(ABS(ROUND(100/B20*C20-100,1))&lt;999,ROUND(100/B20*C20-100,1),IF(ROUND(100/B20*C20-100,1)&gt;999,999,-999)))</f>
        <v>-7.5</v>
      </c>
      <c r="E20" s="200"/>
      <c r="F20" s="212">
        <f>'Skjema total MA'!E10</f>
        <v>35638419.389400005</v>
      </c>
      <c r="G20" s="212">
        <f>'Skjema total MA'!F10</f>
        <v>41674442.834689103</v>
      </c>
      <c r="H20" s="249">
        <f t="shared" si="2"/>
        <v>16.899999999999999</v>
      </c>
      <c r="I20" s="200"/>
      <c r="J20" s="212">
        <f t="shared" si="0"/>
        <v>59346531.68861001</v>
      </c>
      <c r="K20" s="212">
        <f t="shared" si="0"/>
        <v>63609114.585767254</v>
      </c>
      <c r="L20" s="247">
        <f t="shared" si="3"/>
        <v>7.2</v>
      </c>
      <c r="M20" s="74"/>
    </row>
    <row r="21" spans="1:23" ht="18.75" customHeight="1" x14ac:dyDescent="0.3">
      <c r="A21" s="209" t="s">
        <v>118</v>
      </c>
      <c r="B21" s="104">
        <f>'Skjema total MA'!B29</f>
        <v>50946131.435032845</v>
      </c>
      <c r="C21" s="104">
        <f>'Skjema total MA'!C29</f>
        <v>49461775.630989999</v>
      </c>
      <c r="D21" s="249">
        <f t="shared" ref="D21:D27" si="4">IF(B21=0, "    ---- ", IF(ABS(ROUND(100/B21*C21-100,1))&lt;999,ROUND(100/B21*C21-100,1),IF(ROUND(100/B21*C21-100,1)&gt;999,999,-999)))</f>
        <v>-2.9</v>
      </c>
      <c r="E21" s="200"/>
      <c r="F21" s="212">
        <f>'Skjema total MA'!E29</f>
        <v>19462982.478919998</v>
      </c>
      <c r="G21" s="212">
        <f>'Skjema total MA'!F29</f>
        <v>19998255.59527</v>
      </c>
      <c r="H21" s="249">
        <f t="shared" si="2"/>
        <v>2.8</v>
      </c>
      <c r="I21" s="200"/>
      <c r="J21" s="212">
        <f t="shared" si="0"/>
        <v>70409113.913952842</v>
      </c>
      <c r="K21" s="212">
        <f t="shared" si="0"/>
        <v>69460031.226260006</v>
      </c>
      <c r="L21" s="247">
        <f t="shared" si="3"/>
        <v>-1.3</v>
      </c>
      <c r="M21" s="74"/>
    </row>
    <row r="22" spans="1:23" ht="18.75" x14ac:dyDescent="0.3">
      <c r="A22" s="209" t="s">
        <v>120</v>
      </c>
      <c r="B22" s="104">
        <f>'Skjema total MA'!B87</f>
        <v>376542329.2777971</v>
      </c>
      <c r="C22" s="104">
        <f>'Skjema total MA'!C87</f>
        <v>384768921.84054166</v>
      </c>
      <c r="D22" s="249">
        <f t="shared" si="4"/>
        <v>2.2000000000000002</v>
      </c>
      <c r="E22" s="200"/>
      <c r="F22" s="212">
        <f>'Skjema total MA'!E87</f>
        <v>189428166.95883</v>
      </c>
      <c r="G22" s="212">
        <f>'Skjema total MA'!F87</f>
        <v>234462731.14205161</v>
      </c>
      <c r="H22" s="249">
        <f t="shared" si="2"/>
        <v>23.8</v>
      </c>
      <c r="I22" s="200"/>
      <c r="J22" s="212">
        <f t="shared" si="0"/>
        <v>565970496.2366271</v>
      </c>
      <c r="K22" s="212">
        <f t="shared" si="0"/>
        <v>619231652.9825933</v>
      </c>
      <c r="L22" s="247">
        <f t="shared" si="3"/>
        <v>9.4</v>
      </c>
      <c r="M22" s="74"/>
    </row>
    <row r="23" spans="1:23" ht="22.5" x14ac:dyDescent="0.3">
      <c r="A23" s="209" t="s">
        <v>125</v>
      </c>
      <c r="B23" s="104">
        <f>'Skjema total MA'!B89</f>
        <v>2220733.2888660301</v>
      </c>
      <c r="C23" s="104">
        <f>'Skjema total MA'!C89</f>
        <v>2681345.48997594</v>
      </c>
      <c r="D23" s="249">
        <f t="shared" si="4"/>
        <v>20.7</v>
      </c>
      <c r="E23" s="200"/>
      <c r="F23" s="212">
        <f>'Skjema total MA'!E89</f>
        <v>189149563.24809998</v>
      </c>
      <c r="G23" s="212">
        <f>'Skjema total MA'!F89</f>
        <v>233679203.61454159</v>
      </c>
      <c r="H23" s="249">
        <f t="shared" si="2"/>
        <v>23.5</v>
      </c>
      <c r="I23" s="200"/>
      <c r="J23" s="212">
        <f t="shared" si="0"/>
        <v>191370296.53696603</v>
      </c>
      <c r="K23" s="212">
        <f t="shared" si="0"/>
        <v>236360549.10451752</v>
      </c>
      <c r="L23" s="247">
        <f t="shared" si="3"/>
        <v>23.5</v>
      </c>
      <c r="M23" s="74"/>
    </row>
    <row r="24" spans="1:23" ht="18.75" x14ac:dyDescent="0.3">
      <c r="A24" s="210" t="s">
        <v>122</v>
      </c>
      <c r="B24" s="104">
        <f>'Skjema total MA'!B96+'Skjema total MA'!B97</f>
        <v>2916770.5903688744</v>
      </c>
      <c r="C24" s="104">
        <f>'Skjema total MA'!C96+'Skjema total MA'!C97</f>
        <v>5185287.8483100003</v>
      </c>
      <c r="D24" s="249">
        <f t="shared" si="4"/>
        <v>77.8</v>
      </c>
      <c r="E24" s="200"/>
      <c r="F24" s="212">
        <f>'Skjema total MA'!E96+'Skjema total MA'!E97</f>
        <v>278603.71073000005</v>
      </c>
      <c r="G24" s="212">
        <f>'Skjema total MA'!F96+'Skjema total MA'!F97</f>
        <v>783527.52750999993</v>
      </c>
      <c r="H24" s="249">
        <f t="shared" si="2"/>
        <v>181.2</v>
      </c>
      <c r="I24" s="200"/>
      <c r="J24" s="212">
        <f t="shared" si="0"/>
        <v>3195374.3010988743</v>
      </c>
      <c r="K24" s="212">
        <f t="shared" si="0"/>
        <v>5968815.3758199997</v>
      </c>
      <c r="L24" s="247">
        <f t="shared" si="3"/>
        <v>86.8</v>
      </c>
      <c r="M24" s="74"/>
    </row>
    <row r="25" spans="1:23" ht="22.5" x14ac:dyDescent="0.3">
      <c r="A25" s="209" t="s">
        <v>446</v>
      </c>
      <c r="B25" s="104">
        <f>'Skjema total MA'!B135</f>
        <v>494244392.93642002</v>
      </c>
      <c r="C25" s="104">
        <f>'Skjema total MA'!C135</f>
        <v>524790162.00976998</v>
      </c>
      <c r="D25" s="249">
        <f t="shared" si="4"/>
        <v>6.2</v>
      </c>
      <c r="E25" s="200"/>
      <c r="F25" s="212">
        <f>'Skjema total MA'!E135</f>
        <v>2241526.4711500001</v>
      </c>
      <c r="G25" s="212">
        <f>'Skjema total MA'!F135</f>
        <v>2344983.7411500001</v>
      </c>
      <c r="H25" s="249">
        <f t="shared" si="2"/>
        <v>4.5999999999999996</v>
      </c>
      <c r="I25" s="200"/>
      <c r="J25" s="212">
        <f t="shared" si="0"/>
        <v>496485919.40757</v>
      </c>
      <c r="K25" s="212">
        <f t="shared" si="0"/>
        <v>527135145.75092</v>
      </c>
      <c r="L25" s="247">
        <f t="shared" si="3"/>
        <v>6.2</v>
      </c>
      <c r="M25" s="74"/>
    </row>
    <row r="26" spans="1:23" ht="18.75" x14ac:dyDescent="0.3">
      <c r="A26" s="209" t="s">
        <v>123</v>
      </c>
      <c r="B26" s="104">
        <f>'Skjema total MA'!B37</f>
        <v>4068439.003</v>
      </c>
      <c r="C26" s="104">
        <f>'Skjema total MA'!C37</f>
        <v>3928290.9470000002</v>
      </c>
      <c r="D26" s="249">
        <f t="shared" si="4"/>
        <v>-3.4</v>
      </c>
      <c r="E26" s="200"/>
      <c r="F26" s="212">
        <f>'Skjema total MA'!E37</f>
        <v>0</v>
      </c>
      <c r="G26" s="212">
        <f>'Skjema total MA'!F37</f>
        <v>0</v>
      </c>
      <c r="H26" s="249"/>
      <c r="I26" s="200"/>
      <c r="J26" s="212">
        <f t="shared" si="0"/>
        <v>4068439.003</v>
      </c>
      <c r="K26" s="212">
        <f t="shared" si="0"/>
        <v>3928290.9470000002</v>
      </c>
      <c r="L26" s="247">
        <f t="shared" si="3"/>
        <v>-3.4</v>
      </c>
      <c r="M26" s="74"/>
    </row>
    <row r="27" spans="1:23" s="137" customFormat="1" ht="18.75" x14ac:dyDescent="0.3">
      <c r="A27" s="139" t="s">
        <v>126</v>
      </c>
      <c r="B27" s="111">
        <f>'Tabel 1.1'!G30</f>
        <v>949509404.95145988</v>
      </c>
      <c r="C27" s="214">
        <f>'Tabel 1.1'!H30</f>
        <v>984883822.17937994</v>
      </c>
      <c r="D27" s="249">
        <f t="shared" si="4"/>
        <v>3.7</v>
      </c>
      <c r="E27" s="140"/>
      <c r="F27" s="214">
        <f>'Tabel 1.1'!G43</f>
        <v>246771095.2983</v>
      </c>
      <c r="G27" s="214">
        <f>'Tabel 1.1'!H43</f>
        <v>298480413.31316072</v>
      </c>
      <c r="H27" s="249">
        <f t="shared" si="2"/>
        <v>21</v>
      </c>
      <c r="I27" s="140"/>
      <c r="J27" s="214">
        <f t="shared" si="0"/>
        <v>1196280500.2497599</v>
      </c>
      <c r="K27" s="214">
        <f t="shared" si="0"/>
        <v>1283364235.4925406</v>
      </c>
      <c r="L27" s="247">
        <f t="shared" si="3"/>
        <v>7.3</v>
      </c>
      <c r="M27" s="75"/>
      <c r="N27" s="136"/>
      <c r="O27" s="136"/>
    </row>
    <row r="28" spans="1:23" ht="18.75" x14ac:dyDescent="0.3">
      <c r="A28" s="139"/>
      <c r="B28" s="104"/>
      <c r="C28" s="212"/>
      <c r="D28" s="249"/>
      <c r="E28" s="200"/>
      <c r="F28" s="212"/>
      <c r="G28" s="212"/>
      <c r="H28" s="249"/>
      <c r="I28" s="200"/>
      <c r="J28" s="212">
        <f t="shared" si="0"/>
        <v>0</v>
      </c>
      <c r="K28" s="212">
        <f t="shared" si="0"/>
        <v>0</v>
      </c>
      <c r="L28" s="247"/>
      <c r="M28" s="74"/>
    </row>
    <row r="29" spans="1:23" ht="22.5" x14ac:dyDescent="0.3">
      <c r="A29" s="208" t="s">
        <v>448</v>
      </c>
      <c r="B29" s="216"/>
      <c r="C29" s="219"/>
      <c r="D29" s="212"/>
      <c r="E29" s="200"/>
      <c r="F29" s="212"/>
      <c r="G29" s="212"/>
      <c r="H29" s="249"/>
      <c r="I29" s="200"/>
      <c r="J29" s="212"/>
      <c r="K29" s="212"/>
      <c r="L29" s="247"/>
      <c r="M29" s="74"/>
    </row>
    <row r="30" spans="1:23" ht="18.75" x14ac:dyDescent="0.3">
      <c r="A30" s="209" t="s">
        <v>117</v>
      </c>
      <c r="B30" s="104">
        <f>'Skjema total MA'!B11</f>
        <v>5601</v>
      </c>
      <c r="C30" s="104">
        <f>'Skjema total MA'!C11</f>
        <v>2968</v>
      </c>
      <c r="D30" s="249">
        <f>IF(B30=0, "    ---- ", IF(ABS(ROUND(100/B30*C30-100,1))&lt;999,ROUND(100/B30*C30-100,1),IF(ROUND(100/B30*C30-100,1)&gt;999,999,-999)))</f>
        <v>-47</v>
      </c>
      <c r="E30" s="200"/>
      <c r="F30" s="212">
        <f>'Skjema total MA'!E11</f>
        <v>116100.12971000001</v>
      </c>
      <c r="G30" s="212">
        <f>'Skjema total MA'!F11</f>
        <v>52468.167150000001</v>
      </c>
      <c r="H30" s="249">
        <f t="shared" si="2"/>
        <v>-54.8</v>
      </c>
      <c r="I30" s="200"/>
      <c r="J30" s="212">
        <f t="shared" si="0"/>
        <v>121701.12971000001</v>
      </c>
      <c r="K30" s="212">
        <f t="shared" si="0"/>
        <v>55436.167150000001</v>
      </c>
      <c r="L30" s="247">
        <f t="shared" si="3"/>
        <v>-54.4</v>
      </c>
      <c r="M30" s="74"/>
    </row>
    <row r="31" spans="1:23" ht="18.75" x14ac:dyDescent="0.3">
      <c r="A31" s="209" t="s">
        <v>118</v>
      </c>
      <c r="B31" s="104">
        <f>'Skjema total MA'!B34</f>
        <v>9743.6026899999997</v>
      </c>
      <c r="C31" s="104">
        <f>'Skjema total MA'!C34</f>
        <v>7602.5492800000002</v>
      </c>
      <c r="D31" s="249">
        <f t="shared" ref="D31:D38" si="5">IF(B31=0, "    ---- ", IF(ABS(ROUND(100/B31*C31-100,1))&lt;999,ROUND(100/B31*C31-100,1),IF(ROUND(100/B31*C31-100,1)&gt;999,999,-999)))</f>
        <v>-22</v>
      </c>
      <c r="E31" s="200"/>
      <c r="F31" s="212">
        <f>'Skjema total MA'!E34</f>
        <v>3574.6037700000011</v>
      </c>
      <c r="G31" s="212">
        <f>'Skjema total MA'!F34</f>
        <v>5579.303100000001</v>
      </c>
      <c r="H31" s="249">
        <f t="shared" si="2"/>
        <v>56.1</v>
      </c>
      <c r="I31" s="200"/>
      <c r="J31" s="212">
        <f t="shared" si="0"/>
        <v>13318.206460000001</v>
      </c>
      <c r="K31" s="212">
        <f t="shared" si="0"/>
        <v>13181.85238</v>
      </c>
      <c r="L31" s="247">
        <f t="shared" si="3"/>
        <v>-1</v>
      </c>
      <c r="M31" s="74"/>
    </row>
    <row r="32" spans="1:23" ht="18.75" x14ac:dyDescent="0.3">
      <c r="A32" s="209" t="s">
        <v>120</v>
      </c>
      <c r="B32" s="104">
        <f>'Skjema total MA'!B111</f>
        <v>276247.89504999999</v>
      </c>
      <c r="C32" s="104">
        <f>'Skjema total MA'!C111</f>
        <v>443861.89147000003</v>
      </c>
      <c r="D32" s="249">
        <f t="shared" si="5"/>
        <v>60.7</v>
      </c>
      <c r="E32" s="200"/>
      <c r="F32" s="212">
        <f>'Skjema total MA'!E111</f>
        <v>4454459.9280399997</v>
      </c>
      <c r="G32" s="212">
        <f>'Skjema total MA'!F111</f>
        <v>4800049.0777200004</v>
      </c>
      <c r="H32" s="249">
        <f t="shared" si="2"/>
        <v>7.8</v>
      </c>
      <c r="I32" s="200"/>
      <c r="J32" s="212">
        <f t="shared" si="0"/>
        <v>4730707.8230900001</v>
      </c>
      <c r="K32" s="212">
        <f t="shared" si="0"/>
        <v>5243910.9691900006</v>
      </c>
      <c r="L32" s="247">
        <f t="shared" si="3"/>
        <v>10.8</v>
      </c>
      <c r="M32" s="74"/>
    </row>
    <row r="33" spans="1:15" ht="22.5" x14ac:dyDescent="0.3">
      <c r="A33" s="209" t="s">
        <v>446</v>
      </c>
      <c r="B33" s="104">
        <f>'Skjema total MA'!B136</f>
        <v>151652.45499999999</v>
      </c>
      <c r="C33" s="104">
        <f>'Skjema total MA'!C136</f>
        <v>5301.9790000000003</v>
      </c>
      <c r="D33" s="249">
        <f t="shared" si="5"/>
        <v>-96.5</v>
      </c>
      <c r="E33" s="200"/>
      <c r="F33" s="212">
        <f>'Skjema total MA'!E136</f>
        <v>24988.125</v>
      </c>
      <c r="G33" s="212">
        <f>'Skjema total MA'!F136</f>
        <v>0</v>
      </c>
      <c r="H33" s="249">
        <f t="shared" si="2"/>
        <v>-100</v>
      </c>
      <c r="I33" s="200"/>
      <c r="J33" s="212">
        <f t="shared" si="0"/>
        <v>176640.58</v>
      </c>
      <c r="K33" s="212">
        <f t="shared" si="0"/>
        <v>5301.9790000000003</v>
      </c>
      <c r="L33" s="247">
        <f t="shared" si="3"/>
        <v>-97</v>
      </c>
      <c r="M33" s="74"/>
    </row>
    <row r="34" spans="1:15" ht="18.75" x14ac:dyDescent="0.3">
      <c r="A34" s="209" t="s">
        <v>123</v>
      </c>
      <c r="B34" s="104">
        <f>'Skjema total MA'!B38</f>
        <v>0</v>
      </c>
      <c r="C34" s="104">
        <f>'Skjema total MA'!C38</f>
        <v>611</v>
      </c>
      <c r="D34" s="249" t="str">
        <f t="shared" si="5"/>
        <v xml:space="preserve">    ---- </v>
      </c>
      <c r="E34" s="200"/>
      <c r="F34" s="212">
        <f>'Skjema total MA'!E38</f>
        <v>0</v>
      </c>
      <c r="G34" s="212">
        <f>'Skjema total MA'!F38</f>
        <v>0</v>
      </c>
      <c r="H34" s="249"/>
      <c r="I34" s="200"/>
      <c r="J34" s="212">
        <f t="shared" si="0"/>
        <v>0</v>
      </c>
      <c r="K34" s="212">
        <f t="shared" si="0"/>
        <v>611</v>
      </c>
      <c r="L34" s="247" t="str">
        <f t="shared" si="3"/>
        <v xml:space="preserve">    ---- </v>
      </c>
      <c r="M34" s="74"/>
    </row>
    <row r="35" spans="1:15" s="137" customFormat="1" ht="18.75" x14ac:dyDescent="0.3">
      <c r="A35" s="139" t="s">
        <v>127</v>
      </c>
      <c r="B35" s="111">
        <f>SUM(B30:B34)</f>
        <v>443244.95273999998</v>
      </c>
      <c r="C35" s="214">
        <f>SUM(C30:C34)</f>
        <v>460345.41975</v>
      </c>
      <c r="D35" s="249">
        <f t="shared" si="5"/>
        <v>3.9</v>
      </c>
      <c r="E35" s="140"/>
      <c r="F35" s="214">
        <f>SUM(F30:F34)</f>
        <v>4599122.7865199996</v>
      </c>
      <c r="G35" s="214">
        <f>SUM(G30:G34)</f>
        <v>4858096.5479700007</v>
      </c>
      <c r="H35" s="249">
        <f t="shared" si="2"/>
        <v>5.6</v>
      </c>
      <c r="I35" s="140"/>
      <c r="J35" s="214">
        <f t="shared" si="0"/>
        <v>5042367.7392599992</v>
      </c>
      <c r="K35" s="214">
        <f t="shared" si="0"/>
        <v>5318441.967720001</v>
      </c>
      <c r="L35" s="247">
        <f t="shared" si="3"/>
        <v>5.5</v>
      </c>
      <c r="M35" s="75"/>
    </row>
    <row r="36" spans="1:15" ht="18.75" x14ac:dyDescent="0.3">
      <c r="A36" s="139"/>
      <c r="B36" s="111"/>
      <c r="C36" s="214"/>
      <c r="D36" s="249"/>
      <c r="E36" s="140"/>
      <c r="F36" s="214"/>
      <c r="G36" s="214"/>
      <c r="H36" s="249"/>
      <c r="I36" s="140"/>
      <c r="J36" s="212"/>
      <c r="K36" s="212"/>
      <c r="L36" s="247"/>
      <c r="M36" s="74"/>
    </row>
    <row r="37" spans="1:15" ht="22.5" x14ac:dyDescent="0.3">
      <c r="A37" s="139" t="s">
        <v>449</v>
      </c>
      <c r="B37" s="111"/>
      <c r="C37" s="214"/>
      <c r="D37" s="212"/>
      <c r="E37" s="140"/>
      <c r="F37" s="214"/>
      <c r="G37" s="214"/>
      <c r="H37" s="249"/>
      <c r="I37" s="140"/>
      <c r="J37" s="212"/>
      <c r="K37" s="212"/>
      <c r="L37" s="247"/>
      <c r="M37" s="74"/>
    </row>
    <row r="38" spans="1:15" s="137" customFormat="1" ht="18.75" x14ac:dyDescent="0.3">
      <c r="A38" s="139" t="s">
        <v>119</v>
      </c>
      <c r="B38" s="111">
        <f>'Skjema total MA'!B53</f>
        <v>120052.32799999999</v>
      </c>
      <c r="C38" s="111">
        <f>'Skjema total MA'!C53</f>
        <v>45529.033999999992</v>
      </c>
      <c r="D38" s="249">
        <f t="shared" si="5"/>
        <v>-62.1</v>
      </c>
      <c r="E38" s="140"/>
      <c r="F38" s="214"/>
      <c r="G38" s="214"/>
      <c r="H38" s="249"/>
      <c r="I38" s="140"/>
      <c r="J38" s="214">
        <f t="shared" si="0"/>
        <v>120052.32799999999</v>
      </c>
      <c r="K38" s="214">
        <f t="shared" si="0"/>
        <v>45529.033999999992</v>
      </c>
      <c r="L38" s="247">
        <f t="shared" si="3"/>
        <v>-62.1</v>
      </c>
      <c r="M38" s="75"/>
    </row>
    <row r="39" spans="1:15" ht="18.75" x14ac:dyDescent="0.3">
      <c r="A39" s="139"/>
      <c r="B39" s="111"/>
      <c r="C39" s="214"/>
      <c r="D39" s="212"/>
      <c r="E39" s="140"/>
      <c r="F39" s="214"/>
      <c r="G39" s="214"/>
      <c r="H39" s="249"/>
      <c r="I39" s="140"/>
      <c r="J39" s="212"/>
      <c r="K39" s="212"/>
      <c r="L39" s="247"/>
      <c r="M39" s="74"/>
    </row>
    <row r="40" spans="1:15" ht="22.5" x14ac:dyDescent="0.3">
      <c r="A40" s="208" t="s">
        <v>450</v>
      </c>
      <c r="B40" s="216"/>
      <c r="C40" s="219"/>
      <c r="D40" s="212"/>
      <c r="E40" s="200"/>
      <c r="F40" s="212"/>
      <c r="G40" s="212"/>
      <c r="H40" s="249"/>
      <c r="I40" s="200"/>
      <c r="J40" s="212"/>
      <c r="K40" s="212"/>
      <c r="L40" s="247"/>
      <c r="M40" s="74"/>
    </row>
    <row r="41" spans="1:15" ht="18.75" x14ac:dyDescent="0.3">
      <c r="A41" s="209" t="s">
        <v>117</v>
      </c>
      <c r="B41" s="104">
        <f>'Skjema total MA'!B12</f>
        <v>743</v>
      </c>
      <c r="C41" s="104">
        <f>'Skjema total MA'!C12</f>
        <v>-21</v>
      </c>
      <c r="D41" s="249">
        <f>IF(B41=0, "    ---- ", IF(ABS(ROUND(100/B41*C41-100,1))&lt;999,ROUND(100/B41*C41-100,1),IF(ROUND(100/B41*C41-100,1)&gt;999,999,-999)))</f>
        <v>-102.8</v>
      </c>
      <c r="E41" s="200"/>
      <c r="F41" s="212">
        <f>'Skjema total MA'!E12</f>
        <v>48844.213790000002</v>
      </c>
      <c r="G41" s="212">
        <f>'Skjema total MA'!F12</f>
        <v>61220.261790000004</v>
      </c>
      <c r="H41" s="249">
        <f t="shared" si="2"/>
        <v>25.3</v>
      </c>
      <c r="I41" s="200"/>
      <c r="J41" s="212">
        <f t="shared" si="0"/>
        <v>49587.213790000002</v>
      </c>
      <c r="K41" s="212">
        <f t="shared" si="0"/>
        <v>61199.261790000004</v>
      </c>
      <c r="L41" s="247">
        <f t="shared" si="3"/>
        <v>23.4</v>
      </c>
      <c r="M41" s="74"/>
    </row>
    <row r="42" spans="1:15" ht="18.75" x14ac:dyDescent="0.3">
      <c r="A42" s="209" t="s">
        <v>118</v>
      </c>
      <c r="B42" s="104">
        <f>'Skjema total MA'!B35</f>
        <v>-21611.152000000002</v>
      </c>
      <c r="C42" s="104">
        <f>'Skjema total MA'!C35</f>
        <v>-9944.9119100000007</v>
      </c>
      <c r="D42" s="249">
        <f t="shared" ref="D42:D46" si="6">IF(B42=0, "    ---- ", IF(ABS(ROUND(100/B42*C42-100,1))&lt;999,ROUND(100/B42*C42-100,1),IF(ROUND(100/B42*C42-100,1)&gt;999,999,-999)))</f>
        <v>-54</v>
      </c>
      <c r="E42" s="200"/>
      <c r="F42" s="212">
        <f>'Skjema total MA'!E35</f>
        <v>40035.329429999998</v>
      </c>
      <c r="G42" s="212">
        <f>'Skjema total MA'!F35</f>
        <v>27172.133980000002</v>
      </c>
      <c r="H42" s="249">
        <f t="shared" si="2"/>
        <v>-32.1</v>
      </c>
      <c r="I42" s="200"/>
      <c r="J42" s="212">
        <f t="shared" si="0"/>
        <v>18424.177429999996</v>
      </c>
      <c r="K42" s="212">
        <f t="shared" si="0"/>
        <v>17227.222070000003</v>
      </c>
      <c r="L42" s="247">
        <f t="shared" si="3"/>
        <v>-6.5</v>
      </c>
      <c r="M42" s="74"/>
    </row>
    <row r="43" spans="1:15" ht="18.75" x14ac:dyDescent="0.3">
      <c r="A43" s="209" t="s">
        <v>120</v>
      </c>
      <c r="B43" s="104">
        <f>'Skjema total MA'!B119</f>
        <v>280519.07824</v>
      </c>
      <c r="C43" s="104">
        <f>'Skjema total MA'!C119</f>
        <v>170176.22447999968</v>
      </c>
      <c r="D43" s="249">
        <f t="shared" si="6"/>
        <v>-39.299999999999997</v>
      </c>
      <c r="E43" s="200"/>
      <c r="F43" s="212">
        <f>'Skjema total MA'!E119</f>
        <v>4453830.9808799997</v>
      </c>
      <c r="G43" s="212">
        <f>'Skjema total MA'!F119</f>
        <v>5018920.8331699995</v>
      </c>
      <c r="H43" s="249">
        <f t="shared" si="2"/>
        <v>12.7</v>
      </c>
      <c r="I43" s="200"/>
      <c r="J43" s="212">
        <f t="shared" si="0"/>
        <v>4734350.0591199994</v>
      </c>
      <c r="K43" s="212">
        <f t="shared" si="0"/>
        <v>5189097.0576499989</v>
      </c>
      <c r="L43" s="247">
        <f t="shared" si="3"/>
        <v>9.6</v>
      </c>
      <c r="M43" s="74"/>
    </row>
    <row r="44" spans="1:15" ht="22.5" x14ac:dyDescent="0.3">
      <c r="A44" s="209" t="s">
        <v>446</v>
      </c>
      <c r="B44" s="104">
        <f>'Skjema total MA'!B137</f>
        <v>321263.54099999997</v>
      </c>
      <c r="C44" s="104">
        <f>'Skjema total MA'!C137</f>
        <v>423500</v>
      </c>
      <c r="D44" s="249">
        <f t="shared" si="6"/>
        <v>31.8</v>
      </c>
      <c r="E44" s="200"/>
      <c r="F44" s="212">
        <f>'Skjema total MA'!E137</f>
        <v>0</v>
      </c>
      <c r="G44" s="212">
        <f>'Skjema total MA'!F137</f>
        <v>0</v>
      </c>
      <c r="H44" s="249"/>
      <c r="I44" s="200"/>
      <c r="J44" s="212">
        <f t="shared" si="0"/>
        <v>321263.54099999997</v>
      </c>
      <c r="K44" s="212">
        <f t="shared" si="0"/>
        <v>423500</v>
      </c>
      <c r="L44" s="247">
        <f t="shared" si="3"/>
        <v>31.8</v>
      </c>
      <c r="M44" s="74"/>
    </row>
    <row r="45" spans="1:15" ht="18.75" x14ac:dyDescent="0.3">
      <c r="A45" s="209" t="s">
        <v>123</v>
      </c>
      <c r="B45" s="104">
        <f>'Skjema total MA'!B39</f>
        <v>0</v>
      </c>
      <c r="C45" s="104">
        <f>'Skjema total MA'!C39</f>
        <v>0</v>
      </c>
      <c r="D45" s="249"/>
      <c r="E45" s="200"/>
      <c r="F45" s="212"/>
      <c r="G45" s="212"/>
      <c r="H45" s="249"/>
      <c r="I45" s="200"/>
      <c r="J45" s="212">
        <f t="shared" si="0"/>
        <v>0</v>
      </c>
      <c r="K45" s="212">
        <f t="shared" si="0"/>
        <v>0</v>
      </c>
      <c r="L45" s="247"/>
      <c r="M45" s="74"/>
    </row>
    <row r="46" spans="1:15" s="137" customFormat="1" ht="18.75" x14ac:dyDescent="0.3">
      <c r="A46" s="139" t="s">
        <v>128</v>
      </c>
      <c r="B46" s="111">
        <f>SUM(B41:B45)</f>
        <v>580914.46723999991</v>
      </c>
      <c r="C46" s="214">
        <f>SUM(C41:C45)</f>
        <v>583710.31256999972</v>
      </c>
      <c r="D46" s="249">
        <f t="shared" si="6"/>
        <v>0.5</v>
      </c>
      <c r="E46" s="140"/>
      <c r="F46" s="214">
        <f>SUM(F41:F45)</f>
        <v>4542710.5241</v>
      </c>
      <c r="G46" s="300">
        <f>SUM(G41:G45)</f>
        <v>5107313.2289399998</v>
      </c>
      <c r="H46" s="249">
        <f t="shared" si="2"/>
        <v>12.4</v>
      </c>
      <c r="I46" s="140"/>
      <c r="J46" s="214">
        <f t="shared" si="0"/>
        <v>5123624.9913400002</v>
      </c>
      <c r="K46" s="214">
        <f t="shared" si="0"/>
        <v>5691023.5415099999</v>
      </c>
      <c r="L46" s="247">
        <f t="shared" si="3"/>
        <v>11.1</v>
      </c>
      <c r="M46" s="75"/>
      <c r="N46" s="136"/>
      <c r="O46" s="136"/>
    </row>
    <row r="47" spans="1:15" ht="18.75" x14ac:dyDescent="0.3">
      <c r="A47" s="139"/>
      <c r="B47" s="111"/>
      <c r="C47" s="214"/>
      <c r="D47" s="212"/>
      <c r="E47" s="140"/>
      <c r="F47" s="214"/>
      <c r="G47" s="214"/>
      <c r="H47" s="249"/>
      <c r="I47" s="140"/>
      <c r="J47" s="212"/>
      <c r="K47" s="212"/>
      <c r="L47" s="247"/>
      <c r="M47" s="74"/>
    </row>
    <row r="48" spans="1:15" ht="22.5" x14ac:dyDescent="0.3">
      <c r="A48" s="139" t="s">
        <v>451</v>
      </c>
      <c r="B48" s="111"/>
      <c r="C48" s="214"/>
      <c r="D48" s="212"/>
      <c r="E48" s="140"/>
      <c r="F48" s="214"/>
      <c r="G48" s="214"/>
      <c r="H48" s="249"/>
      <c r="I48" s="140"/>
      <c r="J48" s="212"/>
      <c r="K48" s="212"/>
      <c r="L48" s="247"/>
      <c r="M48" s="74"/>
    </row>
    <row r="49" spans="1:15" s="137" customFormat="1" ht="18.75" x14ac:dyDescent="0.3">
      <c r="A49" s="139" t="s">
        <v>119</v>
      </c>
      <c r="B49" s="111">
        <f>'Skjema total MA'!B56</f>
        <v>65353.504000000001</v>
      </c>
      <c r="C49" s="111">
        <f>'Skjema total MA'!C56</f>
        <v>42022.103999999999</v>
      </c>
      <c r="D49" s="249">
        <f t="shared" ref="D49" si="7">IF(B49=0, "    ---- ", IF(ABS(ROUND(100/B49*C49-100,1))&lt;999,ROUND(100/B49*C49-100,1),IF(ROUND(100/B49*C49-100,1)&gt;999,999,-999)))</f>
        <v>-35.700000000000003</v>
      </c>
      <c r="E49" s="140"/>
      <c r="F49" s="214"/>
      <c r="G49" s="214"/>
      <c r="H49" s="249"/>
      <c r="I49" s="140"/>
      <c r="J49" s="214">
        <f>SUM(B49+F49)</f>
        <v>65353.504000000001</v>
      </c>
      <c r="K49" s="214">
        <f>SUM(C49+G49)</f>
        <v>42022.103999999999</v>
      </c>
      <c r="L49" s="247">
        <f t="shared" si="3"/>
        <v>-35.700000000000003</v>
      </c>
      <c r="M49" s="75"/>
    </row>
    <row r="50" spans="1:15" ht="18.75" x14ac:dyDescent="0.3">
      <c r="A50" s="139"/>
      <c r="B50" s="104"/>
      <c r="C50" s="212"/>
      <c r="D50" s="212"/>
      <c r="E50" s="200"/>
      <c r="F50" s="212"/>
      <c r="G50" s="212"/>
      <c r="H50" s="249"/>
      <c r="I50" s="200"/>
      <c r="J50" s="212"/>
      <c r="K50" s="212"/>
      <c r="L50" s="247"/>
      <c r="M50" s="74"/>
    </row>
    <row r="51" spans="1:15" ht="21.75" x14ac:dyDescent="0.3">
      <c r="A51" s="208" t="s">
        <v>465</v>
      </c>
      <c r="B51" s="104"/>
      <c r="C51" s="212"/>
      <c r="D51" s="212"/>
      <c r="E51" s="200"/>
      <c r="F51" s="212"/>
      <c r="G51" s="212"/>
      <c r="H51" s="249"/>
      <c r="I51" s="200"/>
      <c r="J51" s="212"/>
      <c r="K51" s="212"/>
      <c r="L51" s="247"/>
      <c r="M51" s="74"/>
    </row>
    <row r="52" spans="1:15" ht="18.75" x14ac:dyDescent="0.3">
      <c r="A52" s="209" t="s">
        <v>117</v>
      </c>
      <c r="B52" s="104">
        <f>B30-B41</f>
        <v>4858</v>
      </c>
      <c r="C52" s="212">
        <f>C30-C41</f>
        <v>2989</v>
      </c>
      <c r="D52" s="249">
        <f>IF(B52=0, "    ---- ", IF(ABS(ROUND(100/B52*C52-100,1))&lt;999,ROUND(100/B52*C52-100,1),IF(ROUND(100/B52*C52-100,1)&gt;999,999,-999)))</f>
        <v>-38.5</v>
      </c>
      <c r="E52" s="200"/>
      <c r="F52" s="212">
        <f>F30-F41</f>
        <v>67255.915919999999</v>
      </c>
      <c r="G52" s="212">
        <f>G30-G41</f>
        <v>-8752.094640000003</v>
      </c>
      <c r="H52" s="249">
        <f t="shared" si="2"/>
        <v>-113</v>
      </c>
      <c r="I52" s="200"/>
      <c r="J52" s="212">
        <f t="shared" si="0"/>
        <v>72113.915919999999</v>
      </c>
      <c r="K52" s="212">
        <f t="shared" si="0"/>
        <v>-5763.094640000003</v>
      </c>
      <c r="L52" s="247">
        <f t="shared" si="3"/>
        <v>-108</v>
      </c>
      <c r="M52" s="74"/>
    </row>
    <row r="53" spans="1:15" ht="18.75" x14ac:dyDescent="0.3">
      <c r="A53" s="209" t="s">
        <v>118</v>
      </c>
      <c r="B53" s="104">
        <f t="shared" ref="B53:C56" si="8">B31-B42</f>
        <v>31354.754690000002</v>
      </c>
      <c r="C53" s="212">
        <f t="shared" si="8"/>
        <v>17547.461190000002</v>
      </c>
      <c r="D53" s="249">
        <f t="shared" ref="D53:D60" si="9">IF(B53=0, "    ---- ", IF(ABS(ROUND(100/B53*C53-100,1))&lt;999,ROUND(100/B53*C53-100,1),IF(ROUND(100/B53*C53-100,1)&gt;999,999,-999)))</f>
        <v>-44</v>
      </c>
      <c r="E53" s="200"/>
      <c r="F53" s="212">
        <f t="shared" ref="F53:G56" si="10">F31-F42</f>
        <v>-36460.725659999996</v>
      </c>
      <c r="G53" s="212">
        <f t="shared" si="10"/>
        <v>-21592.830880000001</v>
      </c>
      <c r="H53" s="249">
        <f t="shared" si="2"/>
        <v>-40.799999999999997</v>
      </c>
      <c r="I53" s="200"/>
      <c r="J53" s="212">
        <f t="shared" si="0"/>
        <v>-5105.9709699999948</v>
      </c>
      <c r="K53" s="212">
        <f t="shared" si="0"/>
        <v>-4045.3696899999995</v>
      </c>
      <c r="L53" s="247">
        <f t="shared" si="3"/>
        <v>-20.8</v>
      </c>
      <c r="M53" s="74"/>
    </row>
    <row r="54" spans="1:15" ht="18.75" x14ac:dyDescent="0.3">
      <c r="A54" s="209" t="s">
        <v>120</v>
      </c>
      <c r="B54" s="104">
        <f t="shared" si="8"/>
        <v>-4271.1831900000107</v>
      </c>
      <c r="C54" s="212">
        <f t="shared" si="8"/>
        <v>273685.66699000035</v>
      </c>
      <c r="D54" s="249">
        <f t="shared" si="9"/>
        <v>-999</v>
      </c>
      <c r="E54" s="200"/>
      <c r="F54" s="212">
        <f t="shared" si="10"/>
        <v>628.94715999998152</v>
      </c>
      <c r="G54" s="212">
        <f t="shared" si="10"/>
        <v>-218871.75544999912</v>
      </c>
      <c r="H54" s="249">
        <f t="shared" si="2"/>
        <v>-999</v>
      </c>
      <c r="I54" s="200"/>
      <c r="J54" s="212">
        <f t="shared" si="0"/>
        <v>-3642.2360300000291</v>
      </c>
      <c r="K54" s="212">
        <f t="shared" si="0"/>
        <v>54813.911540001223</v>
      </c>
      <c r="L54" s="247">
        <f t="shared" si="3"/>
        <v>-999</v>
      </c>
      <c r="M54" s="74"/>
    </row>
    <row r="55" spans="1:15" ht="22.5" x14ac:dyDescent="0.3">
      <c r="A55" s="209" t="s">
        <v>446</v>
      </c>
      <c r="B55" s="104">
        <f t="shared" si="8"/>
        <v>-169611.08599999998</v>
      </c>
      <c r="C55" s="212">
        <f t="shared" si="8"/>
        <v>-418198.02100000001</v>
      </c>
      <c r="D55" s="249">
        <f t="shared" si="9"/>
        <v>146.6</v>
      </c>
      <c r="E55" s="200"/>
      <c r="F55" s="212">
        <f t="shared" si="10"/>
        <v>24988.125</v>
      </c>
      <c r="G55" s="212">
        <f t="shared" si="10"/>
        <v>0</v>
      </c>
      <c r="H55" s="249">
        <f t="shared" si="2"/>
        <v>-100</v>
      </c>
      <c r="I55" s="200"/>
      <c r="J55" s="212">
        <f t="shared" si="0"/>
        <v>-144622.96099999998</v>
      </c>
      <c r="K55" s="212">
        <f t="shared" si="0"/>
        <v>-418198.02100000001</v>
      </c>
      <c r="L55" s="247">
        <f t="shared" si="3"/>
        <v>189.2</v>
      </c>
      <c r="M55" s="74"/>
    </row>
    <row r="56" spans="1:15" ht="18.75" x14ac:dyDescent="0.3">
      <c r="A56" s="209" t="s">
        <v>123</v>
      </c>
      <c r="B56" s="104">
        <f t="shared" si="8"/>
        <v>0</v>
      </c>
      <c r="C56" s="212">
        <f t="shared" si="8"/>
        <v>611</v>
      </c>
      <c r="D56" s="249" t="str">
        <f t="shared" si="9"/>
        <v xml:space="preserve">    ---- </v>
      </c>
      <c r="E56" s="200"/>
      <c r="F56" s="212">
        <f t="shared" si="10"/>
        <v>0</v>
      </c>
      <c r="G56" s="212">
        <f t="shared" si="10"/>
        <v>0</v>
      </c>
      <c r="H56" s="249"/>
      <c r="I56" s="200"/>
      <c r="J56" s="212">
        <f t="shared" si="0"/>
        <v>0</v>
      </c>
      <c r="K56" s="212">
        <f t="shared" si="0"/>
        <v>611</v>
      </c>
      <c r="L56" s="247" t="str">
        <f t="shared" si="3"/>
        <v xml:space="preserve">    ---- </v>
      </c>
      <c r="M56" s="74"/>
    </row>
    <row r="57" spans="1:15" s="137" customFormat="1" ht="18.75" x14ac:dyDescent="0.3">
      <c r="A57" s="139" t="s">
        <v>129</v>
      </c>
      <c r="B57" s="111">
        <f>SUM(B52:B56)</f>
        <v>-137669.51449999999</v>
      </c>
      <c r="C57" s="214">
        <f>SUM(C52:C56)</f>
        <v>-123364.89281999966</v>
      </c>
      <c r="D57" s="249">
        <f>IF(B57=0, "    ---- ", IF(ABS(ROUND(100/B57*C57-100,1))&lt;999,ROUND(100/B57*C57-100,1),IF(ROUND(100/B57*C57-100,1)&gt;999,999,-999)))</f>
        <v>-10.4</v>
      </c>
      <c r="E57" s="140"/>
      <c r="F57" s="214">
        <f>SUM(F52:F56)</f>
        <v>56412.262419999985</v>
      </c>
      <c r="G57" s="300">
        <f>SUM(G52:G56)</f>
        <v>-249216.68096999911</v>
      </c>
      <c r="H57" s="249">
        <f t="shared" si="2"/>
        <v>-541.79999999999995</v>
      </c>
      <c r="I57" s="140"/>
      <c r="J57" s="214">
        <f t="shared" si="0"/>
        <v>-81257.252080000006</v>
      </c>
      <c r="K57" s="212">
        <f t="shared" si="0"/>
        <v>-372581.57378999877</v>
      </c>
      <c r="L57" s="247">
        <f t="shared" si="3"/>
        <v>358.5</v>
      </c>
      <c r="M57" s="75"/>
      <c r="N57" s="136"/>
      <c r="O57" s="136"/>
    </row>
    <row r="58" spans="1:15" ht="18.75" x14ac:dyDescent="0.3">
      <c r="A58" s="139"/>
      <c r="B58" s="111"/>
      <c r="C58" s="214"/>
      <c r="D58" s="249"/>
      <c r="E58" s="140"/>
      <c r="F58" s="214"/>
      <c r="G58" s="214"/>
      <c r="H58" s="249"/>
      <c r="I58" s="140"/>
      <c r="J58" s="214"/>
      <c r="K58" s="212"/>
      <c r="L58" s="247"/>
      <c r="M58" s="74"/>
    </row>
    <row r="59" spans="1:15" ht="22.5" x14ac:dyDescent="0.3">
      <c r="A59" s="139" t="s">
        <v>452</v>
      </c>
      <c r="B59" s="111"/>
      <c r="C59" s="214"/>
      <c r="D59" s="249"/>
      <c r="E59" s="140"/>
      <c r="F59" s="214"/>
      <c r="G59" s="214"/>
      <c r="H59" s="249"/>
      <c r="I59" s="140"/>
      <c r="J59" s="214"/>
      <c r="K59" s="212"/>
      <c r="L59" s="247"/>
      <c r="M59" s="74"/>
    </row>
    <row r="60" spans="1:15" s="137" customFormat="1" ht="18.75" x14ac:dyDescent="0.3">
      <c r="A60" s="139" t="s">
        <v>119</v>
      </c>
      <c r="B60" s="111">
        <f>B38-B49</f>
        <v>54698.823999999993</v>
      </c>
      <c r="C60" s="214">
        <f>C38-C49</f>
        <v>3506.929999999993</v>
      </c>
      <c r="D60" s="249">
        <f t="shared" si="9"/>
        <v>-93.6</v>
      </c>
      <c r="E60" s="140"/>
      <c r="F60" s="214">
        <f>F38-F49</f>
        <v>0</v>
      </c>
      <c r="G60" s="214">
        <f>G38-G49</f>
        <v>0</v>
      </c>
      <c r="H60" s="249"/>
      <c r="I60" s="140"/>
      <c r="J60" s="214">
        <f t="shared" si="0"/>
        <v>54698.823999999993</v>
      </c>
      <c r="K60" s="212">
        <f t="shared" si="0"/>
        <v>3506.929999999993</v>
      </c>
      <c r="L60" s="247">
        <f t="shared" si="3"/>
        <v>-93.6</v>
      </c>
      <c r="M60" s="75"/>
    </row>
    <row r="61" spans="1:15" s="137" customFormat="1" ht="18.75" x14ac:dyDescent="0.3">
      <c r="A61" s="211"/>
      <c r="B61" s="117"/>
      <c r="C61" s="215"/>
      <c r="D61" s="220"/>
      <c r="E61" s="140"/>
      <c r="F61" s="215"/>
      <c r="G61" s="215"/>
      <c r="H61" s="220"/>
      <c r="I61" s="140"/>
      <c r="J61" s="220"/>
      <c r="K61" s="220"/>
      <c r="L61" s="220"/>
      <c r="M61" s="75"/>
    </row>
    <row r="62" spans="1:15" ht="18.75" x14ac:dyDescent="0.3">
      <c r="A62" s="114" t="s">
        <v>130</v>
      </c>
      <c r="C62" s="141"/>
      <c r="D62" s="141"/>
      <c r="E62" s="141"/>
      <c r="F62" s="141"/>
      <c r="G62" s="114"/>
      <c r="H62" s="74"/>
      <c r="I62" s="114"/>
      <c r="J62" s="114"/>
      <c r="K62" s="114"/>
      <c r="L62" s="74"/>
      <c r="M62" s="74"/>
    </row>
    <row r="63" spans="1:15" ht="18.75" x14ac:dyDescent="0.3">
      <c r="A63" s="114" t="s">
        <v>110</v>
      </c>
      <c r="B63" s="74"/>
      <c r="C63" s="74"/>
      <c r="D63" s="74"/>
      <c r="E63" s="74"/>
      <c r="F63" s="74"/>
      <c r="G63" s="74"/>
      <c r="H63" s="74"/>
      <c r="I63" s="74"/>
      <c r="J63" s="74"/>
      <c r="K63" s="74"/>
      <c r="L63" s="74"/>
      <c r="M63" s="74"/>
    </row>
    <row r="64" spans="1:15" ht="18.75" x14ac:dyDescent="0.3">
      <c r="A64" s="74"/>
      <c r="C64" s="74"/>
      <c r="D64" s="74"/>
      <c r="E64" s="74"/>
      <c r="F64" s="74"/>
      <c r="G64" s="74"/>
      <c r="H64" s="74"/>
      <c r="I64" s="74"/>
      <c r="J64" s="74"/>
      <c r="K64" s="74"/>
      <c r="L64" s="74"/>
      <c r="M64" s="74"/>
    </row>
    <row r="65" spans="1:13" ht="18.75" x14ac:dyDescent="0.3">
      <c r="A65" s="74"/>
      <c r="B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90" zoomScaleNormal="90" workbookViewId="0">
      <pane xSplit="1" ySplit="7" topLeftCell="B20"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81</v>
      </c>
      <c r="B1" s="73" t="s">
        <v>53</v>
      </c>
      <c r="C1" s="80"/>
      <c r="D1" s="80"/>
      <c r="E1" s="80"/>
      <c r="F1" s="74"/>
      <c r="G1" s="74"/>
      <c r="H1" s="74"/>
      <c r="I1" s="74"/>
      <c r="J1" s="74"/>
    </row>
    <row r="2" spans="1:10" ht="20.100000000000001" customHeight="1" x14ac:dyDescent="0.3">
      <c r="A2" s="80" t="s">
        <v>246</v>
      </c>
      <c r="B2" s="80"/>
      <c r="C2" s="80"/>
      <c r="D2" s="80"/>
      <c r="E2" s="80"/>
      <c r="F2" s="74"/>
      <c r="G2" s="74"/>
      <c r="H2" s="74"/>
      <c r="I2" s="74"/>
      <c r="J2" s="74"/>
    </row>
    <row r="3" spans="1:10" ht="20.100000000000001" customHeight="1" x14ac:dyDescent="0.3">
      <c r="A3" s="75"/>
      <c r="B3" s="75"/>
      <c r="C3" s="75"/>
      <c r="D3" s="75"/>
      <c r="E3" s="276"/>
      <c r="F3" s="74"/>
      <c r="G3" s="74"/>
      <c r="H3" s="74"/>
      <c r="I3" s="74"/>
      <c r="J3" s="74"/>
    </row>
    <row r="4" spans="1:10" ht="20.100000000000001" customHeight="1" x14ac:dyDescent="0.3">
      <c r="A4" s="277"/>
      <c r="B4" s="738" t="s">
        <v>247</v>
      </c>
      <c r="C4" s="738"/>
      <c r="D4" s="739"/>
      <c r="E4" s="89"/>
      <c r="F4" s="740" t="s">
        <v>247</v>
      </c>
      <c r="G4" s="738"/>
      <c r="H4" s="739"/>
      <c r="I4" s="74"/>
      <c r="J4" s="74"/>
    </row>
    <row r="5" spans="1:10" ht="18.75" customHeight="1" x14ac:dyDescent="0.3">
      <c r="A5" s="278" t="str">
        <f>'Tabel 1.1'!A4</f>
        <v>31.03.</v>
      </c>
      <c r="B5" s="741" t="s">
        <v>249</v>
      </c>
      <c r="C5" s="742"/>
      <c r="D5" s="743"/>
      <c r="E5" s="279"/>
      <c r="F5" s="744" t="s">
        <v>250</v>
      </c>
      <c r="G5" s="745"/>
      <c r="H5" s="746"/>
      <c r="I5" s="114"/>
      <c r="J5" s="74"/>
    </row>
    <row r="6" spans="1:10" ht="18.75" customHeight="1" x14ac:dyDescent="0.3">
      <c r="A6" s="124"/>
      <c r="B6" s="122"/>
      <c r="C6" s="208"/>
      <c r="D6" s="280" t="s">
        <v>85</v>
      </c>
      <c r="E6" s="280"/>
      <c r="F6" s="125"/>
      <c r="G6" s="126"/>
      <c r="H6" s="94" t="s">
        <v>85</v>
      </c>
      <c r="I6" s="100"/>
      <c r="J6" s="74"/>
    </row>
    <row r="7" spans="1:10" ht="18.75" customHeight="1" x14ac:dyDescent="0.3">
      <c r="A7" s="128"/>
      <c r="B7" s="97">
        <v>2017</v>
      </c>
      <c r="C7" s="97">
        <v>2018</v>
      </c>
      <c r="D7" s="281" t="s">
        <v>87</v>
      </c>
      <c r="E7" s="280"/>
      <c r="F7" s="97">
        <v>2017</v>
      </c>
      <c r="G7" s="129">
        <v>2018</v>
      </c>
      <c r="H7" s="282" t="s">
        <v>87</v>
      </c>
      <c r="I7" s="100"/>
      <c r="J7" s="74"/>
    </row>
    <row r="8" spans="1:10" ht="18.75" customHeight="1" x14ac:dyDescent="0.3">
      <c r="A8" s="101" t="s">
        <v>251</v>
      </c>
      <c r="B8" s="110">
        <f>SUM(B9:B14)</f>
        <v>127224.47206746</v>
      </c>
      <c r="C8" s="110">
        <f>SUM(C9:C14)</f>
        <v>138709.58478355999</v>
      </c>
      <c r="D8" s="283">
        <f t="shared" ref="D8:D38" si="0">IF(B8=0, "    ---- ", IF(ABS(ROUND(100/B8*C8-100,1))&lt;999,ROUND(100/B8*C8-100,1),IF(ROUND(100/B8*C8-100,1)&gt;999,999,-999)))</f>
        <v>9</v>
      </c>
      <c r="E8" s="284"/>
      <c r="F8" s="283">
        <f>SUM(F9:F14)</f>
        <v>99.547739577607786</v>
      </c>
      <c r="G8" s="283">
        <f>SUM(G9:G14)</f>
        <v>99.999999999999986</v>
      </c>
      <c r="H8" s="284">
        <f t="shared" ref="H8:H38" si="1">IF(F8=0, "    ---- ", IF(ABS(ROUND(100/F8*G8-100,1))&lt;999,ROUND(100/F8*G8-100,1),IF(ROUND(100/F8*G8-100,1)&gt;999,999,-999)))</f>
        <v>0.5</v>
      </c>
      <c r="I8" s="104"/>
      <c r="J8" s="74"/>
    </row>
    <row r="9" spans="1:10" ht="18.75" customHeight="1" x14ac:dyDescent="0.3">
      <c r="A9" s="86" t="s">
        <v>252</v>
      </c>
      <c r="B9" s="107">
        <f>'Tabell 6'!AO21</f>
        <v>3045.4803749999996</v>
      </c>
      <c r="C9" s="107">
        <f>'Tabell 6'!AP21</f>
        <v>3447.0859</v>
      </c>
      <c r="D9" s="285">
        <f t="shared" si="0"/>
        <v>13.2</v>
      </c>
      <c r="E9" s="285"/>
      <c r="F9" s="285">
        <f>'Tabell 6'!AO21/'Tabell 6'!AO29*100</f>
        <v>2.3829588940912316</v>
      </c>
      <c r="G9" s="285">
        <f>'Tabell 6'!AP21/'Tabell 6'!AP29*100</f>
        <v>2.4851100991894479</v>
      </c>
      <c r="H9" s="286">
        <f t="shared" si="1"/>
        <v>4.3</v>
      </c>
      <c r="I9" s="104"/>
      <c r="J9" s="77"/>
    </row>
    <row r="10" spans="1:10" ht="18.75" customHeight="1" x14ac:dyDescent="0.3">
      <c r="A10" s="86" t="s">
        <v>253</v>
      </c>
      <c r="B10" s="106">
        <f>'Tabell 6'!AO18+'Tabell 6'!AO22</f>
        <v>70616.837927639994</v>
      </c>
      <c r="C10" s="106">
        <f>'Tabell 6'!AP18+'Tabell 6'!AP22</f>
        <v>75460.465330589999</v>
      </c>
      <c r="D10" s="285">
        <f t="shared" si="0"/>
        <v>6.9</v>
      </c>
      <c r="E10" s="285"/>
      <c r="F10" s="285">
        <f>('Tabell 6'!AO18+'Tabell 6'!AO22)/'Tabell 6'!AO29*100</f>
        <v>55.254672922418266</v>
      </c>
      <c r="G10" s="285">
        <f>('Tabell 6'!AP18+'Tabell 6'!AP22)/'Tabell 6'!AP29*100</f>
        <v>54.401767151373981</v>
      </c>
      <c r="H10" s="286">
        <f t="shared" si="1"/>
        <v>-1.5</v>
      </c>
      <c r="I10" s="104"/>
      <c r="J10" s="74"/>
    </row>
    <row r="11" spans="1:10" ht="18.75" customHeight="1" x14ac:dyDescent="0.3">
      <c r="A11" s="86" t="s">
        <v>254</v>
      </c>
      <c r="B11" s="106">
        <f>'Tabell 6'!AO14</f>
        <v>992.76164475000007</v>
      </c>
      <c r="C11" s="106">
        <f>'Tabell 6'!AP14</f>
        <v>855.96876674999999</v>
      </c>
      <c r="D11" s="285">
        <f t="shared" si="0"/>
        <v>-13.8</v>
      </c>
      <c r="E11" s="285"/>
      <c r="F11" s="285">
        <f>'Tabell 6'!AO14/'Tabell 6'!AO29*100</f>
        <v>0.77679377299210217</v>
      </c>
      <c r="G11" s="285">
        <f>'Tabell 6'!AP14/'Tabell 6'!AP29*100</f>
        <v>0.61709417419541601</v>
      </c>
      <c r="H11" s="286">
        <f t="shared" si="1"/>
        <v>-20.6</v>
      </c>
      <c r="I11" s="104"/>
      <c r="J11" s="74"/>
    </row>
    <row r="12" spans="1:10" ht="18.75" customHeight="1" x14ac:dyDescent="0.3">
      <c r="A12" s="109" t="s">
        <v>255</v>
      </c>
      <c r="B12" s="106">
        <f>'Tabell 6'!AO15</f>
        <v>21431.91005472</v>
      </c>
      <c r="C12" s="106">
        <f>'Tabell 6'!AP15</f>
        <v>21505.342857720003</v>
      </c>
      <c r="D12" s="287">
        <f t="shared" si="0"/>
        <v>0.3</v>
      </c>
      <c r="E12" s="287"/>
      <c r="F12" s="285">
        <f>'Tabell 6'!AO15/'Tabell 6'!AO29*100</f>
        <v>16.769558294151977</v>
      </c>
      <c r="G12" s="285">
        <f>'Tabell 6'!AP15/'Tabell 6'!AP29*100</f>
        <v>15.503862181749414</v>
      </c>
      <c r="H12" s="286">
        <f t="shared" si="1"/>
        <v>-7.5</v>
      </c>
      <c r="I12" s="104"/>
      <c r="J12" s="74"/>
    </row>
    <row r="13" spans="1:10" ht="18.75" customHeight="1" x14ac:dyDescent="0.3">
      <c r="A13" s="86" t="s">
        <v>256</v>
      </c>
      <c r="B13" s="106">
        <f>'Tabell 6'!AO19+'Tabell 6'!AO23</f>
        <v>19045.107797410001</v>
      </c>
      <c r="C13" s="106">
        <f>'Tabell 6'!AP19+'Tabell 6'!AP23</f>
        <v>23304.965510409998</v>
      </c>
      <c r="D13" s="285">
        <f t="shared" si="0"/>
        <v>22.4</v>
      </c>
      <c r="E13" s="285"/>
      <c r="F13" s="285">
        <f>('Tabell 6'!AO19+'Tabell 6'!AO23)/'Tabell 6'!AO29*100</f>
        <v>14.901987018965581</v>
      </c>
      <c r="G13" s="285">
        <f>('Tabell 6'!AP19+'Tabell 6'!AP23)/'Tabell 6'!AP29*100</f>
        <v>16.801265425727181</v>
      </c>
      <c r="H13" s="286">
        <f t="shared" si="1"/>
        <v>12.7</v>
      </c>
      <c r="I13" s="104"/>
      <c r="J13" s="74"/>
    </row>
    <row r="14" spans="1:10" ht="18.75" customHeight="1" x14ac:dyDescent="0.3">
      <c r="A14" s="86" t="s">
        <v>257</v>
      </c>
      <c r="B14" s="194">
        <f>'Tabell 6'!AO17-'Tabell 6'!AO18+'Tabell 6'!AO24+'Tabell 6'!AO25+'Tabell 6'!AO26+'Tabell 6'!AO28</f>
        <v>12092.374267940002</v>
      </c>
      <c r="C14" s="194">
        <f>'Tabell 6'!AP17-'Tabell 6'!AP18+'Tabell 6'!AP24+'Tabell 6'!AP25+'Tabell 6'!AP26+'Tabell 6'!AP28</f>
        <v>14135.756418090001</v>
      </c>
      <c r="D14" s="285">
        <f t="shared" si="0"/>
        <v>16.899999999999999</v>
      </c>
      <c r="E14" s="285"/>
      <c r="F14" s="285">
        <f>('Tabell 6'!AO17-'Tabell 6'!AO18+'Tabell 6'!AO24+'Tabell 6'!AO25+'Tabell 6'!AO26+'Tabell 6'!AO28)/'Tabell 6'!AO29*100</f>
        <v>9.4617686749886136</v>
      </c>
      <c r="G14" s="285">
        <f>('Tabell 6'!AP17-'Tabell 6'!AP18+'Tabell 6'!AP24+'Tabell 6'!AP25+'Tabell 6'!AP26+'Tabell 6'!AP28)/'Tabell 6'!AP29*100</f>
        <v>10.190900967764547</v>
      </c>
      <c r="H14" s="286">
        <f t="shared" si="1"/>
        <v>7.7</v>
      </c>
      <c r="I14" s="104"/>
      <c r="J14" s="74"/>
    </row>
    <row r="15" spans="1:10" ht="18.75" customHeight="1" x14ac:dyDescent="0.3">
      <c r="A15" s="209"/>
      <c r="B15" s="103"/>
      <c r="C15" s="194"/>
      <c r="D15" s="286"/>
      <c r="E15" s="286"/>
      <c r="F15" s="286"/>
      <c r="G15" s="285"/>
      <c r="H15" s="286"/>
      <c r="I15" s="104"/>
      <c r="J15" s="74"/>
    </row>
    <row r="16" spans="1:10" s="137" customFormat="1" ht="18.75" customHeight="1" x14ac:dyDescent="0.3">
      <c r="A16" s="101" t="s">
        <v>258</v>
      </c>
      <c r="B16" s="110">
        <f>SUM(B17:B22)</f>
        <v>1022218.7364519499</v>
      </c>
      <c r="C16" s="110">
        <f>SUM(C17:C22)</f>
        <v>1058787.5131200599</v>
      </c>
      <c r="D16" s="283">
        <f t="shared" si="0"/>
        <v>3.6</v>
      </c>
      <c r="E16" s="283"/>
      <c r="F16" s="283">
        <f>SUM(F17:F22)</f>
        <v>100</v>
      </c>
      <c r="G16" s="283">
        <f>SUM(G17:G22)</f>
        <v>99.999999999999957</v>
      </c>
      <c r="H16" s="284">
        <f t="shared" si="1"/>
        <v>0</v>
      </c>
      <c r="I16" s="111"/>
      <c r="J16" s="75"/>
    </row>
    <row r="17" spans="1:10" ht="18.75" customHeight="1" x14ac:dyDescent="0.3">
      <c r="A17" s="86" t="s">
        <v>252</v>
      </c>
      <c r="B17" s="103">
        <f>'Tabell 6'!AO40</f>
        <v>159796.70191624001</v>
      </c>
      <c r="C17" s="103">
        <f>'Tabell 6'!AP40</f>
        <v>175037.22010919999</v>
      </c>
      <c r="D17" s="285">
        <f t="shared" si="0"/>
        <v>9.5</v>
      </c>
      <c r="E17" s="285"/>
      <c r="F17" s="285">
        <f>'Tabell 6'!AO40/('Tabell 6'!AO45+'Tabell 6'!AO46)*100</f>
        <v>15.632339363185931</v>
      </c>
      <c r="G17" s="285">
        <f>'Tabell 6'!AP40/('Tabell 6'!AP45+'Tabell 6'!AP46)*100</f>
        <v>16.531855347764367</v>
      </c>
      <c r="H17" s="286">
        <f t="shared" si="1"/>
        <v>5.8</v>
      </c>
      <c r="I17" s="104"/>
      <c r="J17" s="74"/>
    </row>
    <row r="18" spans="1:10" ht="18.75" customHeight="1" x14ac:dyDescent="0.3">
      <c r="A18" s="86" t="s">
        <v>253</v>
      </c>
      <c r="B18" s="103">
        <f>'Tabell 6'!AO37+'Tabell 6'!AO41</f>
        <v>374015.55009146989</v>
      </c>
      <c r="C18" s="103">
        <f>'Tabell 6'!AP37+'Tabell 6'!AP41</f>
        <v>361481.89156712999</v>
      </c>
      <c r="D18" s="285">
        <f t="shared" si="0"/>
        <v>-3.4</v>
      </c>
      <c r="E18" s="285"/>
      <c r="F18" s="285">
        <f>('Tabell 6'!AO37+'Tabell 6'!AO41)/('Tabell 6'!AO45+'Tabell 6'!AO46)*100</f>
        <v>36.588602493205308</v>
      </c>
      <c r="G18" s="285">
        <f>('Tabell 6'!AP37+'Tabell 6'!AP41)/('Tabell 6'!AP45+'Tabell 6'!AP46)*100</f>
        <v>34.141117749104026</v>
      </c>
      <c r="H18" s="286">
        <f t="shared" si="1"/>
        <v>-6.7</v>
      </c>
      <c r="I18" s="104"/>
      <c r="J18" s="74"/>
    </row>
    <row r="19" spans="1:10" ht="18.75" customHeight="1" x14ac:dyDescent="0.3">
      <c r="A19" s="86" t="s">
        <v>254</v>
      </c>
      <c r="B19" s="103">
        <f>'Tabell 6'!AO33</f>
        <v>42.597001970000001</v>
      </c>
      <c r="C19" s="103">
        <f>'Tabell 6'!AP33</f>
        <v>34.575001970000002</v>
      </c>
      <c r="D19" s="285">
        <f t="shared" si="0"/>
        <v>-18.8</v>
      </c>
      <c r="E19" s="285"/>
      <c r="F19" s="285">
        <f>'Tabell 6'!AO33/('Tabell 6'!AO45+'Tabell 6'!AO46)*100</f>
        <v>4.1671122286264517E-3</v>
      </c>
      <c r="G19" s="285">
        <f>'Tabell 6'!AP33/('Tabell 6'!AP45+'Tabell 6'!AP46)*100</f>
        <v>3.265527930917278E-3</v>
      </c>
      <c r="H19" s="286">
        <f t="shared" si="1"/>
        <v>-21.6</v>
      </c>
      <c r="I19" s="104"/>
      <c r="J19" s="74"/>
    </row>
    <row r="20" spans="1:10" ht="18.75" customHeight="1" x14ac:dyDescent="0.3">
      <c r="A20" s="109" t="s">
        <v>255</v>
      </c>
      <c r="B20" s="106">
        <f>'Tabell 6'!AO34</f>
        <v>120418.96009058002</v>
      </c>
      <c r="C20" s="106">
        <f>'Tabell 6'!AP34</f>
        <v>124940.77206121999</v>
      </c>
      <c r="D20" s="287">
        <f t="shared" si="0"/>
        <v>3.8</v>
      </c>
      <c r="E20" s="287"/>
      <c r="F20" s="285">
        <f>'Tabell 6'!AO34/('Tabell 6'!AO45+'Tabell 6'!AO46)*100</f>
        <v>11.780155831279894</v>
      </c>
      <c r="G20" s="285">
        <f>'Tabell 6'!AP34/('Tabell 6'!AP45+'Tabell 6'!AP46)*100</f>
        <v>11.800363199698264</v>
      </c>
      <c r="H20" s="286">
        <f t="shared" si="1"/>
        <v>0.2</v>
      </c>
      <c r="I20" s="104"/>
      <c r="J20" s="74"/>
    </row>
    <row r="21" spans="1:10" ht="18.75" customHeight="1" x14ac:dyDescent="0.3">
      <c r="A21" s="86" t="s">
        <v>256</v>
      </c>
      <c r="B21" s="103">
        <f>'Tabell 6'!AO38+'Tabell 6'!AO42</f>
        <v>356583.00356938987</v>
      </c>
      <c r="C21" s="103">
        <f>'Tabell 6'!AP38+'Tabell 6'!AP42</f>
        <v>387616.15118345985</v>
      </c>
      <c r="D21" s="285">
        <f t="shared" si="0"/>
        <v>8.6999999999999993</v>
      </c>
      <c r="E21" s="285"/>
      <c r="F21" s="285">
        <f>('Tabell 6'!AO38+'Tabell 6'!AO42)/('Tabell 6'!AO45+'Tabell 6'!AO46)*100</f>
        <v>34.883238865985248</v>
      </c>
      <c r="G21" s="285">
        <f>('Tabell 6'!AP38+'Tabell 6'!AP42)/('Tabell 6'!AP45+'Tabell 6'!AP46)*100</f>
        <v>36.60943734038036</v>
      </c>
      <c r="H21" s="286">
        <f t="shared" si="1"/>
        <v>4.9000000000000004</v>
      </c>
      <c r="I21" s="104"/>
      <c r="J21" s="74"/>
    </row>
    <row r="22" spans="1:10" ht="18.75" customHeight="1" x14ac:dyDescent="0.3">
      <c r="A22" s="209" t="s">
        <v>257</v>
      </c>
      <c r="B22" s="103">
        <f>'Tabell 6'!AO36-'Tabell 6'!AO37+'Tabell 6'!AO43+'Tabell 6'!AO44+'Tabell 6'!AO46</f>
        <v>11361.923782299988</v>
      </c>
      <c r="C22" s="103">
        <f>'Tabell 6'!AP36-'Tabell 6'!AP37+'Tabell 6'!AP43+'Tabell 6'!AP44+'Tabell 6'!AP46</f>
        <v>9676.9031970800042</v>
      </c>
      <c r="D22" s="285">
        <f t="shared" si="0"/>
        <v>-14.8</v>
      </c>
      <c r="E22" s="285"/>
      <c r="F22" s="286">
        <f>('Tabell 6'!AO36-'Tabell 6'!AO37+'Tabell 6'!AO43+'Tabell 6'!AO44+'Tabell 6'!AO46)/('Tabell 6'!AO45+'Tabell 6'!AO46)*100</f>
        <v>1.1114963341149895</v>
      </c>
      <c r="G22" s="286">
        <f>('Tabell 6'!AP36-'Tabell 6'!AP37+'Tabell 6'!AP43+'Tabell 6'!AP44+'Tabell 6'!AP46)/('Tabell 6'!AP45+'Tabell 6'!AP46)*100</f>
        <v>0.91396083512204229</v>
      </c>
      <c r="H22" s="286">
        <f t="shared" si="1"/>
        <v>-17.8</v>
      </c>
      <c r="I22" s="104"/>
      <c r="J22" s="74"/>
    </row>
    <row r="23" spans="1:10" ht="18.75" customHeight="1" x14ac:dyDescent="0.3">
      <c r="A23" s="86"/>
      <c r="B23" s="194"/>
      <c r="C23" s="194"/>
      <c r="D23" s="286"/>
      <c r="E23" s="285"/>
      <c r="F23" s="285"/>
      <c r="G23" s="286"/>
      <c r="H23" s="286"/>
      <c r="I23" s="200"/>
      <c r="J23" s="74"/>
    </row>
    <row r="24" spans="1:10" ht="18.75" customHeight="1" x14ac:dyDescent="0.3">
      <c r="A24" s="139" t="s">
        <v>259</v>
      </c>
      <c r="B24" s="110">
        <f>SUM(B25:B30)</f>
        <v>247068.22984671002</v>
      </c>
      <c r="C24" s="110">
        <f>SUM(C25:C30)</f>
        <v>298758.34241106</v>
      </c>
      <c r="D24" s="283">
        <f t="shared" si="0"/>
        <v>20.9</v>
      </c>
      <c r="E24" s="283"/>
      <c r="F24" s="284">
        <f>SUM(F25:F30)</f>
        <v>100.00000000000003</v>
      </c>
      <c r="G24" s="284">
        <f>SUM(G25:G30)</f>
        <v>100.00000000000001</v>
      </c>
      <c r="H24" s="286">
        <f t="shared" si="1"/>
        <v>0</v>
      </c>
      <c r="I24" s="200"/>
      <c r="J24" s="74"/>
    </row>
    <row r="25" spans="1:10" ht="18.75" customHeight="1" x14ac:dyDescent="0.3">
      <c r="A25" s="209" t="s">
        <v>252</v>
      </c>
      <c r="B25" s="103">
        <f>'Tabell 6'!AO55</f>
        <v>170242.62139265001</v>
      </c>
      <c r="C25" s="103">
        <f>'Tabell 6'!AP55</f>
        <v>203569.41262556001</v>
      </c>
      <c r="D25" s="285">
        <f t="shared" si="0"/>
        <v>19.600000000000001</v>
      </c>
      <c r="E25" s="285"/>
      <c r="F25" s="285">
        <f>'Tabell 6'!AO55/('Tabell 6'!AO60+'Tabell 6'!AO61)*100</f>
        <v>68.905104269486472</v>
      </c>
      <c r="G25" s="285">
        <f>'Tabell 6'!AP55/('Tabell 6'!AP60+'Tabell 6'!AP61)*100</f>
        <v>68.138486437801276</v>
      </c>
      <c r="H25" s="286">
        <f t="shared" si="1"/>
        <v>-1.1000000000000001</v>
      </c>
      <c r="I25" s="200"/>
      <c r="J25" s="74"/>
    </row>
    <row r="26" spans="1:10" ht="18.75" customHeight="1" x14ac:dyDescent="0.3">
      <c r="A26" s="209" t="s">
        <v>253</v>
      </c>
      <c r="B26" s="103">
        <f>'Tabell 6'!AO52+'Tabell 6'!AO56</f>
        <v>68764.433731920013</v>
      </c>
      <c r="C26" s="103">
        <f>'Tabell 6'!AP52+'Tabell 6'!AP56</f>
        <v>86567.555404010011</v>
      </c>
      <c r="D26" s="285">
        <f t="shared" si="0"/>
        <v>25.9</v>
      </c>
      <c r="E26" s="285"/>
      <c r="F26" s="285">
        <f>('Tabell 6'!AO52+'Tabell 6'!AO56)/('Tabell 6'!AO60+'Tabell 6'!AO61)*100</f>
        <v>27.832163517982032</v>
      </c>
      <c r="G26" s="285">
        <f>('Tabell 6'!AP52+'Tabell 6'!AP56)/('Tabell 6'!AP60+'Tabell 6'!AP61)*100</f>
        <v>28.97577845203806</v>
      </c>
      <c r="H26" s="286">
        <f t="shared" si="1"/>
        <v>4.0999999999999996</v>
      </c>
      <c r="I26" s="200"/>
      <c r="J26" s="74"/>
    </row>
    <row r="27" spans="1:10" ht="18.75" customHeight="1" x14ac:dyDescent="0.3">
      <c r="A27" s="209" t="s">
        <v>254</v>
      </c>
      <c r="B27" s="103">
        <f>'Tabell 6'!AO48</f>
        <v>0</v>
      </c>
      <c r="C27" s="103">
        <f>'Tabell 6'!AP48</f>
        <v>0</v>
      </c>
      <c r="D27" s="285" t="str">
        <f t="shared" si="0"/>
        <v xml:space="preserve">    ---- </v>
      </c>
      <c r="E27" s="285"/>
      <c r="F27" s="285">
        <f>'Tabell 6'!AO48/('Tabell 6'!AO60+'Tabell 6'!AO61)*100</f>
        <v>0</v>
      </c>
      <c r="G27" s="285">
        <f>'Tabell 6'!AP48/('Tabell 6'!AP60+'Tabell 6'!AP61)*100</f>
        <v>0</v>
      </c>
      <c r="H27" s="286" t="str">
        <f t="shared" si="1"/>
        <v xml:space="preserve">    ---- </v>
      </c>
      <c r="I27" s="200"/>
      <c r="J27" s="74"/>
    </row>
    <row r="28" spans="1:10" ht="18.75" customHeight="1" x14ac:dyDescent="0.3">
      <c r="A28" s="109" t="s">
        <v>255</v>
      </c>
      <c r="B28" s="106">
        <f>'Tabell 6'!AO49</f>
        <v>3338.4773758799997</v>
      </c>
      <c r="C28" s="106">
        <f>'Tabell 6'!AP49</f>
        <v>4135.4493108799998</v>
      </c>
      <c r="D28" s="287">
        <f t="shared" si="0"/>
        <v>23.9</v>
      </c>
      <c r="E28" s="287"/>
      <c r="F28" s="285">
        <f>'Tabell 6'!AO49/('Tabell 6'!AO60+'Tabell 6'!AO61)*100</f>
        <v>1.3512370157633424</v>
      </c>
      <c r="G28" s="285">
        <f>'Tabell 6'!AP49/('Tabell 6'!AP60+'Tabell 6'!AP61)*100</f>
        <v>1.3842121620791621</v>
      </c>
      <c r="H28" s="286">
        <f t="shared" si="1"/>
        <v>2.4</v>
      </c>
      <c r="I28" s="200"/>
      <c r="J28" s="74"/>
    </row>
    <row r="29" spans="1:10" ht="18.75" customHeight="1" x14ac:dyDescent="0.3">
      <c r="A29" s="209" t="s">
        <v>256</v>
      </c>
      <c r="B29" s="103">
        <f>'Tabell 6'!AO53+'Tabell 6'!AO57</f>
        <v>3529.9403468700002</v>
      </c>
      <c r="C29" s="103">
        <f>'Tabell 6'!AP53+'Tabell 6'!AP57</f>
        <v>2552.0225147900001</v>
      </c>
      <c r="D29" s="285">
        <f t="shared" si="0"/>
        <v>-27.7</v>
      </c>
      <c r="E29" s="285"/>
      <c r="F29" s="285">
        <f>('Tabell 6'!AO53+'Tabell 6'!AO57)/('Tabell 6'!AO60+'Tabell 6'!AO61)*100</f>
        <v>1.4287309821501948</v>
      </c>
      <c r="G29" s="285">
        <f>('Tabell 6'!AP53+'Tabell 6'!AP57)/('Tabell 6'!AP60+'Tabell 6'!AP61)*100</f>
        <v>0.8542096244725732</v>
      </c>
      <c r="H29" s="286">
        <f t="shared" si="1"/>
        <v>-40.200000000000003</v>
      </c>
      <c r="I29" s="200"/>
      <c r="J29" s="74"/>
    </row>
    <row r="30" spans="1:10" ht="18.75" customHeight="1" x14ac:dyDescent="0.3">
      <c r="A30" s="86" t="s">
        <v>257</v>
      </c>
      <c r="B30" s="103">
        <f>'Tabell 6'!AO51-'Tabell 6'!AO52+'Tabell 6'!AO58+'Tabell 6'!AO59+'Tabell 6'!AO61</f>
        <v>1192.7569993900004</v>
      </c>
      <c r="C30" s="103">
        <f>'Tabell 6'!AP51-'Tabell 6'!AP52+'Tabell 6'!AP58+'Tabell 6'!AP59+'Tabell 6'!AP61</f>
        <v>1933.9025558200003</v>
      </c>
      <c r="D30" s="286">
        <f t="shared" si="0"/>
        <v>62.1</v>
      </c>
      <c r="E30" s="286"/>
      <c r="F30" s="286">
        <f>('Tabell 6'!AO51-'Tabell 6'!AO52+'Tabell 6'!AO58+'Tabell 6'!AO59+'Tabell 6'!AO61)/('Tabell 6'!AO60+'Tabell 6'!AO61)*100</f>
        <v>0.48276421461797403</v>
      </c>
      <c r="G30" s="286">
        <f>('Tabell 6'!AP51-'Tabell 6'!AP52+'Tabell 6'!AP58+'Tabell 6'!AP59+'Tabell 6'!AP61)/('Tabell 6'!AP60+'Tabell 6'!AP61)*100</f>
        <v>0.64731332360893679</v>
      </c>
      <c r="H30" s="286">
        <f t="shared" si="1"/>
        <v>34.1</v>
      </c>
      <c r="I30" s="200"/>
      <c r="J30" s="74"/>
    </row>
    <row r="31" spans="1:10" ht="18.75" customHeight="1" x14ac:dyDescent="0.3">
      <c r="A31" s="209"/>
      <c r="B31" s="194"/>
      <c r="C31" s="194"/>
      <c r="D31" s="285"/>
      <c r="E31" s="285"/>
      <c r="F31" s="285"/>
      <c r="G31" s="286"/>
      <c r="H31" s="286"/>
      <c r="I31" s="200"/>
      <c r="J31" s="74"/>
    </row>
    <row r="32" spans="1:10" ht="18.75" customHeight="1" x14ac:dyDescent="0.3">
      <c r="A32" s="139" t="s">
        <v>2</v>
      </c>
      <c r="B32" s="110">
        <f>SUM(B33:B38)</f>
        <v>1396511.4383661197</v>
      </c>
      <c r="C32" s="110">
        <f>SUM(C33:C38)</f>
        <v>1496255.4403146801</v>
      </c>
      <c r="D32" s="283">
        <f t="shared" si="0"/>
        <v>7.1</v>
      </c>
      <c r="E32" s="283"/>
      <c r="F32" s="283">
        <f>SUM(F33:F38)</f>
        <v>100</v>
      </c>
      <c r="G32" s="283">
        <f>SUM(G33:G38)</f>
        <v>99.999999999999972</v>
      </c>
      <c r="H32" s="284">
        <f t="shared" si="1"/>
        <v>0</v>
      </c>
      <c r="I32" s="200"/>
      <c r="J32" s="74"/>
    </row>
    <row r="33" spans="1:10" ht="18.75" customHeight="1" x14ac:dyDescent="0.3">
      <c r="A33" s="209" t="s">
        <v>252</v>
      </c>
      <c r="B33" s="103">
        <f t="shared" ref="B33:C38" si="2">B9+B17+B25</f>
        <v>333084.80368389003</v>
      </c>
      <c r="C33" s="103">
        <f t="shared" si="2"/>
        <v>382053.71863476001</v>
      </c>
      <c r="D33" s="285">
        <f t="shared" si="0"/>
        <v>14.7</v>
      </c>
      <c r="E33" s="285"/>
      <c r="F33" s="285">
        <f>B33/B32*100</f>
        <v>23.851204833208538</v>
      </c>
      <c r="G33" s="285">
        <f>C33/C32*100</f>
        <v>25.533990276046019</v>
      </c>
      <c r="H33" s="286">
        <f t="shared" si="1"/>
        <v>7.1</v>
      </c>
      <c r="I33" s="200"/>
      <c r="J33" s="74"/>
    </row>
    <row r="34" spans="1:10" ht="18.75" customHeight="1" x14ac:dyDescent="0.3">
      <c r="A34" s="209" t="s">
        <v>253</v>
      </c>
      <c r="B34" s="103">
        <f t="shared" si="2"/>
        <v>513396.82175102993</v>
      </c>
      <c r="C34" s="103">
        <f t="shared" si="2"/>
        <v>523509.91230173002</v>
      </c>
      <c r="D34" s="285">
        <f t="shared" si="0"/>
        <v>2</v>
      </c>
      <c r="E34" s="285"/>
      <c r="F34" s="285">
        <f>B34/B32*100</f>
        <v>36.762808212418953</v>
      </c>
      <c r="G34" s="285">
        <f>C34/C32*100</f>
        <v>34.988003932779662</v>
      </c>
      <c r="H34" s="286">
        <f t="shared" si="1"/>
        <v>-4.8</v>
      </c>
      <c r="I34" s="200"/>
      <c r="J34" s="74"/>
    </row>
    <row r="35" spans="1:10" ht="18.75" customHeight="1" x14ac:dyDescent="0.3">
      <c r="A35" s="209" t="s">
        <v>254</v>
      </c>
      <c r="B35" s="103">
        <f t="shared" si="2"/>
        <v>1035.35864672</v>
      </c>
      <c r="C35" s="103">
        <f t="shared" si="2"/>
        <v>890.54376872</v>
      </c>
      <c r="D35" s="285">
        <f t="shared" si="0"/>
        <v>-14</v>
      </c>
      <c r="E35" s="285"/>
      <c r="F35" s="285">
        <f>B35/B32*100</f>
        <v>7.4138930643585801E-2</v>
      </c>
      <c r="G35" s="285">
        <f>C35/C32*100</f>
        <v>5.9518164126621871E-2</v>
      </c>
      <c r="H35" s="286">
        <f t="shared" si="1"/>
        <v>-19.7</v>
      </c>
      <c r="I35" s="200"/>
      <c r="J35" s="74"/>
    </row>
    <row r="36" spans="1:10" ht="18.75" customHeight="1" x14ac:dyDescent="0.3">
      <c r="A36" s="109" t="s">
        <v>255</v>
      </c>
      <c r="B36" s="106">
        <f t="shared" si="2"/>
        <v>145189.34752118003</v>
      </c>
      <c r="C36" s="106">
        <f t="shared" si="2"/>
        <v>150581.56422982001</v>
      </c>
      <c r="D36" s="287">
        <f t="shared" si="0"/>
        <v>3.7</v>
      </c>
      <c r="E36" s="287"/>
      <c r="F36" s="285">
        <f>B36/B32*100</f>
        <v>10.396574172786412</v>
      </c>
      <c r="G36" s="285">
        <f>C36/C32*100</f>
        <v>10.063894183612856</v>
      </c>
      <c r="H36" s="286">
        <f t="shared" si="1"/>
        <v>-3.2</v>
      </c>
      <c r="I36" s="200"/>
      <c r="J36" s="74"/>
    </row>
    <row r="37" spans="1:10" ht="18.75" customHeight="1" x14ac:dyDescent="0.3">
      <c r="A37" s="209" t="s">
        <v>256</v>
      </c>
      <c r="B37" s="103">
        <f t="shared" si="2"/>
        <v>379158.05171366985</v>
      </c>
      <c r="C37" s="103">
        <f t="shared" si="2"/>
        <v>413473.13920865988</v>
      </c>
      <c r="D37" s="285">
        <f t="shared" si="0"/>
        <v>9.1</v>
      </c>
      <c r="E37" s="285"/>
      <c r="F37" s="285">
        <f>B37/B32*100</f>
        <v>27.150372084118008</v>
      </c>
      <c r="G37" s="285">
        <f>C37/C32*100</f>
        <v>27.633860373580436</v>
      </c>
      <c r="H37" s="286">
        <f t="shared" si="1"/>
        <v>1.8</v>
      </c>
      <c r="I37" s="200"/>
      <c r="J37" s="74"/>
    </row>
    <row r="38" spans="1:10" ht="18.75" customHeight="1" x14ac:dyDescent="0.3">
      <c r="A38" s="288" t="s">
        <v>257</v>
      </c>
      <c r="B38" s="289">
        <f t="shared" si="2"/>
        <v>24647.055049629987</v>
      </c>
      <c r="C38" s="289">
        <f t="shared" si="2"/>
        <v>25746.562170990008</v>
      </c>
      <c r="D38" s="290">
        <f t="shared" si="0"/>
        <v>4.5</v>
      </c>
      <c r="E38" s="285"/>
      <c r="F38" s="290">
        <f>B38/B32*100</f>
        <v>1.7649017668245073</v>
      </c>
      <c r="G38" s="290">
        <f>C38/C32*100</f>
        <v>1.7207330698543828</v>
      </c>
      <c r="H38" s="291">
        <f t="shared" si="1"/>
        <v>-2.5</v>
      </c>
      <c r="I38" s="200"/>
      <c r="J38" s="74"/>
    </row>
    <row r="39" spans="1:10" ht="18.75" customHeight="1" x14ac:dyDescent="0.3">
      <c r="A39" s="114"/>
      <c r="B39" s="114"/>
      <c r="C39" s="114"/>
      <c r="D39" s="114"/>
      <c r="E39" s="114"/>
      <c r="F39" s="200"/>
      <c r="G39" s="200"/>
      <c r="H39" s="200"/>
      <c r="I39" s="200"/>
      <c r="J39" s="74"/>
    </row>
    <row r="40" spans="1:10" ht="18.75" customHeight="1" x14ac:dyDescent="0.3">
      <c r="A40" s="114" t="s">
        <v>260</v>
      </c>
      <c r="B40" s="114"/>
      <c r="C40" s="114"/>
      <c r="D40" s="114"/>
      <c r="E40" s="114"/>
      <c r="F40" s="200"/>
      <c r="G40" s="200"/>
      <c r="H40" s="200"/>
      <c r="I40" s="200"/>
      <c r="J40" s="74"/>
    </row>
    <row r="41" spans="1:10" ht="18.75" x14ac:dyDescent="0.3">
      <c r="A41" s="114" t="s">
        <v>110</v>
      </c>
      <c r="B41" s="114"/>
      <c r="C41" s="114"/>
      <c r="D41" s="114"/>
      <c r="E41" s="114"/>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M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2" sqref="A2"/>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85">
        <v>1</v>
      </c>
      <c r="B1" s="4"/>
      <c r="C1" s="4"/>
      <c r="D1" s="4"/>
      <c r="E1" s="4"/>
      <c r="F1" s="4"/>
      <c r="G1" s="4"/>
      <c r="H1" s="4"/>
      <c r="I1" s="4"/>
      <c r="J1" s="4"/>
    </row>
    <row r="2" spans="1:10" ht="15.75" customHeight="1" x14ac:dyDescent="0.25">
      <c r="A2" s="182" t="s">
        <v>29</v>
      </c>
      <c r="B2" s="750"/>
      <c r="C2" s="750"/>
      <c r="D2" s="750"/>
      <c r="E2" s="750"/>
      <c r="F2" s="750"/>
      <c r="G2" s="750"/>
      <c r="H2" s="750"/>
      <c r="I2" s="750"/>
      <c r="J2" s="750"/>
    </row>
    <row r="3" spans="1:10" ht="15.75" customHeight="1" x14ac:dyDescent="0.25">
      <c r="A3" s="180"/>
      <c r="B3" s="332"/>
      <c r="C3" s="332"/>
      <c r="D3" s="332"/>
      <c r="E3" s="332"/>
      <c r="F3" s="332"/>
      <c r="G3" s="332"/>
      <c r="H3" s="332"/>
      <c r="I3" s="332"/>
      <c r="J3" s="332"/>
    </row>
    <row r="4" spans="1:10" ht="15.75" customHeight="1" x14ac:dyDescent="0.2">
      <c r="A4" s="161"/>
      <c r="B4" s="747" t="s">
        <v>0</v>
      </c>
      <c r="C4" s="748"/>
      <c r="D4" s="748"/>
      <c r="E4" s="747" t="s">
        <v>1</v>
      </c>
      <c r="F4" s="748"/>
      <c r="G4" s="748"/>
      <c r="H4" s="747" t="s">
        <v>2</v>
      </c>
      <c r="I4" s="748"/>
      <c r="J4" s="749"/>
    </row>
    <row r="5" spans="1:10" ht="15.75" customHeight="1" x14ac:dyDescent="0.2">
      <c r="A5" s="175"/>
      <c r="B5" s="20" t="str">
        <f xml:space="preserve"> Dag &amp; "." &amp; Måned &amp; "." &amp; (år-1)</f>
        <v>31.3.2017</v>
      </c>
      <c r="C5" s="20" t="str">
        <f xml:space="preserve"> Dag &amp; "." &amp; Måned &amp; "." &amp; (år)</f>
        <v>31.3.2018</v>
      </c>
      <c r="D5" s="266" t="s">
        <v>3</v>
      </c>
      <c r="E5" s="20" t="str">
        <f xml:space="preserve"> Dag &amp; "." &amp; Måned &amp; "." &amp; (år-1)</f>
        <v>31.3.2017</v>
      </c>
      <c r="F5" s="20" t="str">
        <f xml:space="preserve"> Dag &amp; "." &amp; Måned &amp; "." &amp; (år)</f>
        <v>31.3.2018</v>
      </c>
      <c r="G5" s="266" t="s">
        <v>3</v>
      </c>
      <c r="H5" s="20" t="str">
        <f xml:space="preserve"> Dag &amp; "." &amp; Måned &amp; "." &amp; (år-1)</f>
        <v>31.3.2017</v>
      </c>
      <c r="I5" s="20" t="str">
        <f xml:space="preserve"> Dag &amp; "." &amp; Måned &amp; "." &amp; (år)</f>
        <v>31.3.2018</v>
      </c>
      <c r="J5" s="266" t="s">
        <v>3</v>
      </c>
    </row>
    <row r="6" spans="1:10" ht="15.75" customHeight="1" x14ac:dyDescent="0.2">
      <c r="A6" s="723"/>
      <c r="B6" s="15"/>
      <c r="C6" s="15"/>
      <c r="D6" s="17" t="s">
        <v>4</v>
      </c>
      <c r="E6" s="16"/>
      <c r="F6" s="16"/>
      <c r="G6" s="15" t="s">
        <v>4</v>
      </c>
      <c r="H6" s="16"/>
      <c r="I6" s="16"/>
      <c r="J6" s="15" t="s">
        <v>4</v>
      </c>
    </row>
    <row r="7" spans="1:10" s="43" customFormat="1" ht="15.75" customHeight="1" x14ac:dyDescent="0.2">
      <c r="A7" s="14" t="s">
        <v>24</v>
      </c>
      <c r="B7" s="252">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Pensjonsforsikring'!B7+'SHB Liv'!B7+'Sparebank 1'!B7+'Storebrand Livsforsikring'!B7+'Telenor Forsikring'!B7+'Tryg Forsikring'!B7</f>
        <v>1680634.3524500004</v>
      </c>
      <c r="C7" s="252">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Pensjonsforsikring'!C7+'SHB Liv'!C7+'Sparebank 1'!C7+'Storebrand Livsforsikring'!C7+'Telenor Forsikring'!C7+'Tryg Forsikring'!C7</f>
        <v>1649932.721506322</v>
      </c>
      <c r="D7" s="177">
        <f t="shared" ref="D7:D12" si="0">IF(B7=0, "    ---- ", IF(ABS(ROUND(100/B7*C7-100,1))&lt;999,ROUND(100/B7*C7-100,1),IF(ROUND(100/B7*C7-100,1)&gt;999,999,-999)))</f>
        <v>-1.8</v>
      </c>
      <c r="E7" s="252">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Pensjonsforsikring'!F7+'SHB Liv'!F7+'Sparebank 1'!F7+'Storebrand Livsforsikring'!F7+'Telenor Forsikring'!F7+'Tryg Forsikring'!F7</f>
        <v>2343344.4600900002</v>
      </c>
      <c r="F7" s="252">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Pensjonsforsikring'!G7+'SHB Liv'!G7+'Sparebank 1'!G7+'Storebrand Livsforsikring'!G7+'Telenor Forsikring'!G7+'Tryg Forsikring'!G7</f>
        <v>2036900.6120499999</v>
      </c>
      <c r="G7" s="177">
        <f t="shared" ref="G7:G12" si="1">IF(E7=0, "    ---- ", IF(ABS(ROUND(100/E7*F7-100,1))&lt;999,ROUND(100/E7*F7-100,1),IF(ROUND(100/E7*F7-100,1)&gt;999,999,-999)))</f>
        <v>-13.1</v>
      </c>
      <c r="H7" s="312">
        <f t="shared" ref="H7:H12" si="2">B7+E7</f>
        <v>4023978.8125400003</v>
      </c>
      <c r="I7" s="313">
        <f t="shared" ref="I7:I12" si="3">C7+F7</f>
        <v>3686833.3335563219</v>
      </c>
      <c r="J7" s="188">
        <f t="shared" ref="J7:J12" si="4">IF(H7=0, "    ---- ", IF(ABS(ROUND(100/H7*I7-100,1))&lt;999,ROUND(100/H7*I7-100,1),IF(ROUND(100/H7*I7-100,1)&gt;999,999,-999)))</f>
        <v>-8.4</v>
      </c>
    </row>
    <row r="8" spans="1:10" ht="15.75" customHeight="1" x14ac:dyDescent="0.2">
      <c r="A8" s="21" t="s">
        <v>26</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Liv'!B8+'Sparebank 1'!B8+'Storebrand Livsforsikring'!B8+'Telenor Forsikring'!B8+'Tryg Forsikring'!B8</f>
        <v>981757.61749780492</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Liv'!C8+'Sparebank 1'!C8+'Storebrand Livsforsikring'!C8+'Telenor Forsikring'!C8+'Tryg Forsikring'!C8</f>
        <v>1023335.2129570295</v>
      </c>
      <c r="D8" s="183">
        <f t="shared" si="0"/>
        <v>4.2</v>
      </c>
      <c r="E8" s="204">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Pensjonsforsikring'!F8+'SHB Liv'!F8+'Sparebank 1'!F8+'Storebrand Livsforsikring'!F8+'Telenor Forsikring'!F8+'Tryg Forsikring'!F8</f>
        <v>0</v>
      </c>
      <c r="F8" s="204">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Pensjonsforsikring'!G8+'SHB Liv'!G8+'Sparebank 1'!G8+'Storebrand Livsforsikring'!G8+'Telenor Forsikring'!G8+'Tryg Forsikring'!G8</f>
        <v>0</v>
      </c>
      <c r="G8" s="193"/>
      <c r="H8" s="206">
        <f t="shared" si="2"/>
        <v>981757.61749780492</v>
      </c>
      <c r="I8" s="207">
        <f t="shared" si="3"/>
        <v>1023335.2129570295</v>
      </c>
      <c r="J8" s="188">
        <f t="shared" si="4"/>
        <v>4.2</v>
      </c>
    </row>
    <row r="9" spans="1:10" ht="15.75" customHeight="1" x14ac:dyDescent="0.2">
      <c r="A9" s="21" t="s">
        <v>25</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Liv'!B9+'Sparebank 1'!B9+'Storebrand Livsforsikring'!B9+'Telenor Forsikring'!B9+'Tryg Forsikring'!B9</f>
        <v>516177.49792219239</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Liv'!C9+'Sparebank 1'!C9+'Storebrand Livsforsikring'!C9+'Telenor Forsikring'!C9+'Tryg Forsikring'!C9</f>
        <v>518580.86148271273</v>
      </c>
      <c r="D9" s="193">
        <f t="shared" si="0"/>
        <v>0.5</v>
      </c>
      <c r="E9" s="204">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Pensjonsforsikring'!F9+'SHB Liv'!F9+'Sparebank 1'!F9+'Storebrand Livsforsikring'!F9+'Telenor Forsikring'!F9+'Tryg Forsikring'!F9</f>
        <v>0</v>
      </c>
      <c r="F9" s="204">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Pensjonsforsikring'!G9+'SHB Liv'!G9+'Sparebank 1'!G9+'Storebrand Livsforsikring'!G9+'Telenor Forsikring'!G9+'Tryg Forsikring'!G9</f>
        <v>0</v>
      </c>
      <c r="G9" s="193"/>
      <c r="H9" s="206">
        <f t="shared" si="2"/>
        <v>516177.49792219239</v>
      </c>
      <c r="I9" s="207">
        <f t="shared" si="3"/>
        <v>518580.86148271273</v>
      </c>
      <c r="J9" s="188">
        <f t="shared" si="4"/>
        <v>0.5</v>
      </c>
    </row>
    <row r="10" spans="1:10" s="43" customFormat="1" ht="15.75" customHeight="1" x14ac:dyDescent="0.2">
      <c r="A10" s="13" t="s">
        <v>466</v>
      </c>
      <c r="B10" s="252">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Pensjonsforsikring'!B10+'SHB Liv'!B10+'Sparebank 1'!B10+'Storebrand Livsforsikring'!B10+'Telenor Forsikring'!B10+'Tryg Forsikring'!B10</f>
        <v>23708112.299210005</v>
      </c>
      <c r="C10" s="252">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Pensjonsforsikring'!C10+'SHB Liv'!C10+'Sparebank 1'!C10+'Storebrand Livsforsikring'!C10+'Telenor Forsikring'!C10+'Tryg Forsikring'!C10</f>
        <v>21934671.751078147</v>
      </c>
      <c r="D10" s="177">
        <f t="shared" si="0"/>
        <v>-7.5</v>
      </c>
      <c r="E10" s="252">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Pensjonsforsikring'!F10+'SHB Liv'!F10+'Sparebank 1'!F10+'Storebrand Livsforsikring'!F10+'Telenor Forsikring'!F10+'Tryg Forsikring'!F10</f>
        <v>35638419.389400005</v>
      </c>
      <c r="F10" s="252">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Pensjonsforsikring'!G10+'SHB Liv'!G10+'Sparebank 1'!G10+'Storebrand Livsforsikring'!G10+'Telenor Forsikring'!G10+'Tryg Forsikring'!G10</f>
        <v>41674442.834689103</v>
      </c>
      <c r="G10" s="177">
        <f t="shared" si="1"/>
        <v>16.899999999999999</v>
      </c>
      <c r="H10" s="312">
        <f t="shared" si="2"/>
        <v>59346531.68861001</v>
      </c>
      <c r="I10" s="313">
        <f t="shared" si="3"/>
        <v>63609114.585767254</v>
      </c>
      <c r="J10" s="188">
        <f t="shared" si="4"/>
        <v>7.2</v>
      </c>
    </row>
    <row r="11" spans="1:10" s="43" customFormat="1" ht="15.75" customHeight="1" x14ac:dyDescent="0.2">
      <c r="A11" s="13" t="s">
        <v>467</v>
      </c>
      <c r="B11" s="252">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Pensjonsforsikring'!B11+'SHB Liv'!B11+'Sparebank 1'!B11+'Storebrand Livsforsikring'!B11+'Telenor Forsikring'!B11+'Tryg Forsikring'!B11</f>
        <v>5601</v>
      </c>
      <c r="C11" s="252">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Pensjonsforsikring'!C11+'SHB Liv'!C11+'Sparebank 1'!C11+'Storebrand Livsforsikring'!C11+'Telenor Forsikring'!C11+'Tryg Forsikring'!C11</f>
        <v>2968</v>
      </c>
      <c r="D11" s="188">
        <f t="shared" si="0"/>
        <v>-47</v>
      </c>
      <c r="E11" s="252">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Pensjonsforsikring'!F11+'SHB Liv'!F11+'Sparebank 1'!F11+'Storebrand Livsforsikring'!F11+'Telenor Forsikring'!F11+'Tryg Forsikring'!F11</f>
        <v>116100.12971000001</v>
      </c>
      <c r="F11" s="252">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Pensjonsforsikring'!G11+'SHB Liv'!G11+'Sparebank 1'!G11+'Storebrand Livsforsikring'!G11+'Telenor Forsikring'!G11+'Tryg Forsikring'!G11</f>
        <v>52468.167150000001</v>
      </c>
      <c r="G11" s="188">
        <f t="shared" si="1"/>
        <v>-54.8</v>
      </c>
      <c r="H11" s="312">
        <f t="shared" si="2"/>
        <v>121701.12971000001</v>
      </c>
      <c r="I11" s="313">
        <f t="shared" si="3"/>
        <v>55436.167150000001</v>
      </c>
      <c r="J11" s="188">
        <f t="shared" si="4"/>
        <v>-54.4</v>
      </c>
    </row>
    <row r="12" spans="1:10" s="43" customFormat="1" ht="15.75" customHeight="1" x14ac:dyDescent="0.2">
      <c r="A12" s="41" t="s">
        <v>468</v>
      </c>
      <c r="B12" s="311">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Pensjonsforsikring'!B12+'SHB Liv'!B12+'Sparebank 1'!B12+'Storebrand Livsforsikring'!B12+'Telenor Forsikring'!B12+'Tryg Forsikring'!B12</f>
        <v>743</v>
      </c>
      <c r="C12" s="311">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Pensjonsforsikring'!C12+'SHB Liv'!C12+'Sparebank 1'!C12+'Storebrand Livsforsikring'!C12+'Telenor Forsikring'!C12+'Tryg Forsikring'!C12</f>
        <v>-21</v>
      </c>
      <c r="D12" s="187">
        <f t="shared" si="0"/>
        <v>-102.8</v>
      </c>
      <c r="E12" s="311">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Pensjonsforsikring'!F12+'SHB Liv'!F12+'Sparebank 1'!F12+'Storebrand Livsforsikring'!F12+'Telenor Forsikring'!F12+'Tryg Forsikring'!F12</f>
        <v>48844.213790000002</v>
      </c>
      <c r="F12" s="311">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Pensjonsforsikring'!G12+'SHB Liv'!G12+'Sparebank 1'!G12+'Storebrand Livsforsikring'!G12+'Telenor Forsikring'!G12+'Tryg Forsikring'!G12</f>
        <v>61220.261790000004</v>
      </c>
      <c r="G12" s="186">
        <f t="shared" si="1"/>
        <v>25.3</v>
      </c>
      <c r="H12" s="314">
        <f t="shared" si="2"/>
        <v>49587.213790000002</v>
      </c>
      <c r="I12" s="315">
        <f t="shared" si="3"/>
        <v>61199.261790000004</v>
      </c>
      <c r="J12" s="186">
        <f t="shared" si="4"/>
        <v>23.4</v>
      </c>
    </row>
    <row r="13" spans="1:10" s="43" customFormat="1" ht="15.75" customHeight="1" x14ac:dyDescent="0.2">
      <c r="A13" s="185"/>
      <c r="B13" s="35"/>
      <c r="C13" s="5"/>
      <c r="D13" s="32"/>
      <c r="E13" s="35"/>
      <c r="F13" s="5"/>
      <c r="G13" s="32"/>
      <c r="H13" s="48"/>
      <c r="I13" s="48"/>
      <c r="J13" s="32"/>
    </row>
    <row r="14" spans="1:10" ht="15.75" customHeight="1" x14ac:dyDescent="0.2">
      <c r="A14" s="170" t="s">
        <v>365</v>
      </c>
    </row>
    <row r="15" spans="1:10" ht="15.75" customHeight="1" x14ac:dyDescent="0.2">
      <c r="A15" s="166"/>
      <c r="E15" s="7"/>
      <c r="F15" s="7"/>
      <c r="G15" s="7"/>
      <c r="H15" s="7"/>
      <c r="I15" s="7"/>
      <c r="J15" s="7"/>
    </row>
    <row r="16" spans="1:10" s="3" customFormat="1" ht="15.75" customHeight="1" x14ac:dyDescent="0.25">
      <c r="A16" s="181"/>
      <c r="C16" s="30"/>
      <c r="D16" s="30"/>
      <c r="E16" s="30"/>
      <c r="F16" s="30"/>
      <c r="G16" s="30"/>
      <c r="H16" s="30"/>
      <c r="I16" s="30"/>
      <c r="J16" s="30"/>
    </row>
    <row r="17" spans="1:11" ht="15.75" customHeight="1" x14ac:dyDescent="0.25">
      <c r="A17" s="164" t="s">
        <v>362</v>
      </c>
      <c r="B17" s="28"/>
      <c r="C17" s="28"/>
      <c r="D17" s="29"/>
      <c r="E17" s="28"/>
      <c r="F17" s="28"/>
      <c r="G17" s="28"/>
      <c r="H17" s="28"/>
      <c r="I17" s="28"/>
      <c r="J17" s="28"/>
    </row>
    <row r="18" spans="1:11" ht="15.75" customHeight="1" x14ac:dyDescent="0.25">
      <c r="A18" s="166"/>
      <c r="B18" s="750"/>
      <c r="C18" s="750"/>
      <c r="D18" s="750"/>
      <c r="E18" s="750"/>
      <c r="F18" s="750"/>
      <c r="G18" s="750"/>
      <c r="H18" s="750"/>
      <c r="I18" s="750"/>
      <c r="J18" s="750"/>
    </row>
    <row r="19" spans="1:11" ht="15.75" customHeight="1" x14ac:dyDescent="0.2">
      <c r="A19" s="161"/>
      <c r="B19" s="747" t="s">
        <v>0</v>
      </c>
      <c r="C19" s="748"/>
      <c r="D19" s="748"/>
      <c r="E19" s="747" t="s">
        <v>1</v>
      </c>
      <c r="F19" s="748"/>
      <c r="G19" s="749"/>
      <c r="H19" s="748" t="s">
        <v>2</v>
      </c>
      <c r="I19" s="748"/>
      <c r="J19" s="749"/>
    </row>
    <row r="20" spans="1:11" ht="15.75" customHeight="1" x14ac:dyDescent="0.2">
      <c r="A20" s="157" t="s">
        <v>5</v>
      </c>
      <c r="B20" s="20" t="str">
        <f xml:space="preserve"> Dag &amp; "." &amp; Måned &amp; "." &amp; (år-1)</f>
        <v>31.3.2017</v>
      </c>
      <c r="C20" s="20" t="str">
        <f xml:space="preserve"> Dag &amp; "." &amp; Måned &amp; "." &amp; (år)</f>
        <v>31.3.2018</v>
      </c>
      <c r="D20" s="266" t="s">
        <v>3</v>
      </c>
      <c r="E20" s="20" t="str">
        <f xml:space="preserve"> Dag &amp; "." &amp; Måned &amp; "." &amp; (år-1)</f>
        <v>31.3.2017</v>
      </c>
      <c r="F20" s="20" t="str">
        <f xml:space="preserve"> Dag &amp; "." &amp; Måned &amp; "." &amp; (år)</f>
        <v>31.3.2018</v>
      </c>
      <c r="G20" s="266" t="s">
        <v>3</v>
      </c>
      <c r="H20" s="20" t="str">
        <f xml:space="preserve"> Dag &amp; "." &amp; Måned &amp; "." &amp; (år-1)</f>
        <v>31.3.2017</v>
      </c>
      <c r="I20" s="20" t="str">
        <f xml:space="preserve"> Dag &amp; "." &amp; Måned &amp; "." &amp; (år)</f>
        <v>31.3.2018</v>
      </c>
      <c r="J20" s="266" t="s">
        <v>3</v>
      </c>
    </row>
    <row r="21" spans="1:11" ht="15.75" customHeight="1" x14ac:dyDescent="0.2">
      <c r="A21" s="724"/>
      <c r="B21" s="15"/>
      <c r="C21" s="15"/>
      <c r="D21" s="17" t="s">
        <v>4</v>
      </c>
      <c r="E21" s="16"/>
      <c r="F21" s="16"/>
      <c r="G21" s="15" t="s">
        <v>4</v>
      </c>
      <c r="H21" s="16"/>
      <c r="I21" s="16"/>
      <c r="J21" s="15" t="s">
        <v>4</v>
      </c>
    </row>
    <row r="22" spans="1:11" s="43" customFormat="1" ht="15.75" customHeight="1" x14ac:dyDescent="0.2">
      <c r="A22" s="14" t="s">
        <v>24</v>
      </c>
      <c r="B22" s="252">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Pensjonsforsikring'!B22+'SHB Liv'!B22+'Sparebank 1'!B22+'Storebrand Livsforsikring'!B22+'Telenor Forsikring'!B22+'Tryg Forsikring'!B22</f>
        <v>613810.22395000001</v>
      </c>
      <c r="C22" s="252">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Pensjonsforsikring'!C22+'SHB Liv'!C22+'Sparebank 1'!C22+'Storebrand Livsforsikring'!C22+'Telenor Forsikring'!C22+'Tryg Forsikring'!C22</f>
        <v>505077.99162307387</v>
      </c>
      <c r="D22" s="11">
        <f t="shared" ref="D22:D38" si="5">IF(B22=0, "    ---- ", IF(ABS(ROUND(100/B22*C22-100,1))&lt;999,ROUND(100/B22*C22-100,1),IF(ROUND(100/B22*C22-100,1)&gt;999,999,-999)))</f>
        <v>-17.7</v>
      </c>
      <c r="E22" s="252">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Pensjonsforsikring'!F22+'SHB Liv'!F22+'Sparebank 1'!F22+'Storebrand Livsforsikring'!F22+'Telenor Forsikring'!F22+'Tryg Forsikring'!F22</f>
        <v>95650.709930000026</v>
      </c>
      <c r="F22" s="252">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Pensjonsforsikring'!G22+'SHB Liv'!G22+'Sparebank 1'!G22+'Storebrand Livsforsikring'!G22+'Telenor Forsikring'!G22+'Tryg Forsikring'!G22</f>
        <v>294957.45139</v>
      </c>
      <c r="G22" s="384">
        <f t="shared" ref="G22:G35" si="6">IF(E22=0, "    ---- ", IF(ABS(ROUND(100/E22*F22-100,1))&lt;999,ROUND(100/E22*F22-100,1),IF(ROUND(100/E22*F22-100,1)&gt;999,999,-999)))</f>
        <v>208.4</v>
      </c>
      <c r="H22" s="344">
        <f>SUM(B22,E22)</f>
        <v>709460.93388000003</v>
      </c>
      <c r="I22" s="252">
        <f t="shared" ref="I22:I39" si="7">SUM(C22,F22)</f>
        <v>800035.44301307388</v>
      </c>
      <c r="J22" s="24">
        <f t="shared" ref="J22:J38" si="8">IF(H22=0, "    ---- ", IF(ABS(ROUND(100/H22*I22-100,1))&lt;999,ROUND(100/H22*I22-100,1),IF(ROUND(100/H22*I22-100,1)&gt;999,999,-999)))</f>
        <v>12.8</v>
      </c>
    </row>
    <row r="23" spans="1:11" ht="15.75" customHeight="1" x14ac:dyDescent="0.2">
      <c r="A23" s="49" t="s">
        <v>469</v>
      </c>
      <c r="B23" s="44">
        <f>'ACE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Pensjonsforsikring'!B23+'SHB Liv'!B23+'Sparebank 1'!B23+'Storebrand Livsforsikring'!B23+'Telenor Forsikring'!B23+'Tryg Forsikring'!B23</f>
        <v>0</v>
      </c>
      <c r="C23" s="44">
        <f>'ACE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Pensjonsforsikring'!C23+'SHB Liv'!C23+'Sparebank 1'!C23+'Storebrand Livsforsikring'!C23+'Telenor Forsikring'!C23+'Tryg Forsikring'!C23</f>
        <v>238070.33856307401</v>
      </c>
      <c r="D23" s="23" t="str">
        <f t="shared" ref="D23:D25" si="9">IF(B23=0, "    ---- ", IF(ABS(ROUND(100/B23*C23-100,1))&lt;999,ROUND(100/B23*C23-100,1),IF(ROUND(100/B23*C23-100,1)&gt;999,999,-999)))</f>
        <v xml:space="preserve">    ---- </v>
      </c>
      <c r="E23" s="44">
        <f>'ACE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Pensjonsforsikring'!F23+'SHB Liv'!F23+'Sparebank 1'!F23+'Storebrand Livsforsikring'!F23+'Telenor Forsikring'!F23+'Tryg Forsikring'!F23</f>
        <v>0</v>
      </c>
      <c r="F23" s="44">
        <f>'ACE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Pensjonsforsikring'!G23+'SHB Liv'!G23+'Sparebank 1'!G23+'Storebrand Livsforsikring'!G23+'Telenor Forsikring'!G23+'Tryg Forsikring'!G23</f>
        <v>51428.82299330541</v>
      </c>
      <c r="G23" s="183" t="str">
        <f t="shared" ref="G23:G26" si="10">IF(E23=0, "    ---- ", IF(ABS(ROUND(100/E23*F23-100,1))&lt;999,ROUND(100/E23*F23-100,1),IF(ROUND(100/E23*F23-100,1)&gt;999,999,-999)))</f>
        <v xml:space="preserve">    ---- </v>
      </c>
      <c r="H23" s="250">
        <f t="shared" ref="H23:H27" si="11">SUM(B23,E23)</f>
        <v>0</v>
      </c>
      <c r="I23" s="44">
        <f t="shared" ref="I23:I27" si="12">SUM(C23,F23)</f>
        <v>289499.1615563794</v>
      </c>
      <c r="J23" s="23" t="str">
        <f t="shared" ref="J23:J26" si="13">IF(H23=0, "    ---- ", IF(ABS(ROUND(100/H23*I23-100,1))&lt;999,ROUND(100/H23*I23-100,1),IF(ROUND(100/H23*I23-100,1)&gt;999,999,-999)))</f>
        <v xml:space="preserve">    ---- </v>
      </c>
    </row>
    <row r="24" spans="1:11" ht="15.75" customHeight="1" x14ac:dyDescent="0.2">
      <c r="A24" s="49" t="s">
        <v>470</v>
      </c>
      <c r="B24" s="44">
        <f>'ACE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Pensjonsforsikring'!B24+'SHB Liv'!B24+'Sparebank 1'!B24+'Storebrand Livsforsikring'!B24+'Telenor Forsikring'!B24+'Tryg Forsikring'!B24</f>
        <v>0</v>
      </c>
      <c r="C24" s="44">
        <f>'ACE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Pensjonsforsikring'!C24+'SHB Liv'!C24+'Sparebank 1'!C24+'Storebrand Livsforsikring'!C24+'Telenor Forsikring'!C24+'Tryg Forsikring'!C24</f>
        <v>2778.4179999999997</v>
      </c>
      <c r="D24" s="23" t="str">
        <f t="shared" si="9"/>
        <v xml:space="preserve">    ---- </v>
      </c>
      <c r="E24" s="44">
        <f>'ACE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Pensjonsforsikring'!F24+'SHB Liv'!F24+'Sparebank 1'!F24+'Storebrand Livsforsikring'!F24+'Telenor Forsikring'!F24+'Tryg Forsikring'!F24</f>
        <v>0</v>
      </c>
      <c r="F24" s="44">
        <f>'ACE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Pensjonsforsikring'!G24+'SHB Liv'!G24+'Sparebank 1'!G24+'Storebrand Livsforsikring'!G24+'Telenor Forsikring'!G24+'Tryg Forsikring'!G24</f>
        <v>10203.538634155319</v>
      </c>
      <c r="G24" s="183" t="str">
        <f t="shared" si="10"/>
        <v xml:space="preserve">    ---- </v>
      </c>
      <c r="H24" s="250">
        <f t="shared" si="11"/>
        <v>0</v>
      </c>
      <c r="I24" s="44">
        <f t="shared" si="12"/>
        <v>12981.956634155318</v>
      </c>
      <c r="J24" s="23" t="str">
        <f t="shared" si="13"/>
        <v xml:space="preserve">    ---- </v>
      </c>
    </row>
    <row r="25" spans="1:11" ht="15.75" customHeight="1" x14ac:dyDescent="0.2">
      <c r="A25" s="49" t="s">
        <v>471</v>
      </c>
      <c r="B25" s="44">
        <f>'ACE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Pensjonsforsikring'!B25+'SHB Liv'!B25+'Sparebank 1'!B25+'Storebrand Livsforsikring'!B25+'Telenor Forsikring'!B25+'Tryg Forsikring'!B25</f>
        <v>0</v>
      </c>
      <c r="C25" s="44">
        <f>'ACE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Pensjonsforsikring'!C25+'SHB Liv'!C25+'Sparebank 1'!C25+'Storebrand Livsforsikring'!C25+'Telenor Forsikring'!C25+'Tryg Forsikring'!C25</f>
        <v>5143.25</v>
      </c>
      <c r="D25" s="23" t="str">
        <f t="shared" si="9"/>
        <v xml:space="preserve">    ---- </v>
      </c>
      <c r="E25" s="44">
        <f>'ACE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Pensjonsforsikring'!F25+'SHB Liv'!F25+'Sparebank 1'!F25+'Storebrand Livsforsikring'!F25+'Telenor Forsikring'!F25+'Tryg Forsikring'!F25</f>
        <v>0</v>
      </c>
      <c r="F25" s="44">
        <f>'ACE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Pensjonsforsikring'!G25+'SHB Liv'!G25+'Sparebank 1'!G25+'Storebrand Livsforsikring'!G25+'Telenor Forsikring'!G25+'Tryg Forsikring'!G25</f>
        <v>27281.83150253928</v>
      </c>
      <c r="G25" s="183" t="str">
        <f t="shared" si="10"/>
        <v xml:space="preserve">    ---- </v>
      </c>
      <c r="H25" s="250">
        <f t="shared" si="11"/>
        <v>0</v>
      </c>
      <c r="I25" s="44">
        <f t="shared" si="12"/>
        <v>32425.08150253928</v>
      </c>
      <c r="J25" s="23" t="str">
        <f t="shared" si="13"/>
        <v xml:space="preserve">    ---- </v>
      </c>
    </row>
    <row r="26" spans="1:11" ht="15.75" customHeight="1" x14ac:dyDescent="0.2">
      <c r="A26" s="49" t="s">
        <v>472</v>
      </c>
      <c r="B26" s="44">
        <f>'ACE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Pensjonsforsikring'!B26+'SHB Liv'!B26+'Sparebank 1'!B26+'Storebrand Livsforsikring'!B26+'Telenor Forsikring'!B26+'Tryg Forsikring'!B26</f>
        <v>0</v>
      </c>
      <c r="C26" s="44">
        <f>'ACE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Pensjonsforsikring'!C26+'SHB Liv'!C26+'Sparebank 1'!C26+'Storebrand Livsforsikring'!C26+'Telenor Forsikring'!C26+'Tryg Forsikring'!C26</f>
        <v>0</v>
      </c>
      <c r="D26" s="23"/>
      <c r="E26" s="44">
        <f>'ACE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Pensjonsforsikring'!F26+'SHB Liv'!F26+'Sparebank 1'!F26+'Storebrand Livsforsikring'!F26+'Telenor Forsikring'!F26+'Tryg Forsikring'!F26</f>
        <v>0</v>
      </c>
      <c r="F26" s="44">
        <f>'ACE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Pensjonsforsikring'!G26+'SHB Liv'!G26+'Sparebank 1'!G26+'Storebrand Livsforsikring'!G26+'Telenor Forsikring'!G26+'Tryg Forsikring'!G26</f>
        <v>206043.25825999997</v>
      </c>
      <c r="G26" s="183" t="str">
        <f t="shared" si="10"/>
        <v xml:space="preserve">    ---- </v>
      </c>
      <c r="H26" s="250">
        <f t="shared" si="11"/>
        <v>0</v>
      </c>
      <c r="I26" s="44">
        <f t="shared" si="12"/>
        <v>206043.25825999997</v>
      </c>
      <c r="J26" s="23" t="str">
        <f t="shared" si="13"/>
        <v xml:space="preserve">    ---- </v>
      </c>
    </row>
    <row r="27" spans="1:11" ht="15.75" customHeight="1" x14ac:dyDescent="0.2">
      <c r="A27" s="49" t="s">
        <v>11</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Pensjonsforsikring'!B27+'SHB Liv'!B27+'Sparebank 1'!B27+'Storebrand Livsforsikring'!B27+'Telenor Forsikring'!B27+'Tryg Forsikring'!B27</f>
        <v>0</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Pensjonsforsikring'!C27+'SHB Liv'!C27+'Sparebank 1'!C27+'Storebrand Livsforsikring'!C27+'Telenor Forsikring'!C27+'Tryg Forsikring'!C27</f>
        <v>0</v>
      </c>
      <c r="D27" s="23"/>
      <c r="E27" s="44">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Pensjonsforsikring'!F27+'SHB Liv'!F27+'Sparebank 1'!F27+'Storebrand Livsforsikring'!F27+'Telenor Forsikring'!F27+'Tryg Forsikring'!F27</f>
        <v>0</v>
      </c>
      <c r="F27" s="44">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Pensjonsforsikring'!G27+'SHB Liv'!G27+'Sparebank 1'!G27+'Storebrand Livsforsikring'!G27+'Telenor Forsikring'!G27+'Tryg Forsikring'!G27</f>
        <v>0</v>
      </c>
      <c r="G27" s="183"/>
      <c r="H27" s="250">
        <f t="shared" si="11"/>
        <v>0</v>
      </c>
      <c r="I27" s="44">
        <f t="shared" si="12"/>
        <v>0</v>
      </c>
      <c r="J27" s="23"/>
    </row>
    <row r="28" spans="1:11" ht="15.75" customHeight="1" x14ac:dyDescent="0.2">
      <c r="A28" s="49" t="s">
        <v>366</v>
      </c>
      <c r="B28" s="44">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Pensjonsforsikring'!B28+'SHB Liv'!B28+'Sparebank 1'!B28+'Storebrand Livsforsikring'!B28+'Telenor Forsikring'!B28+'Tryg Forsikring'!B28</f>
        <v>669405.88339314214</v>
      </c>
      <c r="C28" s="44">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Pensjonsforsikring'!C28+'SHB Liv'!C28+'Sparebank 1'!C28+'Storebrand Livsforsikring'!C28+'Telenor Forsikring'!C28+'Tryg Forsikring'!C28</f>
        <v>707753.11587669922</v>
      </c>
      <c r="D28" s="23">
        <f t="shared" si="5"/>
        <v>5.7</v>
      </c>
      <c r="E28" s="44">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Pensjonsforsikring'!F28+'SHB Liv'!F28+'Sparebank 1'!F28+'Storebrand Livsforsikring'!F28+'Telenor Forsikring'!F28+'Tryg Forsikring'!F28</f>
        <v>0</v>
      </c>
      <c r="F28" s="44">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Pensjonsforsikring'!G28+'SHB Liv'!G28+'Sparebank 1'!G28+'Storebrand Livsforsikring'!G28+'Telenor Forsikring'!G28+'Tryg Forsikring'!G28</f>
        <v>0</v>
      </c>
      <c r="G28" s="183"/>
      <c r="H28" s="250">
        <f t="shared" ref="H28:H39" si="14">SUM(B28,E28)</f>
        <v>669405.88339314214</v>
      </c>
      <c r="I28" s="44">
        <f t="shared" si="7"/>
        <v>707753.11587669922</v>
      </c>
      <c r="J28" s="23">
        <f t="shared" si="8"/>
        <v>5.7</v>
      </c>
      <c r="K28" s="3"/>
    </row>
    <row r="29" spans="1:11" s="456" customFormat="1" ht="15.75" customHeight="1" x14ac:dyDescent="0.2">
      <c r="A29" s="13" t="s">
        <v>23</v>
      </c>
      <c r="B29" s="252">
        <f>'ACE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Pensjonsforsikring'!B29+'SHB Liv'!B29+'Sparebank 1'!B29+'Storebrand Livsforsikring'!B29+'Telenor Forsikring'!B29+'Tryg Forsikring'!B29</f>
        <v>50946131.435032845</v>
      </c>
      <c r="C29" s="252">
        <f>'ACE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Pensjonsforsikring'!C29+'SHB Liv'!C29+'Sparebank 1'!C29+'Storebrand Livsforsikring'!C29+'Telenor Forsikring'!C29+'Tryg Forsikring'!C29</f>
        <v>49461775.630989999</v>
      </c>
      <c r="D29" s="24">
        <f t="shared" si="5"/>
        <v>-2.9</v>
      </c>
      <c r="E29" s="252">
        <f>'ACE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Pensjonsforsikring'!F29+'SHB Liv'!F29+'Sparebank 1'!F29+'Storebrand Livsforsikring'!F29+'Telenor Forsikring'!F29+'Tryg Forsikring'!F29</f>
        <v>19462982.478919998</v>
      </c>
      <c r="F29" s="252">
        <f>'ACE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Pensjonsforsikring'!G29+'SHB Liv'!G29+'Sparebank 1'!G29+'Storebrand Livsforsikring'!G29+'Telenor Forsikring'!G29+'Tryg Forsikring'!G29</f>
        <v>19998255.59527</v>
      </c>
      <c r="G29" s="188">
        <f t="shared" si="6"/>
        <v>2.8</v>
      </c>
      <c r="H29" s="344">
        <f t="shared" si="14"/>
        <v>70409113.913952842</v>
      </c>
      <c r="I29" s="252">
        <f t="shared" si="7"/>
        <v>69460031.226260006</v>
      </c>
      <c r="J29" s="24">
        <f t="shared" si="8"/>
        <v>-1.3</v>
      </c>
    </row>
    <row r="30" spans="1:11" s="3" customFormat="1" ht="15.75" customHeight="1" x14ac:dyDescent="0.2">
      <c r="A30" s="49" t="s">
        <v>469</v>
      </c>
      <c r="B30" s="44">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Liv'!B30+'Sparebank 1'!B30+'Storebrand Livsforsikring'!B30+'Telenor Forsikring'!B30+'Tryg Forsikring'!B30</f>
        <v>0</v>
      </c>
      <c r="C30" s="44">
        <f>'ACE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Liv'!C30+'Sparebank 1'!C30+'Storebrand Livsforsikring'!C30+'Telenor Forsikring'!C30+'Tryg Forsikring'!C30</f>
        <v>11279943.470621586</v>
      </c>
      <c r="D30" s="23" t="str">
        <f t="shared" ref="D30" si="15">IF(B30=0, "    ---- ", IF(ABS(ROUND(100/B30*C30-100,1))&lt;999,ROUND(100/B30*C30-100,1),IF(ROUND(100/B30*C30-100,1)&gt;999,999,-999)))</f>
        <v xml:space="preserve">    ---- </v>
      </c>
      <c r="E30" s="44">
        <f>'ACE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Pensjonsforsikring'!F30+'SHB Liv'!F30+'Sparebank 1'!F30+'Storebrand Livsforsikring'!F30+'Telenor Forsikring'!F30+'Tryg Forsikring'!F30</f>
        <v>0</v>
      </c>
      <c r="F30" s="44">
        <f>'ACE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Pensjonsforsikring'!G30+'SHB Liv'!G30+'Sparebank 1'!G30+'Storebrand Livsforsikring'!G30+'Telenor Forsikring'!G30+'Tryg Forsikring'!G30</f>
        <v>4287356.2402860997</v>
      </c>
      <c r="G30" s="183" t="str">
        <f t="shared" ref="G30" si="16">IF(E30=0, "    ---- ", IF(ABS(ROUND(100/E30*F30-100,1))&lt;999,ROUND(100/E30*F30-100,1),IF(ROUND(100/E30*F30-100,1)&gt;999,999,-999)))</f>
        <v xml:space="preserve">    ---- </v>
      </c>
      <c r="H30" s="250">
        <f t="shared" ref="H30" si="17">SUM(B30,E30)</f>
        <v>0</v>
      </c>
      <c r="I30" s="44">
        <f t="shared" ref="I30" si="18">SUM(C30,F30)</f>
        <v>15567299.710907687</v>
      </c>
      <c r="J30" s="23" t="str">
        <f t="shared" ref="J30" si="19">IF(H30=0, "    ---- ", IF(ABS(ROUND(100/H30*I30-100,1))&lt;999,ROUND(100/H30*I30-100,1),IF(ROUND(100/H30*I30-100,1)&gt;999,999,-999)))</f>
        <v xml:space="preserve">    ---- </v>
      </c>
    </row>
    <row r="31" spans="1:11" s="3" customFormat="1" ht="15.75" customHeight="1" x14ac:dyDescent="0.2">
      <c r="A31" s="49" t="s">
        <v>470</v>
      </c>
      <c r="B31" s="44">
        <f>'ACE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Pensjonsforsikring'!B31+'SHB Liv'!B31+'Sparebank 1'!B31+'Storebrand Livsforsikring'!B31+'Telenor Forsikring'!B31+'Tryg Forsikring'!B31</f>
        <v>0</v>
      </c>
      <c r="C31" s="44">
        <f>'ACE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Pensjonsforsikring'!C31+'SHB Liv'!C31+'Sparebank 1'!C31+'Storebrand Livsforsikring'!C31+'Telenor Forsikring'!C31+'Tryg Forsikring'!C31</f>
        <v>34888098.303518489</v>
      </c>
      <c r="D31" s="23" t="str">
        <f t="shared" ref="D31:D32" si="20">IF(B31=0, "    ---- ", IF(ABS(ROUND(100/B31*C31-100,1))&lt;999,ROUND(100/B31*C31-100,1),IF(ROUND(100/B31*C31-100,1)&gt;999,999,-999)))</f>
        <v xml:space="preserve">    ---- </v>
      </c>
      <c r="E31" s="44">
        <f>'ACE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Pensjonsforsikring'!F31+'SHB Liv'!F31+'Sparebank 1'!F31+'Storebrand Livsforsikring'!F31+'Telenor Forsikring'!F31+'Tryg Forsikring'!F31</f>
        <v>0</v>
      </c>
      <c r="F31" s="44">
        <f>'ACE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Pensjonsforsikring'!G31+'SHB Liv'!G31+'Sparebank 1'!G31+'Storebrand Livsforsikring'!G31+'Telenor Forsikring'!G31+'Tryg Forsikring'!G31</f>
        <v>9320130.7634204198</v>
      </c>
      <c r="G31" s="183" t="str">
        <f t="shared" ref="G31:G33" si="21">IF(E31=0, "    ---- ", IF(ABS(ROUND(100/E31*F31-100,1))&lt;999,ROUND(100/E31*F31-100,1),IF(ROUND(100/E31*F31-100,1)&gt;999,999,-999)))</f>
        <v xml:space="preserve">    ---- </v>
      </c>
      <c r="H31" s="250">
        <f t="shared" ref="H31:H33" si="22">SUM(B31,E31)</f>
        <v>0</v>
      </c>
      <c r="I31" s="44">
        <f t="shared" ref="I31:I33" si="23">SUM(C31,F31)</f>
        <v>44208229.066938907</v>
      </c>
      <c r="J31" s="23" t="str">
        <f t="shared" ref="J31:J33" si="24">IF(H31=0, "    ---- ", IF(ABS(ROUND(100/H31*I31-100,1))&lt;999,ROUND(100/H31*I31-100,1),IF(ROUND(100/H31*I31-100,1)&gt;999,999,-999)))</f>
        <v xml:space="preserve">    ---- </v>
      </c>
    </row>
    <row r="32" spans="1:11" ht="15.75" customHeight="1" x14ac:dyDescent="0.2">
      <c r="A32" s="49" t="s">
        <v>471</v>
      </c>
      <c r="B32" s="44">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Pensjonsforsikring'!B32+'SHB Liv'!B32+'Sparebank 1'!B32+'Storebrand Livsforsikring'!B32+'Telenor Forsikring'!B32+'Tryg Forsikring'!B32</f>
        <v>0</v>
      </c>
      <c r="C32" s="44">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Pensjonsforsikring'!C32+'SHB Liv'!C32+'Sparebank 1'!C32+'Storebrand Livsforsikring'!C32+'Telenor Forsikring'!C32+'Tryg Forsikring'!C32</f>
        <v>1313910.7948499098</v>
      </c>
      <c r="D32" s="23" t="str">
        <f t="shared" si="20"/>
        <v xml:space="preserve">    ---- </v>
      </c>
      <c r="E32" s="44">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Pensjonsforsikring'!F32+'SHB Liv'!F32+'Sparebank 1'!F32+'Storebrand Livsforsikring'!F32+'Telenor Forsikring'!F32+'Tryg Forsikring'!F32</f>
        <v>0</v>
      </c>
      <c r="F32" s="44">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Pensjonsforsikring'!G32+'SHB Liv'!G32+'Sparebank 1'!G32+'Storebrand Livsforsikring'!G32+'Telenor Forsikring'!G32+'Tryg Forsikring'!G32</f>
        <v>3884102.1246834816</v>
      </c>
      <c r="G32" s="183" t="str">
        <f t="shared" si="21"/>
        <v xml:space="preserve">    ---- </v>
      </c>
      <c r="H32" s="250">
        <f t="shared" si="22"/>
        <v>0</v>
      </c>
      <c r="I32" s="44">
        <f t="shared" si="23"/>
        <v>5198012.9195333915</v>
      </c>
      <c r="J32" s="23" t="str">
        <f t="shared" si="24"/>
        <v xml:space="preserve">    ---- </v>
      </c>
    </row>
    <row r="33" spans="1:10" ht="15.75" customHeight="1" x14ac:dyDescent="0.2">
      <c r="A33" s="49" t="s">
        <v>472</v>
      </c>
      <c r="B33" s="44">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Pensjonsforsikring'!B33+'SHB Liv'!B33+'Sparebank 1'!B33+'Storebrand Livsforsikring'!B33+'Telenor Forsikring'!B33+'Tryg Forsikring'!B33</f>
        <v>0</v>
      </c>
      <c r="C33" s="44">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Pensjonsforsikring'!C33+'SHB Liv'!C33+'Sparebank 1'!C33+'Storebrand Livsforsikring'!C33+'Telenor Forsikring'!C33+'Tryg Forsikring'!C33</f>
        <v>0</v>
      </c>
      <c r="D33" s="23"/>
      <c r="E33" s="44">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Pensjonsforsikring'!F33+'SHB Liv'!F33+'Sparebank 1'!F33+'Storebrand Livsforsikring'!F33+'Telenor Forsikring'!F33+'Tryg Forsikring'!F33</f>
        <v>0</v>
      </c>
      <c r="F33" s="44">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Pensjonsforsikring'!G33+'SHB Liv'!G33+'Sparebank 1'!G33+'Storebrand Livsforsikring'!G33+'Telenor Forsikring'!G33+'Tryg Forsikring'!G33</f>
        <v>932465.46687999996</v>
      </c>
      <c r="G33" s="183" t="str">
        <f t="shared" si="21"/>
        <v xml:space="preserve">    ---- </v>
      </c>
      <c r="H33" s="250">
        <f t="shared" si="22"/>
        <v>0</v>
      </c>
      <c r="I33" s="44">
        <f t="shared" si="23"/>
        <v>932465.46687999996</v>
      </c>
      <c r="J33" s="23" t="str">
        <f t="shared" si="24"/>
        <v xml:space="preserve">    ---- </v>
      </c>
    </row>
    <row r="34" spans="1:10" s="43" customFormat="1" ht="15.75" customHeight="1" x14ac:dyDescent="0.2">
      <c r="A34" s="13" t="s">
        <v>467</v>
      </c>
      <c r="B34" s="252">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Pensjonsforsikring'!B34+'SHB Liv'!B34+'Sparebank 1'!B34+'Storebrand Livsforsikring'!B34+'Telenor Forsikring'!B34+'Tryg Forsikring'!B34</f>
        <v>9743.6026899999997</v>
      </c>
      <c r="C34" s="252">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Pensjonsforsikring'!C34+'SHB Liv'!C34+'Sparebank 1'!C34+'Storebrand Livsforsikring'!C34+'Telenor Forsikring'!C34+'Tryg Forsikring'!C34</f>
        <v>7602.5492800000002</v>
      </c>
      <c r="D34" s="24">
        <f t="shared" si="5"/>
        <v>-22</v>
      </c>
      <c r="E34" s="252">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Pensjonsforsikring'!F34+'SHB Liv'!F34+'Sparebank 1'!F34+'Storebrand Livsforsikring'!F34+'Telenor Forsikring'!F34+'Tryg Forsikring'!F34</f>
        <v>3574.6037700000011</v>
      </c>
      <c r="F34" s="252">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Pensjonsforsikring'!G34+'SHB Liv'!G34+'Sparebank 1'!G34+'Storebrand Livsforsikring'!G34+'Telenor Forsikring'!G34+'Tryg Forsikring'!G34</f>
        <v>5579.303100000001</v>
      </c>
      <c r="G34" s="188">
        <f t="shared" si="6"/>
        <v>56.1</v>
      </c>
      <c r="H34" s="344">
        <f t="shared" si="14"/>
        <v>13318.206460000001</v>
      </c>
      <c r="I34" s="252">
        <f t="shared" si="7"/>
        <v>13181.85238</v>
      </c>
      <c r="J34" s="24">
        <f t="shared" si="8"/>
        <v>-1</v>
      </c>
    </row>
    <row r="35" spans="1:10" s="43" customFormat="1" ht="15.75" customHeight="1" x14ac:dyDescent="0.2">
      <c r="A35" s="13" t="s">
        <v>468</v>
      </c>
      <c r="B35" s="252">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Pensjonsforsikring'!B35+'SHB Liv'!B35+'Sparebank 1'!B35+'Storebrand Livsforsikring'!B35+'Telenor Forsikring'!B35+'Tryg Forsikring'!B35</f>
        <v>-21611.152000000002</v>
      </c>
      <c r="C35" s="252">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Pensjonsforsikring'!C35+'SHB Liv'!C35+'Sparebank 1'!C35+'Storebrand Livsforsikring'!C35+'Telenor Forsikring'!C35+'Tryg Forsikring'!C35</f>
        <v>-9944.9119100000007</v>
      </c>
      <c r="D35" s="24">
        <f t="shared" si="5"/>
        <v>-54</v>
      </c>
      <c r="E35" s="252">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Pensjonsforsikring'!F35+'SHB Liv'!F35+'Sparebank 1'!F35+'Storebrand Livsforsikring'!F35+'Telenor Forsikring'!F35+'Tryg Forsikring'!F35</f>
        <v>40035.329429999998</v>
      </c>
      <c r="F35" s="252">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Pensjonsforsikring'!G35+'SHB Liv'!G35+'Sparebank 1'!G35+'Storebrand Livsforsikring'!G35+'Telenor Forsikring'!G35+'Tryg Forsikring'!G35</f>
        <v>27172.133980000002</v>
      </c>
      <c r="G35" s="188">
        <f t="shared" si="6"/>
        <v>-32.1</v>
      </c>
      <c r="H35" s="344">
        <f t="shared" si="14"/>
        <v>18424.177429999996</v>
      </c>
      <c r="I35" s="252">
        <f t="shared" si="7"/>
        <v>17227.222070000003</v>
      </c>
      <c r="J35" s="24">
        <f t="shared" si="8"/>
        <v>-6.5</v>
      </c>
    </row>
    <row r="36" spans="1:10" s="43" customFormat="1" ht="15.75" customHeight="1" x14ac:dyDescent="0.2">
      <c r="A36" s="12" t="s">
        <v>374</v>
      </c>
      <c r="B36" s="252">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Pensjonsforsikring'!B36+'SHB Liv'!B36+'Sparebank 1'!B36+'Storebrand Livsforsikring'!B36+'Telenor Forsikring'!B36+'Tryg Forsikring'!B36</f>
        <v>1074.338</v>
      </c>
      <c r="C36" s="252">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Pensjonsforsikring'!C36+'SHB Liv'!C36+'Sparebank 1'!C36+'Storebrand Livsforsikring'!C36+'Telenor Forsikring'!C36+'Tryg Forsikring'!C36</f>
        <v>804.96299999999997</v>
      </c>
      <c r="D36" s="11">
        <f t="shared" si="5"/>
        <v>-25.1</v>
      </c>
      <c r="E36" s="252">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Pensjonsforsikring'!F36+'SHB Liv'!F36+'Sparebank 1'!F36+'Storebrand Livsforsikring'!F36+'Telenor Forsikring'!F36+'Tryg Forsikring'!F36</f>
        <v>0</v>
      </c>
      <c r="F36" s="252">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Pensjonsforsikring'!G36+'SHB Liv'!G36+'Sparebank 1'!G36+'Storebrand Livsforsikring'!G36+'Telenor Forsikring'!G36+'Tryg Forsikring'!G36</f>
        <v>0</v>
      </c>
      <c r="G36" s="188" t="str">
        <f t="shared" ref="G36:G39" si="25">IF($A$1=4,IF(E36=0, "    ---- ", IF(ABS(ROUND(100/E36*F36-100,1))&lt;999,ROUND(100/E36*F36-100,1),IF(ROUND(100/E36*F36-100,1)&gt;999,999,-999))),"")</f>
        <v/>
      </c>
      <c r="H36" s="344">
        <f t="shared" si="14"/>
        <v>1074.338</v>
      </c>
      <c r="I36" s="252">
        <f t="shared" si="7"/>
        <v>804.96299999999997</v>
      </c>
      <c r="J36" s="11">
        <f t="shared" si="8"/>
        <v>-25.1</v>
      </c>
    </row>
    <row r="37" spans="1:10" s="43" customFormat="1" ht="15.75" customHeight="1" x14ac:dyDescent="0.2">
      <c r="A37" s="12" t="s">
        <v>473</v>
      </c>
      <c r="B37" s="252">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Pensjonsforsikring'!B37+'SHB Liv'!B37+'Sparebank 1'!B37+'Storebrand Livsforsikring'!B37+'Telenor Forsikring'!B37+'Tryg Forsikring'!B37</f>
        <v>4068439.003</v>
      </c>
      <c r="C37" s="252">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Pensjonsforsikring'!C37+'SHB Liv'!C37+'Sparebank 1'!C37+'Storebrand Livsforsikring'!C37+'Telenor Forsikring'!C37+'Tryg Forsikring'!C37</f>
        <v>3928290.9470000002</v>
      </c>
      <c r="D37" s="24">
        <f t="shared" si="5"/>
        <v>-3.4</v>
      </c>
      <c r="E37" s="252">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Pensjonsforsikring'!F37+'SHB Liv'!F37+'Sparebank 1'!F37+'Storebrand Livsforsikring'!F37+'Telenor Forsikring'!F37+'Tryg Forsikring'!F37</f>
        <v>0</v>
      </c>
      <c r="F37" s="252">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Pensjonsforsikring'!G37+'SHB Liv'!G37+'Sparebank 1'!G37+'Storebrand Livsforsikring'!G37+'Telenor Forsikring'!G37+'Tryg Forsikring'!G37</f>
        <v>0</v>
      </c>
      <c r="G37" s="188" t="str">
        <f t="shared" si="25"/>
        <v/>
      </c>
      <c r="H37" s="344">
        <f t="shared" si="14"/>
        <v>4068439.003</v>
      </c>
      <c r="I37" s="252">
        <f t="shared" si="7"/>
        <v>3928290.9470000002</v>
      </c>
      <c r="J37" s="24">
        <f t="shared" si="8"/>
        <v>-3.4</v>
      </c>
    </row>
    <row r="38" spans="1:10" s="43" customFormat="1" ht="15.75" customHeight="1" x14ac:dyDescent="0.2">
      <c r="A38" s="12" t="s">
        <v>474</v>
      </c>
      <c r="B38" s="252">
        <f>'ACE European Group'!B38+'Danica Pensjonsforsikring'!B38+'DNB Livsforsikring'!B38+'Eika Forsikring AS'!B38+'Frende Livsforsikring'!B38+'Frende Skadeforsikring'!B38+'Gjensidige Forsikring'!B38+'Gjensidige Pensjon'!B38+'Handelsbanken Liv'!B38+'If Skadeforsikring NUF'!B38+KLP!B38+'KLP Bedriftspensjon AS'!B38+'KLP Skadeforsikring AS'!B38+'Landbruksforsikring AS'!B38+'NEMI Forsikring'!B38+'Nordea Liv '!B38+'Oslo Pensjonsforsikring'!B38+'SHB Liv'!B38+'Sparebank 1'!B38+'Storebrand Livsforsikring'!B38+'Telenor Forsikring'!B38+'Tryg Forsikring'!B38</f>
        <v>0</v>
      </c>
      <c r="C38" s="252">
        <f>'ACE European Group'!C38+'Danica Pensjonsforsikring'!C38+'DNB Livsforsikring'!C38+'Eika Forsikring AS'!C38+'Frende Livsforsikring'!C38+'Frende Skadeforsikring'!C38+'Gjensidige Forsikring'!C38+'Gjensidige Pensjon'!C38+'Handelsbanken Liv'!C38+'If Skadeforsikring NUF'!C38+KLP!C38+'KLP Bedriftspensjon AS'!C38+'KLP Skadeforsikring AS'!C38+'Landbruksforsikring AS'!C38+'NEMI Forsikring'!C38+'Nordea Liv '!C38+'Oslo Pensjonsforsikring'!C38+'SHB Liv'!C38+'Sparebank 1'!C38+'Storebrand Livsforsikring'!C38+'Telenor Forsikring'!C38+'Tryg Forsikring'!C38</f>
        <v>611</v>
      </c>
      <c r="D38" s="24" t="str">
        <f t="shared" si="5"/>
        <v xml:space="preserve">    ---- </v>
      </c>
      <c r="E38" s="252">
        <f>'ACE European Group'!F38+'Danica Pensjonsforsikring'!F38+'DNB Livsforsikring'!F38+'Eika Forsikring AS'!F38+'Frende Livsforsikring'!F38+'Frende Skadeforsikring'!F38+'Gjensidige Forsikring'!F38+'Gjensidige Pensjon'!F38+'Handelsbanken Liv'!F38+'If Skadeforsikring NUF'!F38+KLP!F38+'KLP Bedriftspensjon AS'!F38+'KLP Skadeforsikring AS'!F38+'Landbruksforsikring AS'!F38+'NEMI Forsikring'!F38+'Nordea Liv '!F38+'Oslo Pensjonsforsikring'!F38+'SHB Liv'!F38+'Sparebank 1'!F38+'Storebrand Livsforsikring'!F38+'Telenor Forsikring'!F38+'Tryg Forsikring'!F38</f>
        <v>0</v>
      </c>
      <c r="F38" s="252">
        <f>'ACE European Group'!G38+'Danica Pensjonsforsikring'!G38+'DNB Livsforsikring'!G38+'Eika Forsikring AS'!G38+'Frende Livsforsikring'!G38+'Frende Skadeforsikring'!G38+'Gjensidige Forsikring'!G38+'Gjensidige Pensjon'!G38+'Handelsbanken Liv'!G38+'If Skadeforsikring NUF'!G38+KLP!G38+'KLP Bedriftspensjon AS'!G38+'KLP Skadeforsikring AS'!G38+'Landbruksforsikring AS'!G38+'NEMI Forsikring'!G38+'Nordea Liv '!G38+'Oslo Pensjonsforsikring'!G38+'SHB Liv'!G38+'Sparebank 1'!G38+'Storebrand Livsforsikring'!G38+'Telenor Forsikring'!G38+'Tryg Forsikring'!G38</f>
        <v>0</v>
      </c>
      <c r="G38" s="188" t="str">
        <f t="shared" si="25"/>
        <v/>
      </c>
      <c r="H38" s="344">
        <f t="shared" si="14"/>
        <v>0</v>
      </c>
      <c r="I38" s="252">
        <f t="shared" si="7"/>
        <v>611</v>
      </c>
      <c r="J38" s="24" t="str">
        <f t="shared" si="8"/>
        <v xml:space="preserve">    ---- </v>
      </c>
    </row>
    <row r="39" spans="1:10" s="43" customFormat="1" ht="15.75" customHeight="1" x14ac:dyDescent="0.2">
      <c r="A39" s="18" t="s">
        <v>475</v>
      </c>
      <c r="B39" s="311">
        <f>'ACE European Group'!B39+'Danica Pensjonsforsikring'!B39+'DNB Livsforsikring'!B39+'Eika Forsikring AS'!B39+'Frende Livsforsikring'!B39+'Frende Skadeforsikring'!B39+'Gjensidige Forsikring'!B39+'Gjensidige Pensjon'!B39+'Handelsbanken Liv'!B39+'If Skadeforsikring NUF'!B39+KLP!B39+'KLP Bedriftspensjon AS'!B39+'KLP Skadeforsikring AS'!B39+'Landbruksforsikring AS'!B39+'NEMI Forsikring'!B39+'Nordea Liv '!B39+'Oslo Pensjonsforsikring'!B39+'SHB Liv'!B39+'Sparebank 1'!B39+'Storebrand Livsforsikring'!B39+'Telenor Forsikring'!B39+'Tryg Forsikring'!B39</f>
        <v>0</v>
      </c>
      <c r="C39" s="311">
        <f>'ACE European Group'!C39+'Danica Pensjonsforsikring'!C39+'DNB Livsforsikring'!C39+'Eika Forsikring AS'!C39+'Frende Livsforsikring'!C39+'Frende Skadeforsikring'!C39+'Gjensidige Forsikring'!C39+'Gjensidige Pensjon'!C39+'Handelsbanken Liv'!C39+'If Skadeforsikring NUF'!C39+KLP!C39+'KLP Bedriftspensjon AS'!C39+'KLP Skadeforsikring AS'!C39+'Landbruksforsikring AS'!C39+'NEMI Forsikring'!C39+'Nordea Liv '!C39+'Oslo Pensjonsforsikring'!C39+'SHB Liv'!C39+'Sparebank 1'!C39+'Storebrand Livsforsikring'!C39+'Telenor Forsikring'!C39+'Tryg Forsikring'!C39</f>
        <v>0</v>
      </c>
      <c r="D39" s="36"/>
      <c r="E39" s="311">
        <f>'ACE European Group'!F39+'Danica Pensjonsforsikring'!F39+'DNB Livsforsikring'!F39+'Eika Forsikring AS'!F39+'Frende Livsforsikring'!F39+'Frende Skadeforsikring'!F39+'Gjensidige Forsikring'!F39+'Gjensidige Pensjon'!F39+'Handelsbanken Liv'!F39+'If Skadeforsikring NUF'!F39+KLP!F39+'KLP Bedriftspensjon AS'!F39+'KLP Skadeforsikring AS'!F39+'Landbruksforsikring AS'!F39+'NEMI Forsikring'!F39+'Nordea Liv '!F39+'Oslo Pensjonsforsikring'!F39+'SHB Liv'!F39+'Sparebank 1'!F39+'Storebrand Livsforsikring'!F39+'Telenor Forsikring'!F39+'Tryg Forsikring'!F39</f>
        <v>0</v>
      </c>
      <c r="F39" s="311">
        <f>'ACE European Group'!G39+'Danica Pensjonsforsikring'!G39+'DNB Livsforsikring'!G39+'Eika Forsikring AS'!G39+'Frende Livsforsikring'!G39+'Frende Skadeforsikring'!G39+'Gjensidige Forsikring'!G39+'Gjensidige Pensjon'!G39+'Handelsbanken Liv'!G39+'If Skadeforsikring NUF'!G39+KLP!G39+'KLP Bedriftspensjon AS'!G39+'KLP Skadeforsikring AS'!G39+'Landbruksforsikring AS'!G39+'NEMI Forsikring'!G39+'Nordea Liv '!G39+'Oslo Pensjonsforsikring'!G39+'SHB Liv'!G39+'Sparebank 1'!G39+'Storebrand Livsforsikring'!G39+'Telenor Forsikring'!G39+'Tryg Forsikring'!G39</f>
        <v>0</v>
      </c>
      <c r="G39" s="186" t="str">
        <f t="shared" si="25"/>
        <v/>
      </c>
      <c r="H39" s="350">
        <f t="shared" si="14"/>
        <v>0</v>
      </c>
      <c r="I39" s="311">
        <f t="shared" si="7"/>
        <v>0</v>
      </c>
      <c r="J39" s="36"/>
    </row>
    <row r="40" spans="1:10" ht="15.75" customHeight="1" x14ac:dyDescent="0.2">
      <c r="A40" s="47"/>
    </row>
    <row r="41" spans="1:10" ht="15.75" customHeight="1" x14ac:dyDescent="0.2">
      <c r="A41" s="172"/>
    </row>
    <row r="42" spans="1:10" ht="15.75" customHeight="1" x14ac:dyDescent="0.25">
      <c r="A42" s="164" t="s">
        <v>363</v>
      </c>
      <c r="B42" s="750"/>
      <c r="C42" s="750"/>
      <c r="D42" s="750"/>
      <c r="E42" s="751"/>
      <c r="F42" s="751"/>
      <c r="G42" s="751"/>
      <c r="H42" s="751"/>
      <c r="I42" s="751"/>
      <c r="J42" s="751"/>
    </row>
    <row r="43" spans="1:10" ht="15.75" customHeight="1" x14ac:dyDescent="0.25">
      <c r="A43" s="180"/>
      <c r="B43" s="332"/>
      <c r="C43" s="332"/>
      <c r="D43" s="332"/>
      <c r="E43" s="333"/>
      <c r="F43" s="333"/>
      <c r="G43" s="333"/>
      <c r="H43" s="333"/>
      <c r="I43" s="333"/>
      <c r="J43" s="333"/>
    </row>
    <row r="44" spans="1:10" s="3" customFormat="1" ht="15.75" customHeight="1" x14ac:dyDescent="0.25">
      <c r="A44" s="264"/>
      <c r="B44" s="360" t="s">
        <v>0</v>
      </c>
      <c r="C44" s="361"/>
      <c r="D44" s="272"/>
      <c r="E44" s="42"/>
      <c r="F44" s="42"/>
      <c r="G44" s="40"/>
      <c r="H44" s="42"/>
      <c r="I44" s="42"/>
      <c r="J44" s="40"/>
    </row>
    <row r="45" spans="1:10" s="3" customFormat="1" ht="15.75" customHeight="1" x14ac:dyDescent="0.2">
      <c r="A45" s="157"/>
      <c r="B45" s="269" t="str">
        <f xml:space="preserve"> Dag &amp; "." &amp; Måned &amp; "." &amp; (år-1)</f>
        <v>31.3.2017</v>
      </c>
      <c r="C45" s="270" t="str">
        <f xml:space="preserve"> Dag &amp; "." &amp; Måned &amp; "." &amp; (år)</f>
        <v>31.3.2018</v>
      </c>
      <c r="D45" s="267" t="s">
        <v>3</v>
      </c>
      <c r="E45" s="42"/>
      <c r="F45" s="42"/>
      <c r="G45" s="40"/>
      <c r="H45" s="42"/>
      <c r="I45" s="42"/>
      <c r="J45" s="40"/>
    </row>
    <row r="46" spans="1:10" s="3" customFormat="1" ht="15.75" customHeight="1" x14ac:dyDescent="0.2">
      <c r="A46" s="724"/>
      <c r="B46" s="46"/>
      <c r="C46" s="271"/>
      <c r="D46" s="17" t="s">
        <v>4</v>
      </c>
      <c r="E46" s="40"/>
      <c r="F46" s="40"/>
      <c r="G46" s="40"/>
      <c r="H46" s="40"/>
      <c r="I46" s="40"/>
      <c r="J46" s="40"/>
    </row>
    <row r="47" spans="1:10" s="456" customFormat="1" ht="15.75" customHeight="1" x14ac:dyDescent="0.2">
      <c r="A47" s="14" t="s">
        <v>24</v>
      </c>
      <c r="B47" s="252">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Pensjonsforsikring'!B47+'SHB Liv'!B47+'Sparebank 1'!B47+'Storebrand Livsforsikring'!B47+'Telenor Forsikring'!B47+'Tryg Forsikring'!B47</f>
        <v>2218113.2496799999</v>
      </c>
      <c r="C47" s="252">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Pensjonsforsikring'!C47+'SHB Liv'!C47+'Sparebank 1'!C47+'Storebrand Livsforsikring'!C47+'Telenor Forsikring'!C47+'Tryg Forsikring'!C47</f>
        <v>2242938.5179999997</v>
      </c>
      <c r="D47" s="24">
        <f t="shared" ref="D47:D57" si="26">IF(B47=0, "    ---- ", IF(ABS(ROUND(100/B47*C47-100,1))&lt;999,ROUND(100/B47*C47-100,1),IF(ROUND(100/B47*C47-100,1)&gt;999,999,-999)))</f>
        <v>1.1000000000000001</v>
      </c>
      <c r="E47" s="457"/>
      <c r="F47" s="458"/>
      <c r="G47" s="32"/>
      <c r="H47" s="459"/>
      <c r="I47" s="459"/>
      <c r="J47" s="32"/>
    </row>
    <row r="48" spans="1:10" s="3" customFormat="1" ht="15.75" customHeight="1" x14ac:dyDescent="0.2">
      <c r="A48" s="38" t="s">
        <v>476</v>
      </c>
      <c r="B48" s="44">
        <f>'ACE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Pensjonsforsikring'!B48+'SHB Liv'!B48+'Sparebank 1'!B48+'Storebrand Livsforsikring'!B48+'Telenor Forsikring'!B48+'Tryg Forsikring'!B48</f>
        <v>1153648.61815</v>
      </c>
      <c r="C48" s="44">
        <f>'ACE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Pensjonsforsikring'!C48+'SHB Liv'!C48+'Sparebank 1'!C48+'Storebrand Livsforsikring'!C48+'Telenor Forsikring'!C48+'Tryg Forsikring'!C48</f>
        <v>1113028.8130099999</v>
      </c>
      <c r="D48" s="24">
        <f t="shared" si="26"/>
        <v>-3.5</v>
      </c>
      <c r="E48" s="35"/>
      <c r="F48" s="5"/>
      <c r="G48" s="34"/>
      <c r="H48" s="33"/>
      <c r="I48" s="33"/>
      <c r="J48" s="32"/>
    </row>
    <row r="49" spans="1:10" s="3" customFormat="1" ht="15.75" customHeight="1" x14ac:dyDescent="0.2">
      <c r="A49" s="38" t="s">
        <v>477</v>
      </c>
      <c r="B49" s="44">
        <f>'ACE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Pensjonsforsikring'!B49+'SHB Liv'!B49+'Sparebank 1'!B49+'Storebrand Livsforsikring'!B49+'Telenor Forsikring'!B49+'Tryg Forsikring'!B49</f>
        <v>1064464.6315300001</v>
      </c>
      <c r="C49" s="44">
        <f>'ACE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Pensjonsforsikring'!C49+'SHB Liv'!C49+'Sparebank 1'!C49+'Storebrand Livsforsikring'!C49+'Telenor Forsikring'!C49+'Tryg Forsikring'!C49</f>
        <v>1129909.70499</v>
      </c>
      <c r="D49" s="24">
        <f t="shared" si="26"/>
        <v>6.1</v>
      </c>
      <c r="E49" s="35"/>
      <c r="F49" s="5"/>
      <c r="G49" s="34"/>
      <c r="H49" s="37"/>
      <c r="I49" s="37"/>
      <c r="J49" s="32"/>
    </row>
    <row r="50" spans="1:10" s="3" customFormat="1" ht="15.75" customHeight="1" x14ac:dyDescent="0.2">
      <c r="A50" s="331" t="s">
        <v>6</v>
      </c>
      <c r="B50" s="44" t="str">
        <f>IF($A$1=4,'ACE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AS'!B50+'Landbruksforsikring AS'!B50+'NEMI Forsikring'!B50+'Nordea Liv '!B50+'Oslo Pensjonsforsikring'!B50+'SHB Liv'!B50+#REF!+'Sparebank 1'!B50+'Storebrand Livsforsikring'!B50+'Telenor Forsikring'!B50+'Tryg Forsikring'!B50,"")</f>
        <v/>
      </c>
      <c r="C50" s="44" t="str">
        <f>IF($A$1=4,'ACE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AS'!C50+'Landbruksforsikring AS'!C50+'NEMI Forsikring'!C50+'Nordea Liv '!C50+'Oslo Pensjonsforsikring'!C50+'SHB Liv'!C50+#REF!+'Sparebank 1'!C50+'Storebrand Livsforsikring'!C50+'Telenor Forsikring'!C50+'Tryg Forsikring'!C50,"")</f>
        <v/>
      </c>
      <c r="D50" s="27" t="str">
        <f t="shared" ref="D50:D52" si="27">IF($A$1=4,IF(B50=0, "    ---- ", IF(ABS(ROUND(100/B50*C50-100,1))&lt;999,ROUND(100/B50*C50-100,1),IF(ROUND(100/B50*C50-100,1)&gt;999,999,-999))),"")</f>
        <v/>
      </c>
      <c r="E50" s="35"/>
      <c r="F50" s="5"/>
      <c r="G50" s="34"/>
      <c r="H50" s="33"/>
      <c r="I50" s="33"/>
      <c r="J50" s="32"/>
    </row>
    <row r="51" spans="1:10" s="3" customFormat="1" ht="15.75" customHeight="1" x14ac:dyDescent="0.2">
      <c r="A51" s="331" t="s">
        <v>7</v>
      </c>
      <c r="B51" s="44" t="str">
        <f>IF($A$1=4,'ACE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AS'!B51+'Landbruksforsikring AS'!B51+'NEMI Forsikring'!B51+'Nordea Liv '!B51+'Oslo Pensjonsforsikring'!B51+'SHB Liv'!B51+#REF!+'Sparebank 1'!B51+'Storebrand Livsforsikring'!B51+'Telenor Forsikring'!B51+'Tryg Forsikring'!B51,"")</f>
        <v/>
      </c>
      <c r="C51" s="44" t="str">
        <f>IF($A$1=4,'ACE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AS'!C51+'Landbruksforsikring AS'!C51+'NEMI Forsikring'!C51+'Nordea Liv '!C51+'Oslo Pensjonsforsikring'!C51+'SHB Liv'!C51+#REF!+'Sparebank 1'!C51+'Storebrand Livsforsikring'!C51+'Telenor Forsikring'!C51+'Tryg Forsikring'!C51,"")</f>
        <v/>
      </c>
      <c r="D51" s="27" t="str">
        <f t="shared" si="27"/>
        <v/>
      </c>
      <c r="E51" s="35"/>
      <c r="F51" s="5"/>
      <c r="G51" s="34"/>
      <c r="H51" s="33"/>
      <c r="I51" s="33"/>
      <c r="J51" s="32"/>
    </row>
    <row r="52" spans="1:10" s="3" customFormat="1" ht="15.75" customHeight="1" x14ac:dyDescent="0.2">
      <c r="A52" s="331" t="s">
        <v>8</v>
      </c>
      <c r="B52" s="44" t="str">
        <f>IF($A$1=4,'ACE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AS'!B52+'Landbruksforsikring AS'!B52+'NEMI Forsikring'!B52+'Nordea Liv '!B52+'Oslo Pensjonsforsikring'!B52+'SHB Liv'!B52+#REF!+'Sparebank 1'!B52+'Storebrand Livsforsikring'!B52+'Telenor Forsikring'!B52+'Tryg Forsikring'!B52,"")</f>
        <v/>
      </c>
      <c r="C52" s="44" t="str">
        <f>IF($A$1=4,'ACE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AS'!C52+'Landbruksforsikring AS'!C52+'NEMI Forsikring'!C52+'Nordea Liv '!C52+'Oslo Pensjonsforsikring'!C52+'SHB Liv'!C52+#REF!+'Sparebank 1'!C52+'Storebrand Livsforsikring'!C52+'Telenor Forsikring'!C52+'Tryg Forsikring'!C52,"")</f>
        <v/>
      </c>
      <c r="D52" s="27" t="str">
        <f t="shared" si="27"/>
        <v/>
      </c>
      <c r="E52" s="35"/>
      <c r="F52" s="5"/>
      <c r="G52" s="34"/>
      <c r="H52" s="33"/>
      <c r="I52" s="33"/>
      <c r="J52" s="32"/>
    </row>
    <row r="53" spans="1:10" s="456" customFormat="1" ht="15.75" customHeight="1" x14ac:dyDescent="0.2">
      <c r="A53" s="39" t="s">
        <v>489</v>
      </c>
      <c r="B53" s="252">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Pensjonsforsikring'!B53+'SHB Liv'!B53+'Sparebank 1'!B53+'Storebrand Livsforsikring'!B53+'Telenor Forsikring'!B53+'Tryg Forsikring'!B53</f>
        <v>120052.32799999999</v>
      </c>
      <c r="C53" s="252">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Pensjonsforsikring'!C53+'SHB Liv'!C53+'Sparebank 1'!C53+'Storebrand Livsforsikring'!C53+'Telenor Forsikring'!C53+'Tryg Forsikring'!C53</f>
        <v>45529.033999999992</v>
      </c>
      <c r="D53" s="24">
        <f t="shared" si="26"/>
        <v>-62.1</v>
      </c>
      <c r="E53" s="457"/>
      <c r="F53" s="458"/>
      <c r="G53" s="32"/>
      <c r="H53" s="191"/>
      <c r="I53" s="191"/>
      <c r="J53" s="32"/>
    </row>
    <row r="54" spans="1:10" s="3" customFormat="1" ht="15.75" customHeight="1" x14ac:dyDescent="0.2">
      <c r="A54" s="38" t="s">
        <v>476</v>
      </c>
      <c r="B54" s="44">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Liv'!B54+'Sparebank 1'!B54+'Storebrand Livsforsikring'!B54+'Telenor Forsikring'!B54+'Tryg Forsikring'!B54</f>
        <v>62703.428000000007</v>
      </c>
      <c r="C54" s="44">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Liv'!C54+'Sparebank 1'!C54+'Storebrand Livsforsikring'!C54+'Telenor Forsikring'!C54+'Tryg Forsikring'!C54</f>
        <v>45529.033999999992</v>
      </c>
      <c r="D54" s="24">
        <f t="shared" si="26"/>
        <v>-27.4</v>
      </c>
      <c r="E54" s="35"/>
      <c r="F54" s="5"/>
      <c r="G54" s="34"/>
      <c r="H54" s="33"/>
      <c r="I54" s="33"/>
      <c r="J54" s="32"/>
    </row>
    <row r="55" spans="1:10" s="3" customFormat="1" ht="15.75" customHeight="1" x14ac:dyDescent="0.2">
      <c r="A55" s="38" t="s">
        <v>477</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Liv'!B55+'Sparebank 1'!B55+'Storebrand Livsforsikring'!B55+'Telenor Forsikring'!B55+'Tryg Forsikring'!B55</f>
        <v>57348.9</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Pensjonsforsikring'!C55+'SHB Liv'!C55+'Sparebank 1'!C55+'Storebrand Livsforsikring'!C55+'Telenor Forsikring'!C55+'Tryg Forsikring'!C55</f>
        <v>0</v>
      </c>
      <c r="D55" s="24">
        <f t="shared" si="26"/>
        <v>-100</v>
      </c>
      <c r="E55" s="35"/>
      <c r="F55" s="5"/>
      <c r="G55" s="34"/>
      <c r="H55" s="33"/>
      <c r="I55" s="33"/>
      <c r="J55" s="32"/>
    </row>
    <row r="56" spans="1:10" s="456" customFormat="1" ht="15.75" customHeight="1" x14ac:dyDescent="0.2">
      <c r="A56" s="39" t="s">
        <v>490</v>
      </c>
      <c r="B56" s="252">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Liv'!B56+'Sparebank 1'!B56+'Storebrand Livsforsikring'!B56+'Telenor Forsikring'!B56+'Tryg Forsikring'!B56</f>
        <v>65353.504000000001</v>
      </c>
      <c r="C56" s="252">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Liv'!C56+'Sparebank 1'!C56+'Storebrand Livsforsikring'!C56+'Telenor Forsikring'!C56+'Tryg Forsikring'!C56</f>
        <v>42022.103999999999</v>
      </c>
      <c r="D56" s="24">
        <f t="shared" si="26"/>
        <v>-35.700000000000003</v>
      </c>
      <c r="E56" s="457"/>
      <c r="F56" s="458"/>
      <c r="G56" s="32"/>
      <c r="H56" s="191"/>
      <c r="I56" s="191"/>
      <c r="J56" s="32"/>
    </row>
    <row r="57" spans="1:10" s="3" customFormat="1" ht="15.75" customHeight="1" x14ac:dyDescent="0.2">
      <c r="A57" s="38" t="s">
        <v>476</v>
      </c>
      <c r="B57" s="44">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Pensjonsforsikring'!B57+'SHB Liv'!B57+'Sparebank 1'!B57+'Storebrand Livsforsikring'!B57+'Telenor Forsikring'!B57+'Tryg Forsikring'!B57</f>
        <v>65353.504000000001</v>
      </c>
      <c r="C57" s="44">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Pensjonsforsikring'!C57+'SHB Liv'!C57+'Sparebank 1'!C57+'Storebrand Livsforsikring'!C57+'Telenor Forsikring'!C57+'Tryg Forsikring'!C57</f>
        <v>42022.103999999999</v>
      </c>
      <c r="D57" s="24">
        <f t="shared" si="26"/>
        <v>-35.700000000000003</v>
      </c>
      <c r="E57" s="35"/>
      <c r="F57" s="5"/>
      <c r="G57" s="34"/>
      <c r="H57" s="33"/>
      <c r="I57" s="33"/>
      <c r="J57" s="32"/>
    </row>
    <row r="58" spans="1:10" s="3" customFormat="1" ht="15.75" customHeight="1" x14ac:dyDescent="0.2">
      <c r="A58" s="46" t="s">
        <v>477</v>
      </c>
      <c r="B58" s="45">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Pensjonsforsikring'!B58+'SHB Liv'!B58+'Sparebank 1'!B58+'Storebrand Livsforsikring'!B58+'Telenor Forsikring'!B58+'Tryg Forsikring'!B58</f>
        <v>0</v>
      </c>
      <c r="C58" s="45">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Pensjonsforsikring'!C58+'SHB Liv'!C58+'Sparebank 1'!C58+'Storebrand Livsforsikring'!C58+'Telenor Forsikring'!C58+'Tryg Forsikring'!C58</f>
        <v>0</v>
      </c>
      <c r="D58" s="36"/>
      <c r="E58" s="35"/>
      <c r="F58" s="5"/>
      <c r="G58" s="34"/>
      <c r="H58" s="33"/>
      <c r="I58" s="33"/>
      <c r="J58" s="32"/>
    </row>
    <row r="59" spans="1:10" s="3" customFormat="1" ht="15.75" customHeight="1" x14ac:dyDescent="0.25">
      <c r="A59" s="181"/>
      <c r="B59" s="30"/>
      <c r="C59" s="30"/>
      <c r="D59" s="30"/>
      <c r="E59" s="31"/>
      <c r="F59" s="31"/>
      <c r="G59" s="31"/>
      <c r="H59" s="31"/>
      <c r="I59" s="31"/>
      <c r="J59" s="31"/>
    </row>
    <row r="60" spans="1:10" ht="15.75" customHeight="1" x14ac:dyDescent="0.2">
      <c r="A60" s="172"/>
    </row>
    <row r="61" spans="1:10" ht="15.75" customHeight="1" x14ac:dyDescent="0.25">
      <c r="A61" s="164" t="s">
        <v>364</v>
      </c>
      <c r="C61" s="26"/>
      <c r="D61" s="25"/>
      <c r="E61" s="26"/>
      <c r="F61" s="26"/>
      <c r="G61" s="25"/>
      <c r="H61" s="26"/>
      <c r="I61" s="26"/>
      <c r="J61" s="25"/>
    </row>
    <row r="62" spans="1:10" ht="20.100000000000001" customHeight="1" x14ac:dyDescent="0.25">
      <c r="A62" s="166"/>
      <c r="B62" s="750"/>
      <c r="C62" s="750"/>
      <c r="D62" s="750"/>
      <c r="E62" s="750"/>
      <c r="F62" s="750"/>
      <c r="G62" s="750"/>
      <c r="H62" s="750"/>
      <c r="I62" s="750"/>
      <c r="J62" s="750"/>
    </row>
    <row r="63" spans="1:10" ht="15.75" customHeight="1" x14ac:dyDescent="0.2">
      <c r="A63" s="161"/>
      <c r="B63" s="747" t="s">
        <v>0</v>
      </c>
      <c r="C63" s="748"/>
      <c r="D63" s="748"/>
      <c r="E63" s="747" t="s">
        <v>1</v>
      </c>
      <c r="F63" s="748"/>
      <c r="G63" s="749"/>
      <c r="H63" s="748" t="s">
        <v>2</v>
      </c>
      <c r="I63" s="748"/>
      <c r="J63" s="749"/>
    </row>
    <row r="64" spans="1:10" ht="15.75" customHeight="1" x14ac:dyDescent="0.2">
      <c r="A64" s="157"/>
      <c r="B64" s="268" t="str">
        <f xml:space="preserve"> Dag &amp; "." &amp; Måned &amp; "." &amp; (år-1)</f>
        <v>31.3.2017</v>
      </c>
      <c r="C64" s="268" t="str">
        <f xml:space="preserve"> Dag &amp; "." &amp; Måned &amp; "." &amp; (år)</f>
        <v>31.3.2018</v>
      </c>
      <c r="D64" s="19" t="s">
        <v>3</v>
      </c>
      <c r="E64" s="268" t="str">
        <f xml:space="preserve"> Dag &amp; "." &amp; Måned &amp; "." &amp; (år-1)</f>
        <v>31.3.2017</v>
      </c>
      <c r="F64" s="268" t="str">
        <f xml:space="preserve"> Dag &amp; "." &amp; Måned &amp; "." &amp; (år)</f>
        <v>31.3.2018</v>
      </c>
      <c r="G64" s="19" t="s">
        <v>3</v>
      </c>
      <c r="H64" s="268" t="str">
        <f xml:space="preserve"> Dag &amp; "." &amp; Måned &amp; "." &amp; (år-1)</f>
        <v>31.3.2017</v>
      </c>
      <c r="I64" s="268" t="str">
        <f xml:space="preserve"> Dag &amp; "." &amp; Måned &amp; "." &amp; (år)</f>
        <v>31.3.2018</v>
      </c>
      <c r="J64" s="19" t="s">
        <v>3</v>
      </c>
    </row>
    <row r="65" spans="1:13" ht="15.75" customHeight="1" x14ac:dyDescent="0.2">
      <c r="A65" s="724"/>
      <c r="B65" s="15"/>
      <c r="C65" s="15"/>
      <c r="D65" s="17" t="s">
        <v>4</v>
      </c>
      <c r="E65" s="16"/>
      <c r="F65" s="16"/>
      <c r="G65" s="15" t="s">
        <v>4</v>
      </c>
      <c r="H65" s="16"/>
      <c r="I65" s="16"/>
      <c r="J65" s="15" t="s">
        <v>4</v>
      </c>
    </row>
    <row r="66" spans="1:13" s="43" customFormat="1" ht="15.75" customHeight="1" x14ac:dyDescent="0.2">
      <c r="A66" s="14" t="s">
        <v>24</v>
      </c>
      <c r="B66" s="252">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Pensjonsforsikring'!B66+'SHB Liv'!B66+'Sparebank 1'!B66+'Storebrand Livsforsikring'!B66+'Telenor Forsikring'!B66+'Tryg Forsikring'!B66</f>
        <v>4168028.5099299997</v>
      </c>
      <c r="C66" s="252">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Pensjonsforsikring'!C66+'SHB Liv'!C66+'Sparebank 1'!C66+'Storebrand Livsforsikring'!C66+'Telenor Forsikring'!C66+'Tryg Forsikring'!C66</f>
        <v>3759362.3480099998</v>
      </c>
      <c r="D66" s="24">
        <f t="shared" ref="D66:D111" si="28">IF(B66=0, "    ---- ", IF(ABS(ROUND(100/B66*C66-100,1))&lt;999,ROUND(100/B66*C66-100,1),IF(ROUND(100/B66*C66-100,1)&gt;999,999,-999)))</f>
        <v>-9.8000000000000007</v>
      </c>
      <c r="E66" s="252">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Pensjonsforsikring'!F66+'SHB Liv'!F66+'Sparebank 1'!F66+'Storebrand Livsforsikring'!F66+'Telenor Forsikring'!F66+'Tryg Forsikring'!F66</f>
        <v>6507851.7616000008</v>
      </c>
      <c r="F66" s="252">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Pensjonsforsikring'!G66+'SHB Liv'!G66+'Sparebank 1'!G66+'Storebrand Livsforsikring'!G66+'Telenor Forsikring'!G66+'Tryg Forsikring'!G66</f>
        <v>6910767.8474599998</v>
      </c>
      <c r="G66" s="188">
        <f t="shared" ref="G66:G111" si="29">IF(E66=0, "    ---- ", IF(ABS(ROUND(100/E66*F66-100,1))&lt;999,ROUND(100/E66*F66-100,1),IF(ROUND(100/E66*F66-100,1)&gt;999,999,-999)))</f>
        <v>6.2</v>
      </c>
      <c r="H66" s="362">
        <f t="shared" ref="H66:H86" si="30">SUM(B66,E66)</f>
        <v>10675880.27153</v>
      </c>
      <c r="I66" s="362">
        <f t="shared" ref="I66:I86" si="31">SUM(C66,F66)</f>
        <v>10670130.19547</v>
      </c>
      <c r="J66" s="24">
        <f t="shared" ref="J66:J111" si="32">IF(H66=0, "    ---- ", IF(ABS(ROUND(100/H66*I66-100,1))&lt;999,ROUND(100/H66*I66-100,1),IF(ROUND(100/H66*I66-100,1)&gt;999,999,-999)))</f>
        <v>-0.1</v>
      </c>
    </row>
    <row r="67" spans="1:13" ht="15.75" customHeight="1" x14ac:dyDescent="0.25">
      <c r="A67" s="455" t="s">
        <v>9</v>
      </c>
      <c r="B67" s="44">
        <f>'ACE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Pensjonsforsikring'!B67+'SHB Liv'!B67+'Sparebank 1'!B67+'Storebrand Livsforsikring'!B67+'Telenor Forsikring'!B67+'Tryg Forsikring'!B67</f>
        <v>3664071.8212000001</v>
      </c>
      <c r="C67" s="44">
        <f>'ACE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Pensjonsforsikring'!C67+'SHB Liv'!C67+'Sparebank 1'!C67+'Storebrand Livsforsikring'!C67+'Telenor Forsikring'!C67+'Tryg Forsikring'!C67</f>
        <v>3163686.3964599995</v>
      </c>
      <c r="D67" s="256">
        <f t="shared" si="28"/>
        <v>-13.7</v>
      </c>
      <c r="E67" s="44">
        <f>'ACE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Pensjonsforsikring'!F67+'SHB Liv'!F67+'Sparebank 1'!F67+'Storebrand Livsforsikring'!F67+'Telenor Forsikring'!F67+'Tryg Forsikring'!F67</f>
        <v>0</v>
      </c>
      <c r="F67" s="44">
        <f>'ACE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Pensjonsforsikring'!G67+'SHB Liv'!G67+'Sparebank 1'!G67+'Storebrand Livsforsikring'!G67+'Telenor Forsikring'!G67+'Tryg Forsikring'!G67</f>
        <v>0</v>
      </c>
      <c r="G67" s="183"/>
      <c r="H67" s="253">
        <f t="shared" si="30"/>
        <v>3664071.8212000001</v>
      </c>
      <c r="I67" s="253">
        <f t="shared" si="31"/>
        <v>3163686.3964599995</v>
      </c>
      <c r="J67" s="23">
        <f t="shared" si="32"/>
        <v>-13.7</v>
      </c>
    </row>
    <row r="68" spans="1:13" ht="15.75" customHeight="1" x14ac:dyDescent="0.25">
      <c r="A68" s="21" t="s">
        <v>10</v>
      </c>
      <c r="B68" s="44">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Pensjonsforsikring'!B68+'SHB Liv'!B68+'Sparebank 1'!B68+'Storebrand Livsforsikring'!B68+'Telenor Forsikring'!B68+'Tryg Forsikring'!B68</f>
        <v>93372.902560000002</v>
      </c>
      <c r="C68" s="44">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Pensjonsforsikring'!C68+'SHB Liv'!C68+'Sparebank 1'!C68+'Storebrand Livsforsikring'!C68+'Telenor Forsikring'!C68+'Tryg Forsikring'!C68</f>
        <v>93203.550610000006</v>
      </c>
      <c r="D68" s="256">
        <f t="shared" si="28"/>
        <v>-0.2</v>
      </c>
      <c r="E68" s="44">
        <f>'ACE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Pensjonsforsikring'!F68+'SHB Liv'!F68+'Sparebank 1'!F68+'Storebrand Livsforsikring'!F68+'Telenor Forsikring'!F68+'Tryg Forsikring'!F68</f>
        <v>6449106.5011999998</v>
      </c>
      <c r="F68" s="44">
        <f>'ACE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Pensjonsforsikring'!G68+'SHB Liv'!G68+'Sparebank 1'!G68+'Storebrand Livsforsikring'!G68+'Telenor Forsikring'!G68+'Tryg Forsikring'!G68</f>
        <v>6810945.3706999999</v>
      </c>
      <c r="G68" s="183">
        <f t="shared" si="29"/>
        <v>5.6</v>
      </c>
      <c r="H68" s="253">
        <f t="shared" si="30"/>
        <v>6542479.4037600001</v>
      </c>
      <c r="I68" s="253">
        <f t="shared" si="31"/>
        <v>6904148.9213100001</v>
      </c>
      <c r="J68" s="23">
        <f t="shared" si="32"/>
        <v>5.5</v>
      </c>
    </row>
    <row r="69" spans="1:13" ht="15.75" customHeight="1" x14ac:dyDescent="0.2">
      <c r="A69" s="729" t="s">
        <v>478</v>
      </c>
      <c r="B69" s="44"/>
      <c r="C69" s="44"/>
      <c r="D69" s="27" t="str">
        <f>IF($A$1=4,IF(B69=0, "    ---- ", IF(ABS(ROUND(100/B69*C69-100,1))&lt;999,ROUND(100/B69*C69-100,1),IF(ROUND(100/B69*C69-100,1)&gt;999,999,-999))),"")</f>
        <v/>
      </c>
      <c r="E69" s="44"/>
      <c r="F69" s="44"/>
      <c r="G69" s="183" t="str">
        <f t="shared" ref="G69:G74" si="33">IF($A$1=4,IF(E69=0, "    ---- ", IF(ABS(ROUND(100/E69*F69-100,1))&lt;999,ROUND(100/E69*F69-100,1),IF(ROUND(100/E69*F69-100,1)&gt;999,999,-999))),"")</f>
        <v/>
      </c>
      <c r="H69" s="253">
        <f t="shared" si="30"/>
        <v>0</v>
      </c>
      <c r="I69" s="253">
        <f t="shared" si="31"/>
        <v>0</v>
      </c>
      <c r="J69" s="23"/>
    </row>
    <row r="70" spans="1:13" ht="15.75" customHeight="1" x14ac:dyDescent="0.2">
      <c r="A70" s="729" t="s">
        <v>12</v>
      </c>
      <c r="B70" s="251"/>
      <c r="C70" s="251"/>
      <c r="D70" s="27" t="str">
        <f t="shared" ref="D70:D71" si="34">IF($A$1=4,IF(B70=0, "    ---- ", IF(ABS(ROUND(100/B70*C70-100,1))&lt;999,ROUND(100/B70*C70-100,1),IF(ROUND(100/B70*C70-100,1)&gt;999,999,-999))),"")</f>
        <v/>
      </c>
      <c r="E70" s="251"/>
      <c r="F70" s="251"/>
      <c r="G70" s="183" t="str">
        <f t="shared" si="33"/>
        <v/>
      </c>
      <c r="H70" s="253">
        <f t="shared" si="30"/>
        <v>0</v>
      </c>
      <c r="I70" s="253">
        <f t="shared" si="31"/>
        <v>0</v>
      </c>
      <c r="J70" s="23"/>
    </row>
    <row r="71" spans="1:13" ht="15.75" customHeight="1" x14ac:dyDescent="0.2">
      <c r="A71" s="729" t="s">
        <v>13</v>
      </c>
      <c r="B71" s="251"/>
      <c r="C71" s="251"/>
      <c r="D71" s="27" t="str">
        <f t="shared" si="34"/>
        <v/>
      </c>
      <c r="E71" s="251"/>
      <c r="F71" s="251"/>
      <c r="G71" s="183" t="str">
        <f t="shared" si="33"/>
        <v/>
      </c>
      <c r="H71" s="253">
        <f t="shared" si="30"/>
        <v>0</v>
      </c>
      <c r="I71" s="253">
        <f t="shared" si="31"/>
        <v>0</v>
      </c>
      <c r="J71" s="23"/>
    </row>
    <row r="72" spans="1:13" ht="15.75" customHeight="1" x14ac:dyDescent="0.2">
      <c r="A72" s="729" t="s">
        <v>479</v>
      </c>
      <c r="B72" s="44"/>
      <c r="C72" s="44"/>
      <c r="D72" s="27" t="str">
        <f>IF($A$1=4,IF(B72=0, "    ---- ", IF(ABS(ROUND(100/B72*C72-100,1))&lt;999,ROUND(100/B72*C72-100,1),IF(ROUND(100/B72*C72-100,1)&gt;999,999,-999))),"")</f>
        <v/>
      </c>
      <c r="E72" s="44"/>
      <c r="F72" s="44"/>
      <c r="G72" s="183" t="str">
        <f t="shared" si="33"/>
        <v/>
      </c>
      <c r="H72" s="253">
        <f t="shared" si="30"/>
        <v>0</v>
      </c>
      <c r="I72" s="253">
        <f t="shared" si="31"/>
        <v>0</v>
      </c>
      <c r="J72" s="24"/>
    </row>
    <row r="73" spans="1:13" ht="15.75" customHeight="1" x14ac:dyDescent="0.2">
      <c r="A73" s="729" t="s">
        <v>12</v>
      </c>
      <c r="B73" s="251"/>
      <c r="C73" s="251"/>
      <c r="D73" s="27" t="str">
        <f t="shared" ref="D73:D74" si="35">IF($A$1=4,IF(B73=0, "    ---- ", IF(ABS(ROUND(100/B73*C73-100,1))&lt;999,ROUND(100/B73*C73-100,1),IF(ROUND(100/B73*C73-100,1)&gt;999,999,-999))),"")</f>
        <v/>
      </c>
      <c r="E73" s="251"/>
      <c r="F73" s="251"/>
      <c r="G73" s="183" t="str">
        <f t="shared" si="33"/>
        <v/>
      </c>
      <c r="H73" s="253">
        <f t="shared" si="30"/>
        <v>0</v>
      </c>
      <c r="I73" s="253">
        <f t="shared" si="31"/>
        <v>0</v>
      </c>
      <c r="J73" s="23"/>
    </row>
    <row r="74" spans="1:13" s="3" customFormat="1" ht="15.75" customHeight="1" x14ac:dyDescent="0.2">
      <c r="A74" s="729" t="s">
        <v>13</v>
      </c>
      <c r="B74" s="251"/>
      <c r="C74" s="251"/>
      <c r="D74" s="27" t="str">
        <f t="shared" si="35"/>
        <v/>
      </c>
      <c r="E74" s="251"/>
      <c r="F74" s="251"/>
      <c r="G74" s="183" t="str">
        <f t="shared" si="33"/>
        <v/>
      </c>
      <c r="H74" s="253">
        <f t="shared" si="30"/>
        <v>0</v>
      </c>
      <c r="I74" s="253">
        <f t="shared" si="31"/>
        <v>0</v>
      </c>
      <c r="J74" s="23"/>
    </row>
    <row r="75" spans="1:13" s="3" customFormat="1" ht="15.75" customHeight="1" x14ac:dyDescent="0.2">
      <c r="A75" s="21" t="s">
        <v>443</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Pensjonsforsikring'!B75+'SHB Liv'!B75+'Sparebank 1'!B75+'Storebrand Livsforsikring'!B75+'Telenor Forsikring'!B75+'Tryg Forsikring'!B75</f>
        <v>25912.347829999999</v>
      </c>
      <c r="C75" s="44">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Pensjonsforsikring'!C75+'SHB Liv'!C75+'Sparebank 1'!C75+'Storebrand Livsforsikring'!C75+'Telenor Forsikring'!C75+'Tryg Forsikring'!C75</f>
        <v>95014.286940000005</v>
      </c>
      <c r="D75" s="23">
        <f t="shared" si="28"/>
        <v>266.7</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Pensjonsforsikring'!F75+'SHB Liv'!F75+'Sparebank 1'!F75+'Storebrand Livsforsikring'!F75+'Telenor Forsikring'!F75+'Tryg Forsikring'!F75</f>
        <v>58745.260399999999</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Pensjonsforsikring'!G75+'SHB Liv'!G75+'Sparebank 1'!G75+'Storebrand Livsforsikring'!G75+'Telenor Forsikring'!G75+'Tryg Forsikring'!G75</f>
        <v>99822.47675999999</v>
      </c>
      <c r="G75" s="183">
        <f t="shared" si="29"/>
        <v>69.900000000000006</v>
      </c>
      <c r="H75" s="253">
        <f t="shared" si="30"/>
        <v>84657.608229999998</v>
      </c>
      <c r="I75" s="253">
        <f t="shared" si="31"/>
        <v>194836.76370000001</v>
      </c>
      <c r="J75" s="23">
        <f t="shared" si="32"/>
        <v>130.1</v>
      </c>
      <c r="L75" s="165"/>
      <c r="M75" s="165"/>
    </row>
    <row r="76" spans="1:13" s="3" customFormat="1" ht="15.75" customHeight="1" x14ac:dyDescent="0.2">
      <c r="A76" s="21" t="s">
        <v>442</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Pensjonsforsikring'!B76+'SHB Liv'!B76+'Sparebank 1'!B76+'Storebrand Livsforsikring'!B76+'Telenor Forsikring'!B76+'Tryg Forsikring'!B76</f>
        <v>384671.43833999999</v>
      </c>
      <c r="C76" s="44">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Pensjonsforsikring'!C76+'SHB Liv'!C76+'Sparebank 1'!C76+'Storebrand Livsforsikring'!C76+'Telenor Forsikring'!C76+'Tryg Forsikring'!C76</f>
        <v>407458.114</v>
      </c>
      <c r="D76" s="23">
        <f t="shared" ref="D76" si="36">IF(B76=0, "    ---- ", IF(ABS(ROUND(100/B76*C76-100,1))&lt;999,ROUND(100/B76*C76-100,1),IF(ROUND(100/B76*C76-100,1)&gt;999,999,-999)))</f>
        <v>5.9</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Pensjonsforsikring'!F76+'SHB Liv'!F76+'Sparebank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Pensjonsforsikring'!G76+'SHB Liv'!G76+'Sparebank 1'!G76+'Storebrand Livsforsikring'!G76+'Telenor Forsikring'!G76+'Tryg Forsikring'!G76</f>
        <v>0</v>
      </c>
      <c r="G76" s="183"/>
      <c r="H76" s="253">
        <f t="shared" ref="H76" si="37">SUM(B76,E76)</f>
        <v>384671.43833999999</v>
      </c>
      <c r="I76" s="253">
        <f t="shared" ref="I76" si="38">SUM(C76,F76)</f>
        <v>407458.114</v>
      </c>
      <c r="J76" s="23">
        <f t="shared" ref="J76" si="39">IF(H76=0, "    ---- ", IF(ABS(ROUND(100/H76*I76-100,1))&lt;999,ROUND(100/H76*I76-100,1),IF(ROUND(100/H76*I76-100,1)&gt;999,999,-999)))</f>
        <v>5.9</v>
      </c>
      <c r="K76" s="165"/>
    </row>
    <row r="77" spans="1:13" ht="15.75" customHeight="1" x14ac:dyDescent="0.2">
      <c r="A77" s="21" t="s">
        <v>480</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Pensjonsforsikring'!B77+'SHB Liv'!B77+'Sparebank 1'!B77+'Storebrand Livsforsikring'!B77+'Telenor Forsikring'!B77+'Tryg Forsikring'!B77</f>
        <v>3621330.6797599997</v>
      </c>
      <c r="C77" s="44">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Pensjonsforsikring'!C77+'SHB Liv'!C77+'Sparebank 1'!C77+'Storebrand Livsforsikring'!C77+'Telenor Forsikring'!C77+'Tryg Forsikring'!C77</f>
        <v>3121962.3270700001</v>
      </c>
      <c r="D77" s="23">
        <f t="shared" si="28"/>
        <v>-13.8</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Pensjonsforsikring'!F77+'SHB Liv'!F77+'Sparebank 1'!F77+'Storebrand Livsforsikring'!F77+'Telenor Forsikring'!F77+'Tryg Forsikring'!F77</f>
        <v>6445985.2491100002</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Pensjonsforsikring'!G77+'SHB Liv'!G77+'Sparebank 1'!G77+'Storebrand Livsforsikring'!G77+'Telenor Forsikring'!G77+'Tryg Forsikring'!G77</f>
        <v>6807347.8117200006</v>
      </c>
      <c r="G77" s="183">
        <f t="shared" si="29"/>
        <v>5.6</v>
      </c>
      <c r="H77" s="253">
        <f t="shared" si="30"/>
        <v>10067315.92887</v>
      </c>
      <c r="I77" s="253">
        <f t="shared" si="31"/>
        <v>9929310.1387900002</v>
      </c>
      <c r="J77" s="23">
        <f t="shared" si="32"/>
        <v>-1.4</v>
      </c>
    </row>
    <row r="78" spans="1:13" ht="15.75" customHeight="1" x14ac:dyDescent="0.2">
      <c r="A78" s="21" t="s">
        <v>9</v>
      </c>
      <c r="B78" s="44">
        <f>'ACE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Pensjonsforsikring'!B78+'SHB Liv'!B78+'Sparebank 1'!B78+'Storebrand Livsforsikring'!B78+'Telenor Forsikring'!B78+'Tryg Forsikring'!B78</f>
        <v>3529008.5552000003</v>
      </c>
      <c r="C78" s="44">
        <f>'ACE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Pensjonsforsikring'!C78+'SHB Liv'!C78+'Sparebank 1'!C78+'Storebrand Livsforsikring'!C78+'Telenor Forsikring'!C78+'Tryg Forsikring'!C78</f>
        <v>3030165.7864600001</v>
      </c>
      <c r="D78" s="23">
        <f t="shared" si="28"/>
        <v>-14.1</v>
      </c>
      <c r="E78" s="44">
        <f>'ACE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Pensjonsforsikring'!F78+'SHB Liv'!F78+'Sparebank 1'!F78+'Storebrand Livsforsikring'!F78+'Telenor Forsikring'!F78+'Tryg Forsikring'!F78</f>
        <v>0</v>
      </c>
      <c r="F78" s="44">
        <f>'ACE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Pensjonsforsikring'!G78+'SHB Liv'!G78+'Sparebank 1'!G78+'Storebrand Livsforsikring'!G78+'Telenor Forsikring'!G78+'Tryg Forsikring'!G78</f>
        <v>0</v>
      </c>
      <c r="G78" s="183"/>
      <c r="H78" s="253">
        <f t="shared" si="30"/>
        <v>3529008.5552000003</v>
      </c>
      <c r="I78" s="253">
        <f t="shared" si="31"/>
        <v>3030165.7864600001</v>
      </c>
      <c r="J78" s="23">
        <f t="shared" si="32"/>
        <v>-14.1</v>
      </c>
    </row>
    <row r="79" spans="1:13" ht="15.75" customHeight="1" x14ac:dyDescent="0.2">
      <c r="A79" s="21" t="s">
        <v>10</v>
      </c>
      <c r="B79" s="44">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Liv'!B79+'Sparebank 1'!B79+'Storebrand Livsforsikring'!B79+'Telenor Forsikring'!B79+'Tryg Forsikring'!B79</f>
        <v>92322.124559999997</v>
      </c>
      <c r="C79" s="44">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Liv'!C79+'Sparebank 1'!C79+'Storebrand Livsforsikring'!C79+'Telenor Forsikring'!C79+'Tryg Forsikring'!C79</f>
        <v>91796.540610000011</v>
      </c>
      <c r="D79" s="23">
        <f t="shared" si="28"/>
        <v>-0.6</v>
      </c>
      <c r="E79" s="44">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Liv'!F79+'Sparebank 1'!F79+'Storebrand Livsforsikring'!F79+'Telenor Forsikring'!F79+'Tryg Forsikring'!F79</f>
        <v>6445985.2491100002</v>
      </c>
      <c r="F79" s="44">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Liv'!G79+'Sparebank 1'!G79+'Storebrand Livsforsikring'!G79+'Telenor Forsikring'!G79+'Tryg Forsikring'!G79</f>
        <v>6807347.8117200006</v>
      </c>
      <c r="G79" s="183">
        <f t="shared" si="29"/>
        <v>5.6</v>
      </c>
      <c r="H79" s="253">
        <f t="shared" si="30"/>
        <v>6538307.3736700006</v>
      </c>
      <c r="I79" s="253">
        <f t="shared" si="31"/>
        <v>6899144.3523300001</v>
      </c>
      <c r="J79" s="23">
        <f t="shared" si="32"/>
        <v>5.5</v>
      </c>
    </row>
    <row r="80" spans="1:13" ht="15.75" customHeight="1" x14ac:dyDescent="0.2">
      <c r="A80" s="729" t="s">
        <v>478</v>
      </c>
      <c r="B80" s="44"/>
      <c r="C80" s="44"/>
      <c r="D80" s="27" t="str">
        <f>IF($A$1=4,IF(B80=0, "    ---- ", IF(ABS(ROUND(100/B80*C80-100,1))&lt;999,ROUND(100/B80*C80-100,1),IF(ROUND(100/B80*C80-100,1)&gt;999,999,-999))),"")</f>
        <v/>
      </c>
      <c r="E80" s="44"/>
      <c r="F80" s="44"/>
      <c r="G80" s="183" t="str">
        <f t="shared" ref="G80:G85" si="40">IF($A$1=4,IF(E80=0, "    ---- ", IF(ABS(ROUND(100/E80*F80-100,1))&lt;999,ROUND(100/E80*F80-100,1),IF(ROUND(100/E80*F80-100,1)&gt;999,999,-999))),"")</f>
        <v/>
      </c>
      <c r="H80" s="253">
        <f t="shared" si="30"/>
        <v>0</v>
      </c>
      <c r="I80" s="253">
        <f t="shared" si="31"/>
        <v>0</v>
      </c>
      <c r="J80" s="23"/>
    </row>
    <row r="81" spans="1:12" ht="15.75" customHeight="1" x14ac:dyDescent="0.2">
      <c r="A81" s="729" t="s">
        <v>12</v>
      </c>
      <c r="B81" s="251"/>
      <c r="C81" s="251"/>
      <c r="D81" s="27" t="str">
        <f t="shared" ref="D81:D85" si="41">IF($A$1=4,IF(B81=0, "    ---- ", IF(ABS(ROUND(100/B81*C81-100,1))&lt;999,ROUND(100/B81*C81-100,1),IF(ROUND(100/B81*C81-100,1)&gt;999,999,-999))),"")</f>
        <v/>
      </c>
      <c r="E81" s="251"/>
      <c r="F81" s="251"/>
      <c r="G81" s="183" t="str">
        <f t="shared" si="40"/>
        <v/>
      </c>
      <c r="H81" s="253">
        <f t="shared" si="30"/>
        <v>0</v>
      </c>
      <c r="I81" s="253">
        <f t="shared" si="31"/>
        <v>0</v>
      </c>
      <c r="J81" s="23"/>
    </row>
    <row r="82" spans="1:12" ht="15.75" customHeight="1" x14ac:dyDescent="0.2">
      <c r="A82" s="729" t="s">
        <v>13</v>
      </c>
      <c r="B82" s="251"/>
      <c r="C82" s="251"/>
      <c r="D82" s="27" t="str">
        <f t="shared" si="41"/>
        <v/>
      </c>
      <c r="E82" s="251"/>
      <c r="F82" s="251"/>
      <c r="G82" s="183" t="str">
        <f t="shared" si="40"/>
        <v/>
      </c>
      <c r="H82" s="253">
        <f t="shared" si="30"/>
        <v>0</v>
      </c>
      <c r="I82" s="253">
        <f t="shared" si="31"/>
        <v>0</v>
      </c>
      <c r="J82" s="23"/>
    </row>
    <row r="83" spans="1:12" ht="15.75" customHeight="1" x14ac:dyDescent="0.2">
      <c r="A83" s="729" t="s">
        <v>479</v>
      </c>
      <c r="B83" s="44"/>
      <c r="C83" s="44"/>
      <c r="D83" s="27" t="str">
        <f t="shared" si="41"/>
        <v/>
      </c>
      <c r="E83" s="44"/>
      <c r="F83" s="44"/>
      <c r="G83" s="183" t="str">
        <f t="shared" si="40"/>
        <v/>
      </c>
      <c r="H83" s="253">
        <f t="shared" si="30"/>
        <v>0</v>
      </c>
      <c r="I83" s="253">
        <f t="shared" si="31"/>
        <v>0</v>
      </c>
      <c r="J83" s="24"/>
    </row>
    <row r="84" spans="1:12" ht="15.75" customHeight="1" x14ac:dyDescent="0.2">
      <c r="A84" s="729" t="s">
        <v>12</v>
      </c>
      <c r="B84" s="251"/>
      <c r="C84" s="251"/>
      <c r="D84" s="27" t="str">
        <f t="shared" si="41"/>
        <v/>
      </c>
      <c r="E84" s="251"/>
      <c r="F84" s="251"/>
      <c r="G84" s="183" t="str">
        <f t="shared" si="40"/>
        <v/>
      </c>
      <c r="H84" s="253">
        <f t="shared" si="30"/>
        <v>0</v>
      </c>
      <c r="I84" s="253">
        <f t="shared" si="31"/>
        <v>0</v>
      </c>
      <c r="J84" s="23"/>
    </row>
    <row r="85" spans="1:12" ht="15.75" customHeight="1" x14ac:dyDescent="0.2">
      <c r="A85" s="729" t="s">
        <v>13</v>
      </c>
      <c r="B85" s="251"/>
      <c r="C85" s="251"/>
      <c r="D85" s="27" t="str">
        <f t="shared" si="41"/>
        <v/>
      </c>
      <c r="E85" s="251"/>
      <c r="F85" s="251"/>
      <c r="G85" s="183" t="str">
        <f t="shared" si="40"/>
        <v/>
      </c>
      <c r="H85" s="253">
        <f t="shared" si="30"/>
        <v>0</v>
      </c>
      <c r="I85" s="253">
        <f t="shared" si="31"/>
        <v>0</v>
      </c>
      <c r="J85" s="23"/>
    </row>
    <row r="86" spans="1:12" ht="15.75" customHeight="1" x14ac:dyDescent="0.2">
      <c r="A86" s="21" t="s">
        <v>481</v>
      </c>
      <c r="B86" s="44">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Pensjonsforsikring'!B86+'SHB Liv'!B86+'Sparebank 1'!B86+'Storebrand Livsforsikring'!B86+'Telenor Forsikring'!B86+'Tryg Forsikring'!B86</f>
        <v>136114.04399999999</v>
      </c>
      <c r="C86" s="44">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Pensjonsforsikring'!C86+'SHB Liv'!C86+'Sparebank 1'!C86+'Storebrand Livsforsikring'!C86+'Telenor Forsikring'!C86+'Tryg Forsikring'!C86</f>
        <v>134927.62</v>
      </c>
      <c r="D86" s="23">
        <f t="shared" si="28"/>
        <v>-0.9</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Pensjonsforsikring'!F86+'SHB Liv'!F86+'Sparebank 1'!F86+'Storebrand Livsforsikring'!F86+'Telenor Forsikring'!F86+'Tryg Forsikring'!F86</f>
        <v>3121.25209</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Pensjonsforsikring'!G86+'SHB Liv'!G86+'Sparebank 1'!G86+'Storebrand Livsforsikring'!G86+'Telenor Forsikring'!G86+'Tryg Forsikring'!G86</f>
        <v>3597.5589799999998</v>
      </c>
      <c r="G86" s="183">
        <f t="shared" si="29"/>
        <v>15.3</v>
      </c>
      <c r="H86" s="253">
        <f t="shared" si="30"/>
        <v>139235.29608999999</v>
      </c>
      <c r="I86" s="253">
        <f t="shared" si="31"/>
        <v>138525.17898</v>
      </c>
      <c r="J86" s="23">
        <f t="shared" si="32"/>
        <v>-0.5</v>
      </c>
    </row>
    <row r="87" spans="1:12" s="43" customFormat="1" ht="15.75" customHeight="1" x14ac:dyDescent="0.2">
      <c r="A87" s="13" t="s">
        <v>466</v>
      </c>
      <c r="B87" s="252">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Pensjonsforsikring'!B87+'SHB Liv'!B87+'Sparebank 1'!B87+'Storebrand Livsforsikring'!B87+'Telenor Forsikring'!B87+'Tryg Forsikring'!B87</f>
        <v>376542329.2777971</v>
      </c>
      <c r="C87" s="252">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Pensjonsforsikring'!C87+'SHB Liv'!C87+'Sparebank 1'!C87+'Storebrand Livsforsikring'!C87+'Telenor Forsikring'!C87+'Tryg Forsikring'!C87</f>
        <v>384768921.84054166</v>
      </c>
      <c r="D87" s="24">
        <f t="shared" si="28"/>
        <v>2.2000000000000002</v>
      </c>
      <c r="E87" s="252">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Pensjonsforsikring'!F87+'SHB Liv'!F87+'Sparebank 1'!F87+'Storebrand Livsforsikring'!F87+'Telenor Forsikring'!F87+'Tryg Forsikring'!F87</f>
        <v>189428166.95883</v>
      </c>
      <c r="F87" s="252">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Pensjonsforsikring'!G87+'SHB Liv'!G87+'Sparebank 1'!G87+'Storebrand Livsforsikring'!G87+'Telenor Forsikring'!G87+'Tryg Forsikring'!G87</f>
        <v>234462731.14205161</v>
      </c>
      <c r="G87" s="188">
        <f t="shared" si="29"/>
        <v>23.8</v>
      </c>
      <c r="H87" s="362">
        <f t="shared" ref="H87:H111" si="42">SUM(B87,E87)</f>
        <v>565970496.2366271</v>
      </c>
      <c r="I87" s="362">
        <f t="shared" ref="I87:I111" si="43">SUM(C87,F87)</f>
        <v>619231652.9825933</v>
      </c>
      <c r="J87" s="24">
        <f t="shared" si="32"/>
        <v>9.4</v>
      </c>
    </row>
    <row r="88" spans="1:12" ht="15.75" customHeight="1" x14ac:dyDescent="0.2">
      <c r="A88" s="21" t="s">
        <v>9</v>
      </c>
      <c r="B88" s="44">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Liv'!B88+'Sparebank 1'!B88+'Storebrand Livsforsikring'!B88+'Telenor Forsikring'!B88+'Tryg Forsikring'!B88</f>
        <v>371404825.39856219</v>
      </c>
      <c r="C88" s="44">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Liv'!C88+'Sparebank 1'!C88+'Storebrand Livsforsikring'!C88+'Telenor Forsikring'!C88+'Tryg Forsikring'!C88</f>
        <v>376902288.50225568</v>
      </c>
      <c r="D88" s="23">
        <f t="shared" si="28"/>
        <v>1.5</v>
      </c>
      <c r="E88" s="44">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Liv'!F88+'Sparebank 1'!F88+'Storebrand Livsforsikring'!F88+'Telenor Forsikring'!F88+'Tryg Forsikring'!F88</f>
        <v>0</v>
      </c>
      <c r="F88" s="44">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Liv'!G88+'Sparebank 1'!G88+'Storebrand Livsforsikring'!G88+'Telenor Forsikring'!G88+'Tryg Forsikring'!G88</f>
        <v>0</v>
      </c>
      <c r="G88" s="183"/>
      <c r="H88" s="253">
        <f t="shared" si="42"/>
        <v>371404825.39856219</v>
      </c>
      <c r="I88" s="253">
        <f t="shared" si="43"/>
        <v>376902288.50225568</v>
      </c>
      <c r="J88" s="23">
        <f t="shared" si="32"/>
        <v>1.5</v>
      </c>
      <c r="K88" s="166"/>
      <c r="L88" s="166"/>
    </row>
    <row r="89" spans="1:12" ht="15.75" customHeight="1" x14ac:dyDescent="0.2">
      <c r="A89" s="21" t="s">
        <v>10</v>
      </c>
      <c r="B89" s="44">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Liv'!B89+'Sparebank 1'!B89+'Storebrand Livsforsikring'!B89+'Telenor Forsikring'!B89+'Tryg Forsikring'!B89</f>
        <v>2220733.2888660301</v>
      </c>
      <c r="C89" s="44">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Liv'!C89+'Sparebank 1'!C89+'Storebrand Livsforsikring'!C89+'Telenor Forsikring'!C89+'Tryg Forsikring'!C89</f>
        <v>2681345.48997594</v>
      </c>
      <c r="D89" s="23">
        <f t="shared" si="28"/>
        <v>20.7</v>
      </c>
      <c r="E89" s="44">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Liv'!F89+'Sparebank 1'!F89+'Storebrand Livsforsikring'!F89+'Telenor Forsikring'!F89+'Tryg Forsikring'!F89</f>
        <v>189149563.24809998</v>
      </c>
      <c r="F89" s="44">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Liv'!G89+'Sparebank 1'!G89+'Storebrand Livsforsikring'!G89+'Telenor Forsikring'!G89+'Tryg Forsikring'!G89</f>
        <v>233679203.61454159</v>
      </c>
      <c r="G89" s="183">
        <f t="shared" si="29"/>
        <v>23.5</v>
      </c>
      <c r="H89" s="253">
        <f t="shared" si="42"/>
        <v>191370296.53696603</v>
      </c>
      <c r="I89" s="253">
        <f t="shared" si="43"/>
        <v>236360549.10451752</v>
      </c>
      <c r="J89" s="23">
        <f t="shared" si="32"/>
        <v>23.5</v>
      </c>
      <c r="K89" s="166"/>
      <c r="L89" s="166"/>
    </row>
    <row r="90" spans="1:12" ht="15.75" customHeight="1" x14ac:dyDescent="0.2">
      <c r="A90" s="729" t="s">
        <v>478</v>
      </c>
      <c r="B90" s="44" t="str">
        <f>IF($A$1=4,'ACE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Liv'!B90+#REF!+'Sparebank 1'!B90+'Storebrand Livsforsikring'!B90+'Telenor Forsikring'!B90+'Tryg Forsikring'!B90,"")</f>
        <v/>
      </c>
      <c r="C90" s="44" t="str">
        <f>IF($A$1=4,'ACE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Liv'!C90+#REF!+'Sparebank 1'!C90+'Storebrand Livsforsikring'!C90+'Telenor Forsikring'!C90+'Tryg Forsikring'!C90,"")</f>
        <v/>
      </c>
      <c r="D90" s="27" t="str">
        <f t="shared" ref="D90:D95" si="44">IF($A$1=4,IF(B90=0, "    ---- ", IF(ABS(ROUND(100/B90*C90-100,1))&lt;999,ROUND(100/B90*C90-100,1),IF(ROUND(100/B90*C90-100,1)&gt;999,999,-999))),"")</f>
        <v/>
      </c>
      <c r="E90" s="44" t="str">
        <f>IF($A$1=4,'ACE European Group'!E90+'Danica Pensjonsforsikring'!E90+'DNB Livsforsikring'!E90+'Eika Forsikring AS'!E90+'Frende Livsforsikring'!E90+'Frende Skadeforsikring'!E90+'Gjensidige Forsikring'!E90+'Gjensidige Pensjon'!E90+'Handelsbanken Liv'!E90+'If Skadeforsikring NUF'!E90+KLP!E90+'KLP Bedriftspensjon AS'!E90+'KLP Skadeforsikring AS'!E90+'Landbruksforsikring AS'!E90+'NEMI Forsikring'!E90+'Nordea Liv '!E90+'Oslo Pensjonsforsikring'!E90+'SHB Liv'!E90+#REF!+'Sparebank 1'!E90+'Storebrand Livsforsikring'!E90+'Telenor Forsikring'!E90+'Tryg Forsikring'!E90,"")</f>
        <v/>
      </c>
      <c r="F90" s="44" t="str">
        <f>IF($A$1=4,'ACE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AS'!F90+'Landbruksforsikring AS'!F90+'NEMI Forsikring'!F90+'Nordea Liv '!F90+'Oslo Pensjonsforsikring'!F90+'SHB Liv'!F90+#REF!+'Sparebank 1'!F90+'Storebrand Livsforsikring'!F90+'Telenor Forsikring'!F90+'Tryg Forsikring'!F90,"")</f>
        <v/>
      </c>
      <c r="G90" s="183" t="str">
        <f t="shared" ref="G90:G95" si="45">IF($A$1=4,IF(E90=0, "    ---- ", IF(ABS(ROUND(100/E90*F90-100,1))&lt;999,ROUND(100/E90*F90-100,1),IF(ROUND(100/E90*F90-100,1)&gt;999,999,-999))),"")</f>
        <v/>
      </c>
      <c r="H90" s="253">
        <f t="shared" si="42"/>
        <v>0</v>
      </c>
      <c r="I90" s="253">
        <f t="shared" si="43"/>
        <v>0</v>
      </c>
      <c r="J90" s="23"/>
    </row>
    <row r="91" spans="1:12" ht="15.75" customHeight="1" x14ac:dyDescent="0.2">
      <c r="A91" s="729" t="s">
        <v>12</v>
      </c>
      <c r="B91" s="251"/>
      <c r="C91" s="251"/>
      <c r="D91" s="27" t="str">
        <f t="shared" si="44"/>
        <v/>
      </c>
      <c r="E91" s="251"/>
      <c r="F91" s="251"/>
      <c r="G91" s="183" t="str">
        <f t="shared" si="45"/>
        <v/>
      </c>
      <c r="H91" s="253">
        <f t="shared" si="42"/>
        <v>0</v>
      </c>
      <c r="I91" s="253">
        <f t="shared" si="43"/>
        <v>0</v>
      </c>
      <c r="J91" s="23"/>
    </row>
    <row r="92" spans="1:12" ht="15.75" customHeight="1" x14ac:dyDescent="0.2">
      <c r="A92" s="729" t="s">
        <v>13</v>
      </c>
      <c r="B92" s="251"/>
      <c r="C92" s="251"/>
      <c r="D92" s="27" t="str">
        <f t="shared" si="44"/>
        <v/>
      </c>
      <c r="E92" s="251"/>
      <c r="F92" s="251"/>
      <c r="G92" s="183" t="str">
        <f t="shared" si="45"/>
        <v/>
      </c>
      <c r="H92" s="253">
        <f t="shared" si="42"/>
        <v>0</v>
      </c>
      <c r="I92" s="253">
        <f t="shared" si="43"/>
        <v>0</v>
      </c>
      <c r="J92" s="23"/>
    </row>
    <row r="93" spans="1:12" ht="15.75" customHeight="1" x14ac:dyDescent="0.2">
      <c r="A93" s="729" t="s">
        <v>479</v>
      </c>
      <c r="B93" s="44"/>
      <c r="C93" s="44"/>
      <c r="D93" s="27" t="str">
        <f t="shared" si="44"/>
        <v/>
      </c>
      <c r="E93" s="44"/>
      <c r="F93" s="44"/>
      <c r="G93" s="183" t="str">
        <f t="shared" si="45"/>
        <v/>
      </c>
      <c r="H93" s="253">
        <f t="shared" si="42"/>
        <v>0</v>
      </c>
      <c r="I93" s="253">
        <f t="shared" si="43"/>
        <v>0</v>
      </c>
      <c r="J93" s="23"/>
    </row>
    <row r="94" spans="1:12" ht="15.75" customHeight="1" x14ac:dyDescent="0.2">
      <c r="A94" s="729" t="s">
        <v>12</v>
      </c>
      <c r="B94" s="251"/>
      <c r="C94" s="251"/>
      <c r="D94" s="27" t="str">
        <f t="shared" si="44"/>
        <v/>
      </c>
      <c r="E94" s="251"/>
      <c r="F94" s="251"/>
      <c r="G94" s="183" t="str">
        <f t="shared" si="45"/>
        <v/>
      </c>
      <c r="H94" s="253">
        <f t="shared" si="42"/>
        <v>0</v>
      </c>
      <c r="I94" s="253">
        <f t="shared" si="43"/>
        <v>0</v>
      </c>
      <c r="J94" s="23"/>
    </row>
    <row r="95" spans="1:12" ht="15.75" customHeight="1" x14ac:dyDescent="0.2">
      <c r="A95" s="729" t="s">
        <v>13</v>
      </c>
      <c r="B95" s="251"/>
      <c r="C95" s="251"/>
      <c r="D95" s="27" t="str">
        <f t="shared" si="44"/>
        <v/>
      </c>
      <c r="E95" s="251"/>
      <c r="F95" s="251"/>
      <c r="G95" s="183" t="str">
        <f t="shared" si="45"/>
        <v/>
      </c>
      <c r="H95" s="253">
        <f t="shared" si="42"/>
        <v>0</v>
      </c>
      <c r="I95" s="253">
        <f t="shared" si="43"/>
        <v>0</v>
      </c>
      <c r="J95" s="23"/>
    </row>
    <row r="96" spans="1:12" ht="15.75" customHeight="1" x14ac:dyDescent="0.2">
      <c r="A96" s="21" t="s">
        <v>443</v>
      </c>
      <c r="B96" s="44">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Pensjonsforsikring'!B96+'SHB Liv'!B96+'Sparebank 1'!B96+'Storebrand Livsforsikring'!B96+'Telenor Forsikring'!B96+'Tryg Forsikring'!B96</f>
        <v>172703.50855999999</v>
      </c>
      <c r="C96" s="44">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Pensjonsforsikring'!C96+'SHB Liv'!C96+'Sparebank 1'!C96+'Storebrand Livsforsikring'!C96+'Telenor Forsikring'!C96+'Tryg Forsikring'!C96</f>
        <v>573391.07704</v>
      </c>
      <c r="D96" s="23">
        <f t="shared" si="28"/>
        <v>232</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Pensjonsforsikring'!F96+'SHB Liv'!F96+'Sparebank 1'!F96+'Storebrand Livsforsikring'!F96+'Telenor Forsikring'!F96+'Tryg Forsikring'!F96</f>
        <v>278603.71073000005</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Pensjonsforsikring'!G96+'SHB Liv'!G96+'Sparebank 1'!G96+'Storebrand Livsforsikring'!G96+'Telenor Forsikring'!G96+'Tryg Forsikring'!G96</f>
        <v>783527.52750999993</v>
      </c>
      <c r="G96" s="183">
        <f t="shared" si="29"/>
        <v>181.2</v>
      </c>
      <c r="H96" s="253">
        <f t="shared" si="42"/>
        <v>451307.21929000004</v>
      </c>
      <c r="I96" s="253">
        <f t="shared" si="43"/>
        <v>1356918.6045499998</v>
      </c>
      <c r="J96" s="23">
        <f t="shared" si="32"/>
        <v>200.7</v>
      </c>
    </row>
    <row r="97" spans="1:10" ht="15.75" customHeight="1" x14ac:dyDescent="0.2">
      <c r="A97" s="21" t="s">
        <v>442</v>
      </c>
      <c r="B97" s="44">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Pensjonsforsikring'!B97+'SHB Liv'!B97+'Sparebank 1'!B97+'Storebrand Livsforsikring'!B97+'Telenor Forsikring'!B97+'Tryg Forsikring'!B97</f>
        <v>2744067.0818088744</v>
      </c>
      <c r="C97" s="44">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Pensjonsforsikring'!C97+'SHB Liv'!C97+'Sparebank 1'!C97+'Storebrand Livsforsikring'!C97+'Telenor Forsikring'!C97+'Tryg Forsikring'!C97</f>
        <v>4611896.7712700004</v>
      </c>
      <c r="D97" s="23">
        <f t="shared" ref="D97" si="46">IF(B97=0, "    ---- ", IF(ABS(ROUND(100/B97*C97-100,1))&lt;999,ROUND(100/B97*C97-100,1),IF(ROUND(100/B97*C97-100,1)&gt;999,999,-999)))</f>
        <v>68.099999999999994</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Pensjonsforsikring'!F97+'SHB Liv'!F97+'Sparebank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Pensjonsforsikring'!G97+'SHB Liv'!G97+'Sparebank 1'!G97+'Storebrand Livsforsikring'!G97+'Telenor Forsikring'!G97+'Tryg Forsikring'!G97</f>
        <v>0</v>
      </c>
      <c r="G97" s="183"/>
      <c r="H97" s="253">
        <f t="shared" ref="H97" si="47">SUM(B97,E97)</f>
        <v>2744067.0818088744</v>
      </c>
      <c r="I97" s="253">
        <f t="shared" ref="I97" si="48">SUM(C97,F97)</f>
        <v>4611896.7712700004</v>
      </c>
      <c r="J97" s="23">
        <f t="shared" ref="J97" si="49">IF(H97=0, "    ---- ", IF(ABS(ROUND(100/H97*I97-100,1))&lt;999,ROUND(100/H97*I97-100,1),IF(ROUND(100/H97*I97-100,1)&gt;999,999,-999)))</f>
        <v>68.099999999999994</v>
      </c>
    </row>
    <row r="98" spans="1:10" ht="15.75" customHeight="1" x14ac:dyDescent="0.2">
      <c r="A98" s="21" t="s">
        <v>480</v>
      </c>
      <c r="B98" s="44">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Liv'!B98+'Sparebank 1'!B98+'Storebrand Livsforsikring'!B98+'Telenor Forsikring'!B98+'Tryg Forsikring'!B98</f>
        <v>368737060.62594545</v>
      </c>
      <c r="C98" s="44">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Liv'!C98+'Sparebank 1'!C98+'Storebrand Livsforsikring'!C98+'Telenor Forsikring'!C98+'Tryg Forsikring'!C98</f>
        <v>374665138.13723159</v>
      </c>
      <c r="D98" s="23">
        <f t="shared" si="28"/>
        <v>1.6</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Liv'!F98+'Sparebank 1'!F98+'Storebrand Livsforsikring'!F98+'Telenor Forsikring'!F98+'Tryg Forsikring'!F98</f>
        <v>188652467.63933998</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Liv'!G98+'Sparebank 1'!G98+'Storebrand Livsforsikring'!G98+'Telenor Forsikring'!G98+'Tryg Forsikring'!G98</f>
        <v>233066930.90200159</v>
      </c>
      <c r="G98" s="183">
        <f t="shared" si="29"/>
        <v>23.5</v>
      </c>
      <c r="H98" s="253">
        <f t="shared" si="42"/>
        <v>557389528.26528549</v>
      </c>
      <c r="I98" s="253">
        <f t="shared" si="43"/>
        <v>607732069.03923321</v>
      </c>
      <c r="J98" s="23">
        <f t="shared" si="32"/>
        <v>9</v>
      </c>
    </row>
    <row r="99" spans="1:10" ht="15.75" customHeight="1" x14ac:dyDescent="0.2">
      <c r="A99" s="21" t="s">
        <v>9</v>
      </c>
      <c r="B99" s="44">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Liv'!B99+'Sparebank 1'!B99+'Storebrand Livsforsikring'!B99+'Telenor Forsikring'!B99+'Tryg Forsikring'!B99</f>
        <v>366516327.33707941</v>
      </c>
      <c r="C99" s="44">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Liv'!C99+'Sparebank 1'!C99+'Storebrand Livsforsikring'!C99+'Telenor Forsikring'!C99+'Tryg Forsikring'!C99</f>
        <v>371983792.64725566</v>
      </c>
      <c r="D99" s="23">
        <f t="shared" si="28"/>
        <v>1.5</v>
      </c>
      <c r="E99" s="44">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Liv'!F99+'Sparebank 1'!F99+'Storebrand Livsforsikring'!F99+'Telenor Forsikring'!F99+'Tryg Forsikring'!F99</f>
        <v>0</v>
      </c>
      <c r="F99" s="44">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Liv'!G99+'Sparebank 1'!G99+'Storebrand Livsforsikring'!G99+'Telenor Forsikring'!G99+'Tryg Forsikring'!G99</f>
        <v>0</v>
      </c>
      <c r="G99" s="183"/>
      <c r="H99" s="253">
        <f t="shared" si="42"/>
        <v>366516327.33707941</v>
      </c>
      <c r="I99" s="253">
        <f t="shared" si="43"/>
        <v>371983792.64725566</v>
      </c>
      <c r="J99" s="23">
        <f t="shared" si="32"/>
        <v>1.5</v>
      </c>
    </row>
    <row r="100" spans="1:10" ht="15.75" customHeight="1" x14ac:dyDescent="0.2">
      <c r="A100" s="21" t="s">
        <v>10</v>
      </c>
      <c r="B100" s="44">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Pensjonsforsikring'!B100+'SHB Liv'!B100+'Sparebank 1'!B100+'Storebrand Livsforsikring'!B100+'Telenor Forsikring'!B100+'Tryg Forsikring'!B100</f>
        <v>2220733.2888660301</v>
      </c>
      <c r="C100" s="44">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Pensjonsforsikring'!C100+'SHB Liv'!C100+'Sparebank 1'!C100+'Storebrand Livsforsikring'!C100+'Telenor Forsikring'!C100+'Tryg Forsikring'!C100</f>
        <v>2681345.48997594</v>
      </c>
      <c r="D100" s="23">
        <f t="shared" si="28"/>
        <v>20.7</v>
      </c>
      <c r="E100" s="44">
        <f>'ACE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Pensjonsforsikring'!F100+'SHB Liv'!F100+'Sparebank 1'!F100+'Storebrand Livsforsikring'!F100+'Telenor Forsikring'!F100+'Tryg Forsikring'!F100</f>
        <v>188652467.63933998</v>
      </c>
      <c r="F100" s="44">
        <f>'ACE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Pensjonsforsikring'!G100+'SHB Liv'!G100+'Sparebank 1'!G100+'Storebrand Livsforsikring'!G100+'Telenor Forsikring'!G100+'Tryg Forsikring'!G100</f>
        <v>233066930.90200159</v>
      </c>
      <c r="G100" s="183">
        <f t="shared" si="29"/>
        <v>23.5</v>
      </c>
      <c r="H100" s="253">
        <f t="shared" si="42"/>
        <v>190873200.92820603</v>
      </c>
      <c r="I100" s="253">
        <f t="shared" si="43"/>
        <v>235748276.39197752</v>
      </c>
      <c r="J100" s="23">
        <f t="shared" si="32"/>
        <v>23.5</v>
      </c>
    </row>
    <row r="101" spans="1:10" ht="15.75" customHeight="1" x14ac:dyDescent="0.2">
      <c r="A101" s="729" t="s">
        <v>478</v>
      </c>
      <c r="B101" s="44"/>
      <c r="C101" s="44"/>
      <c r="D101" s="27" t="str">
        <f t="shared" ref="D101:D106" si="50">IF($A$1=4,IF(B101=0, "    ---- ", IF(ABS(ROUND(100/B101*C101-100,1))&lt;999,ROUND(100/B101*C101-100,1),IF(ROUND(100/B101*C101-100,1)&gt;999,999,-999))),"")</f>
        <v/>
      </c>
      <c r="E101" s="44"/>
      <c r="F101" s="44"/>
      <c r="G101" s="183" t="str">
        <f t="shared" ref="G101:G106" si="51">IF($A$1=4,IF(E101=0, "    ---- ", IF(ABS(ROUND(100/E101*F101-100,1))&lt;999,ROUND(100/E101*F101-100,1),IF(ROUND(100/E101*F101-100,1)&gt;999,999,-999))),"")</f>
        <v/>
      </c>
      <c r="H101" s="253">
        <f t="shared" si="42"/>
        <v>0</v>
      </c>
      <c r="I101" s="253">
        <f t="shared" si="43"/>
        <v>0</v>
      </c>
      <c r="J101" s="23"/>
    </row>
    <row r="102" spans="1:10" ht="15.75" customHeight="1" x14ac:dyDescent="0.2">
      <c r="A102" s="729" t="s">
        <v>12</v>
      </c>
      <c r="B102" s="251"/>
      <c r="C102" s="251"/>
      <c r="D102" s="27" t="str">
        <f t="shared" si="50"/>
        <v/>
      </c>
      <c r="E102" s="251"/>
      <c r="F102" s="251"/>
      <c r="G102" s="183" t="str">
        <f t="shared" si="51"/>
        <v/>
      </c>
      <c r="H102" s="253">
        <f t="shared" si="42"/>
        <v>0</v>
      </c>
      <c r="I102" s="253">
        <f t="shared" si="43"/>
        <v>0</v>
      </c>
      <c r="J102" s="23"/>
    </row>
    <row r="103" spans="1:10" ht="15.75" customHeight="1" x14ac:dyDescent="0.2">
      <c r="A103" s="729" t="s">
        <v>13</v>
      </c>
      <c r="B103" s="251"/>
      <c r="C103" s="251"/>
      <c r="D103" s="27" t="str">
        <f t="shared" si="50"/>
        <v/>
      </c>
      <c r="E103" s="251"/>
      <c r="F103" s="251"/>
      <c r="G103" s="183" t="str">
        <f t="shared" si="51"/>
        <v/>
      </c>
      <c r="H103" s="253">
        <f t="shared" si="42"/>
        <v>0</v>
      </c>
      <c r="I103" s="253">
        <f t="shared" si="43"/>
        <v>0</v>
      </c>
      <c r="J103" s="23"/>
    </row>
    <row r="104" spans="1:10" ht="15.75" customHeight="1" x14ac:dyDescent="0.2">
      <c r="A104" s="729" t="s">
        <v>479</v>
      </c>
      <c r="B104" s="44"/>
      <c r="C104" s="44"/>
      <c r="D104" s="27" t="str">
        <f t="shared" si="50"/>
        <v/>
      </c>
      <c r="E104" s="44"/>
      <c r="F104" s="44"/>
      <c r="G104" s="183" t="str">
        <f t="shared" si="51"/>
        <v/>
      </c>
      <c r="H104" s="253">
        <f t="shared" si="42"/>
        <v>0</v>
      </c>
      <c r="I104" s="253">
        <f t="shared" si="43"/>
        <v>0</v>
      </c>
      <c r="J104" s="23"/>
    </row>
    <row r="105" spans="1:10" ht="15.75" customHeight="1" x14ac:dyDescent="0.2">
      <c r="A105" s="729" t="s">
        <v>12</v>
      </c>
      <c r="B105" s="251"/>
      <c r="C105" s="251"/>
      <c r="D105" s="27" t="str">
        <f t="shared" si="50"/>
        <v/>
      </c>
      <c r="E105" s="251"/>
      <c r="F105" s="251"/>
      <c r="G105" s="183" t="str">
        <f t="shared" si="51"/>
        <v/>
      </c>
      <c r="H105" s="253">
        <f t="shared" si="42"/>
        <v>0</v>
      </c>
      <c r="I105" s="253">
        <f t="shared" si="43"/>
        <v>0</v>
      </c>
      <c r="J105" s="23"/>
    </row>
    <row r="106" spans="1:10" ht="15.75" customHeight="1" x14ac:dyDescent="0.2">
      <c r="A106" s="729" t="s">
        <v>13</v>
      </c>
      <c r="B106" s="251"/>
      <c r="C106" s="251"/>
      <c r="D106" s="27" t="str">
        <f t="shared" si="50"/>
        <v/>
      </c>
      <c r="E106" s="251"/>
      <c r="F106" s="251"/>
      <c r="G106" s="183" t="str">
        <f t="shared" si="51"/>
        <v/>
      </c>
      <c r="H106" s="253">
        <f t="shared" si="42"/>
        <v>0</v>
      </c>
      <c r="I106" s="253">
        <f t="shared" si="43"/>
        <v>0</v>
      </c>
      <c r="J106" s="23"/>
    </row>
    <row r="107" spans="1:10" ht="15.75" customHeight="1" x14ac:dyDescent="0.2">
      <c r="A107" s="21" t="s">
        <v>481</v>
      </c>
      <c r="B107" s="44">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Pensjonsforsikring'!B107+'SHB Liv'!B107+'Sparebank 1'!B107+'Storebrand Livsforsikring'!B107+'Telenor Forsikring'!B107+'Tryg Forsikring'!B107</f>
        <v>4888498.0614828411</v>
      </c>
      <c r="C107" s="44">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Pensjonsforsikring'!C107+'SHB Liv'!C107+'Sparebank 1'!C107+'Storebrand Livsforsikring'!C107+'Telenor Forsikring'!C107+'Tryg Forsikring'!C107</f>
        <v>4918495.8550000004</v>
      </c>
      <c r="D107" s="23">
        <f t="shared" si="28"/>
        <v>0.6</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Pensjonsforsikring'!F107+'SHB Liv'!F107+'Sparebank 1'!F107+'Storebrand Livsforsikring'!F107+'Telenor Forsikring'!F107+'Tryg Forsikring'!F107</f>
        <v>497095.60875999992</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Pensjonsforsikring'!G107+'SHB Liv'!G107+'Sparebank 1'!G107+'Storebrand Livsforsikring'!G107+'Telenor Forsikring'!G107+'Tryg Forsikring'!G107</f>
        <v>612272.71253999998</v>
      </c>
      <c r="G107" s="183">
        <f t="shared" si="29"/>
        <v>23.2</v>
      </c>
      <c r="H107" s="253">
        <f t="shared" si="42"/>
        <v>5385593.6702428414</v>
      </c>
      <c r="I107" s="253">
        <f t="shared" si="43"/>
        <v>5530768.5675400002</v>
      </c>
      <c r="J107" s="23">
        <f t="shared" si="32"/>
        <v>2.7</v>
      </c>
    </row>
    <row r="108" spans="1:10" ht="15.75" customHeight="1" x14ac:dyDescent="0.2">
      <c r="A108" s="21" t="s">
        <v>482</v>
      </c>
      <c r="B108" s="44">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Pensjonsforsikring'!B108+'SHB Liv'!B108+'Sparebank 1'!B108+'Storebrand Livsforsikring'!B108+'Telenor Forsikring'!B108+'Tryg Forsikring'!B108</f>
        <v>289405000.67765999</v>
      </c>
      <c r="C108" s="44">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Pensjonsforsikring'!C108+'SHB Liv'!C108+'Sparebank 1'!C108+'Storebrand Livsforsikring'!C108+'Telenor Forsikring'!C108+'Tryg Forsikring'!C108</f>
        <v>307256054.60711461</v>
      </c>
      <c r="D108" s="23">
        <f t="shared" si="28"/>
        <v>6.2</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Pensjonsforsikring'!F108+'SHB Liv'!F108+'Sparebank 1'!F108+'Storebrand Livsforsikring'!F108+'Telenor Forsikring'!F108+'Tryg Forsikring'!F108</f>
        <v>6196244.5180000002</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Pensjonsforsikring'!G108+'SHB Liv'!G108+'Sparebank 1'!G108+'Storebrand Livsforsikring'!G108+'Telenor Forsikring'!G108+'Tryg Forsikring'!G108</f>
        <v>15431012.396</v>
      </c>
      <c r="G108" s="183">
        <f t="shared" si="29"/>
        <v>149</v>
      </c>
      <c r="H108" s="253">
        <f t="shared" si="42"/>
        <v>295601245.19566</v>
      </c>
      <c r="I108" s="253">
        <f t="shared" si="43"/>
        <v>322687067.00311464</v>
      </c>
      <c r="J108" s="23">
        <f t="shared" si="32"/>
        <v>9.1999999999999993</v>
      </c>
    </row>
    <row r="109" spans="1:10" ht="15.75" customHeight="1" x14ac:dyDescent="0.2">
      <c r="A109" s="21" t="s">
        <v>483</v>
      </c>
      <c r="B109" s="44">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Pensjonsforsikring'!B109+'SHB Liv'!B109+'Sparebank 1'!B109+'Storebrand Livsforsikring'!B109+'Telenor Forsikring'!B109+'Tryg Forsikring'!B109</f>
        <v>824166.36138999998</v>
      </c>
      <c r="C109" s="44">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Pensjonsforsikring'!C109+'SHB Liv'!C109+'Sparebank 1'!C109+'Storebrand Livsforsikring'!C109+'Telenor Forsikring'!C109+'Tryg Forsikring'!C109</f>
        <v>1056503.2213189979</v>
      </c>
      <c r="D109" s="23">
        <f t="shared" si="28"/>
        <v>28.2</v>
      </c>
      <c r="E109" s="44">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Pensjonsforsikring'!F109+'SHB Liv'!F109+'Sparebank 1'!F109+'Storebrand Livsforsikring'!F109+'Telenor Forsikring'!F109+'Tryg Forsikring'!F109</f>
        <v>60437881.584696203</v>
      </c>
      <c r="F109" s="44">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Pensjonsforsikring'!G109+'SHB Liv'!G109+'Sparebank 1'!G109+'Storebrand Livsforsikring'!G109+'Telenor Forsikring'!G109+'Tryg Forsikring'!G109</f>
        <v>74008620.136784807</v>
      </c>
      <c r="G109" s="183">
        <f t="shared" si="29"/>
        <v>22.5</v>
      </c>
      <c r="H109" s="253">
        <f t="shared" si="42"/>
        <v>61262047.946086206</v>
      </c>
      <c r="I109" s="253">
        <f t="shared" si="43"/>
        <v>75065123.358103812</v>
      </c>
      <c r="J109" s="23">
        <f t="shared" si="32"/>
        <v>22.5</v>
      </c>
    </row>
    <row r="110" spans="1:10" ht="15.75" customHeight="1" x14ac:dyDescent="0.2">
      <c r="A110" s="21" t="s">
        <v>484</v>
      </c>
      <c r="B110" s="44">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Pensjonsforsikring'!B110+'SHB Liv'!B110+'Sparebank 1'!B110+'Storebrand Livsforsikring'!B110+'Telenor Forsikring'!B110+'Tryg Forsikring'!B110</f>
        <v>5477.07827</v>
      </c>
      <c r="C110" s="44">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Pensjonsforsikring'!C110+'SHB Liv'!C110+'Sparebank 1'!C110+'Storebrand Livsforsikring'!C110+'Telenor Forsikring'!C110+'Tryg Forsikring'!C110</f>
        <v>54816.607929999998</v>
      </c>
      <c r="D110" s="23">
        <f t="shared" si="28"/>
        <v>900.8</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Pensjonsforsikring'!F110+'SHB Liv'!F110+'Sparebank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Pensjonsforsikring'!G110+'SHB Liv'!G110+'Sparebank 1'!G110+'Storebrand Livsforsikring'!G110+'Telenor Forsikring'!G110+'Tryg Forsikring'!G110</f>
        <v>0</v>
      </c>
      <c r="G110" s="183"/>
      <c r="H110" s="253">
        <f t="shared" si="42"/>
        <v>5477.07827</v>
      </c>
      <c r="I110" s="253">
        <f t="shared" si="43"/>
        <v>54816.607929999998</v>
      </c>
      <c r="J110" s="23">
        <f t="shared" si="32"/>
        <v>900.8</v>
      </c>
    </row>
    <row r="111" spans="1:10" s="43" customFormat="1" ht="15.75" customHeight="1" x14ac:dyDescent="0.2">
      <c r="A111" s="13" t="s">
        <v>467</v>
      </c>
      <c r="B111" s="252">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Pensjonsforsikring'!B111+'SHB Liv'!B111+'Sparebank 1'!B111+'Storebrand Livsforsikring'!B111+'Telenor Forsikring'!B111+'Tryg Forsikring'!B111</f>
        <v>276247.89504999999</v>
      </c>
      <c r="C111" s="252">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Pensjonsforsikring'!C111+'SHB Liv'!C111+'Sparebank 1'!C111+'Storebrand Livsforsikring'!C111+'Telenor Forsikring'!C111+'Tryg Forsikring'!C111</f>
        <v>443861.89147000003</v>
      </c>
      <c r="D111" s="24">
        <f t="shared" si="28"/>
        <v>60.7</v>
      </c>
      <c r="E111" s="252">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Pensjonsforsikring'!F111+'SHB Liv'!F111+'Sparebank 1'!F111+'Storebrand Livsforsikring'!F111+'Telenor Forsikring'!F111+'Tryg Forsikring'!F111</f>
        <v>4454459.9280399997</v>
      </c>
      <c r="F111" s="252">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Pensjonsforsikring'!G111+'SHB Liv'!G111+'Sparebank 1'!G111+'Storebrand Livsforsikring'!G111+'Telenor Forsikring'!G111+'Tryg Forsikring'!G111</f>
        <v>4800049.0777200004</v>
      </c>
      <c r="G111" s="188">
        <f t="shared" si="29"/>
        <v>7.8</v>
      </c>
      <c r="H111" s="362">
        <f t="shared" si="42"/>
        <v>4730707.8230900001</v>
      </c>
      <c r="I111" s="362">
        <f t="shared" si="43"/>
        <v>5243910.9691900006</v>
      </c>
      <c r="J111" s="24">
        <f t="shared" si="32"/>
        <v>10.8</v>
      </c>
    </row>
    <row r="112" spans="1:10" ht="15.75" customHeight="1" x14ac:dyDescent="0.2">
      <c r="A112" s="21" t="s">
        <v>9</v>
      </c>
      <c r="B112" s="44">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Pensjonsforsikring'!B112+'SHB Liv'!B112+'Sparebank 1'!B112+'Storebrand Livsforsikring'!B112+'Telenor Forsikring'!B112+'Tryg Forsikring'!B112</f>
        <v>276034.59305000002</v>
      </c>
      <c r="C112" s="44">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Pensjonsforsikring'!C112+'SHB Liv'!C112+'Sparebank 1'!C112+'Storebrand Livsforsikring'!C112+'Telenor Forsikring'!C112+'Tryg Forsikring'!C112</f>
        <v>428983.21401</v>
      </c>
      <c r="D112" s="23">
        <f t="shared" ref="D112:D125" si="52">IF(B112=0, "    ---- ", IF(ABS(ROUND(100/B112*C112-100,1))&lt;999,ROUND(100/B112*C112-100,1),IF(ROUND(100/B112*C112-100,1)&gt;999,999,-999)))</f>
        <v>55.4</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Pensjonsforsikring'!F112+'SHB Liv'!F112+'Sparebank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Pensjonsforsikring'!G112+'SHB Liv'!G112+'Sparebank 1'!G112+'Storebrand Livsforsikring'!G112+'Telenor Forsikring'!G112+'Tryg Forsikring'!G112</f>
        <v>244.72200000000001</v>
      </c>
      <c r="G112" s="183" t="str">
        <f t="shared" ref="G112:G125" si="53">IF(E112=0, "    ---- ", IF(ABS(ROUND(100/E112*F112-100,1))&lt;999,ROUND(100/E112*F112-100,1),IF(ROUND(100/E112*F112-100,1)&gt;999,999,-999)))</f>
        <v xml:space="preserve">    ---- </v>
      </c>
      <c r="H112" s="253">
        <f t="shared" ref="H112:H125" si="54">SUM(B112,E112)</f>
        <v>276034.59305000002</v>
      </c>
      <c r="I112" s="253">
        <f t="shared" ref="I112:I125" si="55">SUM(C112,F112)</f>
        <v>429227.93601</v>
      </c>
      <c r="J112" s="23">
        <f t="shared" ref="J112:J125" si="56">IF(H112=0, "    ---- ", IF(ABS(ROUND(100/H112*I112-100,1))&lt;999,ROUND(100/H112*I112-100,1),IF(ROUND(100/H112*I112-100,1)&gt;999,999,-999)))</f>
        <v>55.5</v>
      </c>
    </row>
    <row r="113" spans="1:10" ht="15.75" customHeight="1" x14ac:dyDescent="0.2">
      <c r="A113" s="21" t="s">
        <v>10</v>
      </c>
      <c r="B113" s="44">
        <f>'ACE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Pensjonsforsikring'!B113+'SHB Liv'!B113+'Sparebank 1'!B113+'Storebrand Livsforsikring'!B113+'Telenor Forsikring'!B113+'Tryg Forsikring'!B113</f>
        <v>213.30200000000002</v>
      </c>
      <c r="C113" s="44">
        <f>'ACE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Pensjonsforsikring'!C113+'SHB Liv'!C113+'Sparebank 1'!C113+'Storebrand Livsforsikring'!C113+'Telenor Forsikring'!C113+'Tryg Forsikring'!C113</f>
        <v>0</v>
      </c>
      <c r="D113" s="23">
        <f t="shared" si="52"/>
        <v>-100</v>
      </c>
      <c r="E113" s="44">
        <f>'ACE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Pensjonsforsikring'!F113+'SHB Liv'!F113+'Sparebank 1'!F113+'Storebrand Livsforsikring'!F113+'Telenor Forsikring'!F113+'Tryg Forsikring'!F113</f>
        <v>4454459.9280399997</v>
      </c>
      <c r="F113" s="44">
        <f>'ACE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Pensjonsforsikring'!G113+'SHB Liv'!G113+'Sparebank 1'!G113+'Storebrand Livsforsikring'!G113+'Telenor Forsikring'!G113+'Tryg Forsikring'!G113</f>
        <v>4786241.4977200003</v>
      </c>
      <c r="G113" s="188">
        <f t="shared" si="53"/>
        <v>7.4</v>
      </c>
      <c r="H113" s="253">
        <f t="shared" si="54"/>
        <v>4454673.2300399998</v>
      </c>
      <c r="I113" s="253">
        <f t="shared" si="55"/>
        <v>4786241.4977200003</v>
      </c>
      <c r="J113" s="24">
        <f t="shared" si="56"/>
        <v>7.4</v>
      </c>
    </row>
    <row r="114" spans="1:10" ht="15.75" customHeight="1" x14ac:dyDescent="0.2">
      <c r="A114" s="21" t="s">
        <v>27</v>
      </c>
      <c r="B114" s="44">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Pensjonsforsikring'!B114+'SHB Liv'!B114+'Sparebank 1'!B114+'Storebrand Livsforsikring'!B114+'Telenor Forsikring'!B114+'Tryg Forsikring'!B114</f>
        <v>0</v>
      </c>
      <c r="C114" s="44">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Pensjonsforsikring'!C114+'SHB Liv'!C114+'Sparebank 1'!C114+'Storebrand Livsforsikring'!C114+'Telenor Forsikring'!C114+'Tryg Forsikring'!C114</f>
        <v>14878.677459999999</v>
      </c>
      <c r="D114" s="23" t="str">
        <f t="shared" si="52"/>
        <v xml:space="preserve">    ---- </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Pensjonsforsikring'!F114+'SHB Liv'!F114+'Sparebank 1'!F114+'Storebrand Livsforsikring'!F114+'Telenor Forsikring'!F114+'Tryg Forsikring'!F114</f>
        <v>0</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Pensjonsforsikring'!G114+'SHB Liv'!G114+'Sparebank 1'!G114+'Storebrand Livsforsikring'!G114+'Telenor Forsikring'!G114+'Tryg Forsikring'!G114</f>
        <v>13562.858</v>
      </c>
      <c r="G114" s="188" t="str">
        <f t="shared" si="53"/>
        <v xml:space="preserve">    ---- </v>
      </c>
      <c r="H114" s="253">
        <f t="shared" si="54"/>
        <v>0</v>
      </c>
      <c r="I114" s="253">
        <f t="shared" si="55"/>
        <v>28441.535459999999</v>
      </c>
      <c r="J114" s="23" t="str">
        <f t="shared" si="56"/>
        <v xml:space="preserve">    ---- </v>
      </c>
    </row>
    <row r="115" spans="1:10" ht="15.75" customHeight="1" x14ac:dyDescent="0.2">
      <c r="A115" s="729" t="s">
        <v>15</v>
      </c>
      <c r="B115" s="44" t="str">
        <f>IF($A$1=4,'ACE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AS'!B115+'Landbruksforsikring AS'!B115+'NEMI Forsikring'!B115+'Nordea Liv '!B115+'Oslo Pensjonsforsikring'!B115+'SHB Liv'!B115+#REF!+'Sparebank 1'!B115+'Storebrand Livsforsikring'!B115+'Telenor Forsikring'!B115+'Tryg Forsikring'!B115,"")</f>
        <v/>
      </c>
      <c r="C115" s="44" t="str">
        <f>IF($A$1=4,'ACE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AS'!C115+'Landbruksforsikring AS'!C115+'NEMI Forsikring'!C115+'Nordea Liv '!C115+'Oslo Pensjonsforsikring'!C115+'SHB Liv'!C115+#REF!+'Sparebank 1'!C115+'Storebrand Livsforsikring'!C115+'Telenor Forsikring'!C115+'Tryg Forsikring'!C115,"")</f>
        <v/>
      </c>
      <c r="D115" s="27" t="str">
        <f>IF($A$1=4,IF(B115=0, "    ---- ", IF(ABS(ROUND(100/B115*C115-100,1))&lt;999,ROUND(100/B115*C115-100,1),IF(ROUND(100/B115*C115-100,1)&gt;999,999,-999))),"")</f>
        <v/>
      </c>
      <c r="E115" s="44" t="str">
        <f>IF($A$1=4,'ACE European Group'!E115+'Danica Pensjonsforsikring'!E115+'DNB Livsforsikring'!E115+'Eika Forsikring AS'!E115+'Frende Livsforsikring'!E115+'Frende Skadeforsikring'!E115+'Gjensidige Forsikring'!E115+'Gjensidige Pensjon'!E115+'Handelsbanken Liv'!E115+'If Skadeforsikring NUF'!E115+KLP!E115+'KLP Bedriftspensjon AS'!E115+'KLP Skadeforsikring AS'!E115+'Landbruksforsikring AS'!E115+'NEMI Forsikring'!E115+'Nordea Liv '!E115+'Oslo Pensjonsforsikring'!E115+'SHB Liv'!E115+#REF!+'Sparebank 1'!E115+'Storebrand Livsforsikring'!E115+'Telenor Forsikring'!E115+'Tryg Forsikring'!E115,"")</f>
        <v/>
      </c>
      <c r="F115" s="44" t="str">
        <f>IF($A$1=4,'ACE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AS'!F115+'Landbruksforsikring AS'!F115+'NEMI Forsikring'!F115+'Nordea Liv '!F115+'Oslo Pensjonsforsikring'!F115+'SHB Liv'!F115+#REF!+'Sparebank 1'!F115+'Storebrand Livsforsikring'!F115+'Telenor Forsikring'!F115+'Tryg Forsikring'!F115,"")</f>
        <v/>
      </c>
      <c r="G115" s="183" t="str">
        <f>IF($A$1=4,IF(E115=0, "    ---- ", IF(ABS(ROUND(100/E115*F115-100,1))&lt;999,ROUND(100/E115*F115-100,1),IF(ROUND(100/E115*F115-100,1)&gt;999,999,-999))),"")</f>
        <v/>
      </c>
      <c r="H115" s="253">
        <f t="shared" si="54"/>
        <v>0</v>
      </c>
      <c r="I115" s="253">
        <f t="shared" si="55"/>
        <v>0</v>
      </c>
      <c r="J115" s="23"/>
    </row>
    <row r="116" spans="1:10" ht="15.75" customHeight="1" x14ac:dyDescent="0.2">
      <c r="A116" s="21" t="s">
        <v>482</v>
      </c>
      <c r="B116" s="44">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Pensjonsforsikring'!B116+'SHB Liv'!B116+'Sparebank 1'!B116+'Storebrand Livsforsikring'!B116+'Telenor Forsikring'!B116+'Tryg Forsikring'!B116</f>
        <v>25899.575440000001</v>
      </c>
      <c r="C116" s="44">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Pensjonsforsikring'!C116+'SHB Liv'!C116+'Sparebank 1'!C116+'Storebrand Livsforsikring'!C116+'Telenor Forsikring'!C116+'Tryg Forsikring'!C116</f>
        <v>46339.973810000003</v>
      </c>
      <c r="D116" s="23">
        <f t="shared" si="52"/>
        <v>78.900000000000006</v>
      </c>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Pensjonsforsikring'!F116+'SHB Liv'!F116+'Sparebank 1'!F116+'Storebrand Livsforsikring'!F116+'Telenor Forsikring'!F116+'Tryg Forsikring'!F116</f>
        <v>7049.1859999999997</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Pensjonsforsikring'!G116+'SHB Liv'!G116+'Sparebank 1'!G116+'Storebrand Livsforsikring'!G116+'Telenor Forsikring'!G116+'Tryg Forsikring'!G116</f>
        <v>550.54600000000005</v>
      </c>
      <c r="G116" s="183">
        <f t="shared" si="53"/>
        <v>-92.2</v>
      </c>
      <c r="H116" s="253">
        <f t="shared" si="54"/>
        <v>32948.761440000002</v>
      </c>
      <c r="I116" s="253">
        <f t="shared" si="55"/>
        <v>46890.519810000005</v>
      </c>
      <c r="J116" s="23">
        <f t="shared" si="56"/>
        <v>42.3</v>
      </c>
    </row>
    <row r="117" spans="1:10" ht="15.75" customHeight="1" x14ac:dyDescent="0.2">
      <c r="A117" s="21" t="s">
        <v>483</v>
      </c>
      <c r="B117" s="44">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Pensjonsforsikring'!B117+'SHB Liv'!B117+'Sparebank 1'!B117+'Storebrand Livsforsikring'!B117+'Telenor Forsikring'!B117+'Tryg Forsikring'!B117</f>
        <v>0</v>
      </c>
      <c r="C117" s="44">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Pensjonsforsikring'!C117+'SHB Liv'!C117+'Sparebank 1'!C117+'Storebrand Livsforsikring'!C117+'Telenor Forsikring'!C117+'Tryg Forsikring'!C117</f>
        <v>0</v>
      </c>
      <c r="D117" s="23"/>
      <c r="E117" s="44">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Pensjonsforsikring'!F117+'SHB Liv'!F117+'Sparebank 1'!F117+'Storebrand Livsforsikring'!F117+'Telenor Forsikring'!F117+'Tryg Forsikring'!F117</f>
        <v>389321.39397999999</v>
      </c>
      <c r="F117" s="44">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Pensjonsforsikring'!G117+'SHB Liv'!G117+'Sparebank 1'!G117+'Storebrand Livsforsikring'!G117+'Telenor Forsikring'!G117+'Tryg Forsikring'!G117</f>
        <v>498398.59233999997</v>
      </c>
      <c r="G117" s="183">
        <f t="shared" si="53"/>
        <v>28</v>
      </c>
      <c r="H117" s="253">
        <f t="shared" si="54"/>
        <v>389321.39397999999</v>
      </c>
      <c r="I117" s="253">
        <f t="shared" si="55"/>
        <v>498398.59233999997</v>
      </c>
      <c r="J117" s="23">
        <f t="shared" si="56"/>
        <v>28</v>
      </c>
    </row>
    <row r="118" spans="1:10" ht="15.75" customHeight="1" x14ac:dyDescent="0.2">
      <c r="A118" s="21" t="s">
        <v>484</v>
      </c>
      <c r="B118" s="44">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Pensjonsforsikring'!B118+'SHB Liv'!B118+'Sparebank 1'!B118+'Storebrand Livsforsikring'!B118+'Telenor Forsikring'!B118+'Tryg Forsikring'!B118</f>
        <v>0</v>
      </c>
      <c r="C118" s="44">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Pensjonsforsikring'!C118+'SHB Liv'!C118+'Sparebank 1'!C118+'Storebrand Livsforsikring'!C118+'Telenor Forsikring'!C118+'Tryg Forsikring'!C118</f>
        <v>2448.72622</v>
      </c>
      <c r="D118" s="23" t="str">
        <f t="shared" si="52"/>
        <v xml:space="preserve">    ---- </v>
      </c>
      <c r="E118" s="44">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Pensjonsforsikring'!F118+'SHB Liv'!F118+'Sparebank 1'!F118+'Storebrand Livsforsikring'!F118+'Telenor Forsikring'!F118+'Tryg Forsikring'!F118</f>
        <v>0</v>
      </c>
      <c r="F118" s="44">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Pensjonsforsikring'!G118+'SHB Liv'!G118+'Sparebank 1'!G118+'Storebrand Livsforsikring'!G118+'Telenor Forsikring'!G118+'Tryg Forsikring'!G118</f>
        <v>0</v>
      </c>
      <c r="G118" s="183"/>
      <c r="H118" s="253">
        <f t="shared" si="54"/>
        <v>0</v>
      </c>
      <c r="I118" s="253">
        <f t="shared" si="55"/>
        <v>2448.72622</v>
      </c>
      <c r="J118" s="23" t="str">
        <f t="shared" si="56"/>
        <v xml:space="preserve">    ---- </v>
      </c>
    </row>
    <row r="119" spans="1:10" s="43" customFormat="1" ht="15.75" customHeight="1" x14ac:dyDescent="0.2">
      <c r="A119" s="13" t="s">
        <v>468</v>
      </c>
      <c r="B119" s="252">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Pensjonsforsikring'!B119+'SHB Liv'!B119+'Sparebank 1'!B119+'Storebrand Livsforsikring'!B119+'Telenor Forsikring'!B119+'Tryg Forsikring'!B119</f>
        <v>280519.07824</v>
      </c>
      <c r="C119" s="252">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Pensjonsforsikring'!C119+'SHB Liv'!C119+'Sparebank 1'!C119+'Storebrand Livsforsikring'!C119+'Telenor Forsikring'!C119+'Tryg Forsikring'!C119</f>
        <v>170176.22447999968</v>
      </c>
      <c r="D119" s="24">
        <f t="shared" si="52"/>
        <v>-39.299999999999997</v>
      </c>
      <c r="E119" s="252">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Pensjonsforsikring'!F119+'SHB Liv'!F119+'Sparebank 1'!F119+'Storebrand Livsforsikring'!F119+'Telenor Forsikring'!F119+'Tryg Forsikring'!F119</f>
        <v>4453830.9808799997</v>
      </c>
      <c r="F119" s="252">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Pensjonsforsikring'!G119+'SHB Liv'!G119+'Sparebank 1'!G119+'Storebrand Livsforsikring'!G119+'Telenor Forsikring'!G119+'Tryg Forsikring'!G119</f>
        <v>5018920.8331699995</v>
      </c>
      <c r="G119" s="188">
        <f t="shared" si="53"/>
        <v>12.7</v>
      </c>
      <c r="H119" s="362">
        <f t="shared" si="54"/>
        <v>4734350.0591199994</v>
      </c>
      <c r="I119" s="362">
        <f t="shared" si="55"/>
        <v>5189097.0576499989</v>
      </c>
      <c r="J119" s="24">
        <f t="shared" si="56"/>
        <v>9.6</v>
      </c>
    </row>
    <row r="120" spans="1:10" ht="15.75" customHeight="1" x14ac:dyDescent="0.2">
      <c r="A120" s="21" t="s">
        <v>9</v>
      </c>
      <c r="B120" s="44">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Pensjonsforsikring'!B120+'SHB Liv'!B120+'Sparebank 1'!B120+'Storebrand Livsforsikring'!B120+'Telenor Forsikring'!B120+'Tryg Forsikring'!B120</f>
        <v>263703.24699999997</v>
      </c>
      <c r="C120" s="44">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Pensjonsforsikring'!C120+'SHB Liv'!C120+'Sparebank 1'!C120+'Storebrand Livsforsikring'!C120+'Telenor Forsikring'!C120+'Tryg Forsikring'!C120</f>
        <v>115446.4116399997</v>
      </c>
      <c r="D120" s="23">
        <f t="shared" si="52"/>
        <v>-56.2</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Pensjonsforsikring'!F120+'SHB Liv'!F120+'Sparebank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Pensjonsforsikring'!G120+'SHB Liv'!G120+'Sparebank 1'!G120+'Storebrand Livsforsikring'!G120+'Telenor Forsikring'!G120+'Tryg Forsikring'!G120</f>
        <v>0</v>
      </c>
      <c r="G120" s="183"/>
      <c r="H120" s="253">
        <f t="shared" si="54"/>
        <v>263703.24699999997</v>
      </c>
      <c r="I120" s="253">
        <f t="shared" si="55"/>
        <v>115446.4116399997</v>
      </c>
      <c r="J120" s="23">
        <f t="shared" si="56"/>
        <v>-56.2</v>
      </c>
    </row>
    <row r="121" spans="1:10" ht="15.75" customHeight="1" x14ac:dyDescent="0.2">
      <c r="A121" s="21" t="s">
        <v>10</v>
      </c>
      <c r="B121" s="44">
        <f>'ACE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Pensjonsforsikring'!B121+'SHB Liv'!B121+'Sparebank 1'!B121+'Storebrand Livsforsikring'!B121+'Telenor Forsikring'!B121+'Tryg Forsikring'!B121</f>
        <v>16815.83124</v>
      </c>
      <c r="C121" s="44">
        <f>'ACE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Pensjonsforsikring'!C121+'SHB Liv'!C121+'Sparebank 1'!C121+'Storebrand Livsforsikring'!C121+'Telenor Forsikring'!C121+'Tryg Forsikring'!C121</f>
        <v>7400.44049</v>
      </c>
      <c r="D121" s="23">
        <f t="shared" si="52"/>
        <v>-56</v>
      </c>
      <c r="E121" s="44">
        <f>'ACE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Pensjonsforsikring'!F121+'SHB Liv'!F121+'Sparebank 1'!F121+'Storebrand Livsforsikring'!F121+'Telenor Forsikring'!F121+'Tryg Forsikring'!F121</f>
        <v>4453830.9808799997</v>
      </c>
      <c r="F121" s="44">
        <f>'ACE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Pensjonsforsikring'!G121+'SHB Liv'!G121+'Sparebank 1'!G121+'Storebrand Livsforsikring'!G121+'Telenor Forsikring'!G121+'Tryg Forsikring'!G121</f>
        <v>5019068.9641699996</v>
      </c>
      <c r="G121" s="183">
        <f t="shared" si="53"/>
        <v>12.7</v>
      </c>
      <c r="H121" s="253">
        <f t="shared" si="54"/>
        <v>4470646.8121199999</v>
      </c>
      <c r="I121" s="253">
        <f t="shared" si="55"/>
        <v>5026469.4046599995</v>
      </c>
      <c r="J121" s="23">
        <f t="shared" si="56"/>
        <v>12.4</v>
      </c>
    </row>
    <row r="122" spans="1:10" ht="15.75" customHeight="1" x14ac:dyDescent="0.2">
      <c r="A122" s="21" t="s">
        <v>27</v>
      </c>
      <c r="B122" s="44">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Pensjonsforsikring'!B122+'SHB Liv'!B122+'Sparebank 1'!B122+'Storebrand Livsforsikring'!B122+'Telenor Forsikring'!B122+'Tryg Forsikring'!B122</f>
        <v>0</v>
      </c>
      <c r="C122" s="44">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Pensjonsforsikring'!C122+'SHB Liv'!C122+'Sparebank 1'!C122+'Storebrand Livsforsikring'!C122+'Telenor Forsikring'!C122+'Tryg Forsikring'!C122</f>
        <v>47329.372349999998</v>
      </c>
      <c r="D122" s="23" t="str">
        <f t="shared" si="52"/>
        <v xml:space="preserve">    ---- </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Pensjonsforsikring'!F122+'SHB Liv'!F122+'Sparebank 1'!F122+'Storebrand Livsforsikring'!F122+'Telenor Forsikring'!F122+'Tryg Forsikring'!F122</f>
        <v>0</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Pensjonsforsikring'!G122+'SHB Liv'!G122+'Sparebank 1'!G122+'Storebrand Livsforsikring'!G122+'Telenor Forsikring'!G122+'Tryg Forsikring'!G122</f>
        <v>-148.131</v>
      </c>
      <c r="G122" s="183" t="str">
        <f t="shared" si="53"/>
        <v xml:space="preserve">    ---- </v>
      </c>
      <c r="H122" s="253">
        <f t="shared" si="54"/>
        <v>0</v>
      </c>
      <c r="I122" s="253">
        <f t="shared" si="55"/>
        <v>47181.241349999997</v>
      </c>
      <c r="J122" s="23" t="str">
        <f t="shared" si="56"/>
        <v xml:space="preserve">    ---- </v>
      </c>
    </row>
    <row r="123" spans="1:10" ht="15.75" customHeight="1" x14ac:dyDescent="0.2">
      <c r="A123" s="729" t="s">
        <v>14</v>
      </c>
      <c r="B123" s="44" t="str">
        <f>IF($A$1=4,'ACE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AS'!B123+'Landbruksforsikring AS'!B123+'NEMI Forsikring'!B123+'Nordea Liv '!B123+'Oslo Pensjonsforsikring'!B123+'SHB Liv'!B123+#REF!+'Sparebank 1'!B123+'Storebrand Livsforsikring'!B123+'Telenor Forsikring'!B123+'Tryg Forsikring'!B123,"")</f>
        <v/>
      </c>
      <c r="C123" s="44" t="str">
        <f>IF($A$1=4,'ACE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AS'!C123+'Landbruksforsikring AS'!C123+'NEMI Forsikring'!C123+'Nordea Liv '!C123+'Oslo Pensjonsforsikring'!C123+'SHB Liv'!C123+#REF!+'Sparebank 1'!C123+'Storebrand Livsforsikring'!C123+'Telenor Forsikring'!C123+'Tryg Forsikring'!C123,"")</f>
        <v/>
      </c>
      <c r="D123" s="27" t="str">
        <f>IF($A$1=4,IF(B123=0, "    ---- ", IF(ABS(ROUND(100/B123*C123-100,1))&lt;999,ROUND(100/B123*C123-100,1),IF(ROUND(100/B123*C123-100,1)&gt;999,999,-999))),"")</f>
        <v/>
      </c>
      <c r="E123" s="44" t="str">
        <f>IF($A$1=4,'ACE European Group'!E123+'Danica Pensjonsforsikring'!E123+'DNB Livsforsikring'!E123+'Eika Forsikring AS'!E123+'Frende Livsforsikring'!E123+'Frende Skadeforsikring'!E123+'Gjensidige Forsikring'!E123+'Gjensidige Pensjon'!E123+'Handelsbanken Liv'!E123+'If Skadeforsikring NUF'!E123+KLP!E123+'KLP Bedriftspensjon AS'!E123+'KLP Skadeforsikring AS'!E123+'Landbruksforsikring AS'!E123+'NEMI Forsikring'!E123+'Nordea Liv '!E123+'Oslo Pensjonsforsikring'!E123+'SHB Liv'!E123+#REF!+'Sparebank 1'!E123+'Storebrand Livsforsikring'!E123+'Telenor Forsikring'!E123+'Tryg Forsikring'!E123,"")</f>
        <v/>
      </c>
      <c r="F123" s="44" t="str">
        <f>IF($A$1=4,'ACE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AS'!F123+'Landbruksforsikring AS'!F123+'NEMI Forsikring'!F123+'Nordea Liv '!F123+'Oslo Pensjonsforsikring'!F123+'SHB Liv'!F123+#REF!+'Sparebank 1'!F123+'Storebrand Livsforsikring'!F123+'Telenor Forsikring'!F123+'Tryg Forsikring'!F123,"")</f>
        <v/>
      </c>
      <c r="G123" s="183" t="str">
        <f>IF($A$1=4,IF(E123=0, "    ---- ", IF(ABS(ROUND(100/E123*F123-100,1))&lt;999,ROUND(100/E123*F123-100,1),IF(ROUND(100/E123*F123-100,1)&gt;999,999,-999))),"")</f>
        <v/>
      </c>
      <c r="H123" s="253">
        <f t="shared" si="54"/>
        <v>0</v>
      </c>
      <c r="I123" s="253">
        <f t="shared" si="55"/>
        <v>0</v>
      </c>
      <c r="J123" s="23"/>
    </row>
    <row r="124" spans="1:10" ht="15.75" customHeight="1" x14ac:dyDescent="0.2">
      <c r="A124" s="21" t="s">
        <v>482</v>
      </c>
      <c r="B124" s="44">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Pensjonsforsikring'!B124+'SHB Liv'!B124+'Sparebank 1'!B124+'Storebrand Livsforsikring'!B124+'Telenor Forsikring'!B124+'Tryg Forsikring'!B124</f>
        <v>4150.5689999999995</v>
      </c>
      <c r="C124" s="44">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Pensjonsforsikring'!C124+'SHB Liv'!C124+'Sparebank 1'!C124+'Storebrand Livsforsikring'!C124+'Telenor Forsikring'!C124+'Tryg Forsikring'!C124</f>
        <v>33674.014000000003</v>
      </c>
      <c r="D124" s="23">
        <f t="shared" si="52"/>
        <v>711.3</v>
      </c>
      <c r="E124" s="44">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Pensjonsforsikring'!F124+'SHB Liv'!F124+'Sparebank 1'!F124+'Storebrand Livsforsikring'!F124+'Telenor Forsikring'!F124+'Tryg Forsikring'!F124</f>
        <v>5057.1930000000002</v>
      </c>
      <c r="F124" s="44">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Pensjonsforsikring'!G124+'SHB Liv'!G124+'Sparebank 1'!G124+'Storebrand Livsforsikring'!G124+'Telenor Forsikring'!G124+'Tryg Forsikring'!G124</f>
        <v>1219.5930000000001</v>
      </c>
      <c r="G124" s="183">
        <f t="shared" si="53"/>
        <v>-75.900000000000006</v>
      </c>
      <c r="H124" s="253">
        <f t="shared" si="54"/>
        <v>9207.7619999999988</v>
      </c>
      <c r="I124" s="253">
        <f t="shared" si="55"/>
        <v>34893.607000000004</v>
      </c>
      <c r="J124" s="23">
        <f t="shared" si="56"/>
        <v>279</v>
      </c>
    </row>
    <row r="125" spans="1:10" ht="15.75" customHeight="1" x14ac:dyDescent="0.2">
      <c r="A125" s="21" t="s">
        <v>483</v>
      </c>
      <c r="B125" s="44">
        <f>'ACE European Group'!B125+'Danica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AS'!B125+'Landbruksforsikring AS'!B125+'NEMI Forsikring'!B125+'Nordea Liv '!B125+'Oslo Pensjonsforsikring'!B125+'SHB Liv'!B125+'Sparebank 1'!B125+'Storebrand Livsforsikring'!B125+'Telenor Forsikring'!B125+'Tryg Forsikring'!B125</f>
        <v>321.17265000000003</v>
      </c>
      <c r="C125" s="44">
        <f>'ACE European Group'!C125+'Danica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AS'!C125+'Landbruksforsikring AS'!C125+'NEMI Forsikring'!C125+'Nordea Liv '!C125+'Oslo Pensjonsforsikring'!C125+'SHB Liv'!C125+'Sparebank 1'!C125+'Storebrand Livsforsikring'!C125+'Telenor Forsikring'!C125+'Tryg Forsikring'!C125</f>
        <v>656.42762999999991</v>
      </c>
      <c r="D125" s="23">
        <f t="shared" si="52"/>
        <v>104.4</v>
      </c>
      <c r="E125" s="44">
        <f>'ACE European Group'!F125+'Danica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AS'!F125+'Landbruksforsikring AS'!F125+'NEMI Forsikring'!F125+'Nordea Liv '!F125+'Oslo Pensjonsforsikring'!F125+'SHB Liv'!F125+'Sparebank 1'!F125+'Storebrand Livsforsikring'!F125+'Telenor Forsikring'!F125+'Tryg Forsikring'!F125</f>
        <v>447300.46603999997</v>
      </c>
      <c r="F125" s="44">
        <f>'ACE European Group'!G125+'Danica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AS'!G125+'Landbruksforsikring AS'!G125+'NEMI Forsikring'!G125+'Nordea Liv '!G125+'Oslo Pensjonsforsikring'!G125+'SHB Liv'!G125+'Sparebank 1'!G125+'Storebrand Livsforsikring'!G125+'Telenor Forsikring'!G125+'Tryg Forsikring'!G125</f>
        <v>369916.31357999996</v>
      </c>
      <c r="G125" s="183">
        <f t="shared" si="53"/>
        <v>-17.3</v>
      </c>
      <c r="H125" s="253">
        <f t="shared" si="54"/>
        <v>447621.63868999999</v>
      </c>
      <c r="I125" s="253">
        <f t="shared" si="55"/>
        <v>370572.74120999995</v>
      </c>
      <c r="J125" s="23">
        <f t="shared" si="56"/>
        <v>-17.2</v>
      </c>
    </row>
    <row r="126" spans="1:10" ht="15.75" customHeight="1" x14ac:dyDescent="0.2">
      <c r="A126" s="10" t="s">
        <v>484</v>
      </c>
      <c r="B126" s="45">
        <f>'ACE European Group'!B126+'Danica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AS'!B126+'Landbruksforsikring AS'!B126+'NEMI Forsikring'!B126+'Nordea Liv '!B126+'Oslo Pensjonsforsikring'!B126+'SHB Liv'!B126+'Sparebank 1'!B126+'Storebrand Livsforsikring'!B126+'Telenor Forsikring'!B126+'Tryg Forsikring'!B126</f>
        <v>0</v>
      </c>
      <c r="C126" s="45">
        <f>'ACE European Group'!C126+'Danica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AS'!C126+'Landbruksforsikring AS'!C126+'NEMI Forsikring'!C126+'Nordea Liv '!C126+'Oslo Pensjonsforsikring'!C126+'SHB Liv'!C126+'Sparebank 1'!C126+'Storebrand Livsforsikring'!C126+'Telenor Forsikring'!C126+'Tryg Forsikring'!C126</f>
        <v>0</v>
      </c>
      <c r="D126" s="22"/>
      <c r="E126" s="45"/>
      <c r="F126" s="45"/>
      <c r="G126" s="184"/>
      <c r="H126" s="254"/>
      <c r="I126" s="255"/>
      <c r="J126" s="22"/>
    </row>
    <row r="127" spans="1:10" ht="15.75" customHeight="1" x14ac:dyDescent="0.2">
      <c r="A127" s="172"/>
    </row>
    <row r="128" spans="1:10" ht="15.75" customHeight="1" x14ac:dyDescent="0.2">
      <c r="A128" s="166"/>
    </row>
    <row r="129" spans="1:10" ht="15.75" customHeight="1" x14ac:dyDescent="0.25">
      <c r="A129" s="182" t="s">
        <v>28</v>
      </c>
    </row>
    <row r="130" spans="1:10" ht="15.75" customHeight="1" x14ac:dyDescent="0.25">
      <c r="A130" s="166"/>
      <c r="B130" s="750"/>
      <c r="C130" s="750"/>
      <c r="D130" s="750"/>
      <c r="E130" s="750"/>
      <c r="F130" s="750"/>
      <c r="G130" s="750"/>
      <c r="H130" s="750"/>
      <c r="I130" s="750"/>
      <c r="J130" s="750"/>
    </row>
    <row r="131" spans="1:10" s="3" customFormat="1" ht="20.100000000000001" customHeight="1" x14ac:dyDescent="0.2">
      <c r="A131" s="161"/>
      <c r="B131" s="747" t="s">
        <v>0</v>
      </c>
      <c r="C131" s="748"/>
      <c r="D131" s="749"/>
      <c r="E131" s="748" t="s">
        <v>1</v>
      </c>
      <c r="F131" s="748"/>
      <c r="G131" s="748"/>
      <c r="H131" s="747" t="s">
        <v>2</v>
      </c>
      <c r="I131" s="748"/>
      <c r="J131" s="749"/>
    </row>
    <row r="132" spans="1:10" s="3" customFormat="1" ht="15.75" customHeight="1" x14ac:dyDescent="0.2">
      <c r="A132" s="157"/>
      <c r="B132" s="268" t="str">
        <f xml:space="preserve"> Dag &amp; "." &amp; Måned &amp; "." &amp; (år-1)</f>
        <v>31.3.2017</v>
      </c>
      <c r="C132" s="268" t="str">
        <f xml:space="preserve"> Dag &amp; "." &amp; Måned &amp; "." &amp; (år)</f>
        <v>31.3.2018</v>
      </c>
      <c r="D132" s="19" t="s">
        <v>3</v>
      </c>
      <c r="E132" s="268" t="str">
        <f xml:space="preserve"> Dag &amp; "." &amp; Måned &amp; "." &amp; (år-1)</f>
        <v>31.3.2017</v>
      </c>
      <c r="F132" s="268" t="str">
        <f xml:space="preserve"> Dag &amp; "." &amp; Måned &amp; "." &amp; (år)</f>
        <v>31.3.2018</v>
      </c>
      <c r="G132" s="19" t="s">
        <v>3</v>
      </c>
      <c r="H132" s="268" t="str">
        <f xml:space="preserve"> Dag &amp; "." &amp; Måned &amp; "." &amp; (år-1)</f>
        <v>31.3.2017</v>
      </c>
      <c r="I132" s="268" t="str">
        <f xml:space="preserve"> Dag &amp; "." &amp; Måned &amp; "." &amp; (år)</f>
        <v>31.3.2018</v>
      </c>
      <c r="J132" s="19" t="s">
        <v>3</v>
      </c>
    </row>
    <row r="133" spans="1:10" s="3" customFormat="1" ht="15.75" customHeight="1" x14ac:dyDescent="0.2">
      <c r="A133" s="724"/>
      <c r="B133" s="15"/>
      <c r="C133" s="15"/>
      <c r="D133" s="17" t="s">
        <v>4</v>
      </c>
      <c r="E133" s="16"/>
      <c r="F133" s="16"/>
      <c r="G133" s="15" t="s">
        <v>4</v>
      </c>
      <c r="H133" s="16"/>
      <c r="I133" s="16"/>
      <c r="J133" s="15" t="s">
        <v>4</v>
      </c>
    </row>
    <row r="134" spans="1:10" s="456" customFormat="1" ht="15.75" customHeight="1" x14ac:dyDescent="0.2">
      <c r="A134" s="14" t="s">
        <v>485</v>
      </c>
      <c r="B134" s="252">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Pensjonsforsikring'!B134+'SHB Liv'!B134+'Sparebank 1'!B134+'Storebrand Livsforsikring'!B134+'Telenor Forsikring'!B134+'Tryg Forsikring'!B134</f>
        <v>7136900.6703000003</v>
      </c>
      <c r="C134" s="252">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Pensjonsforsikring'!C134+'SHB Liv'!C134+'Sparebank 1'!C134+'Storebrand Livsforsikring'!C134+'Telenor Forsikring'!C134+'Tryg Forsikring'!C134</f>
        <v>7095848.5151000004</v>
      </c>
      <c r="D134" s="11">
        <f t="shared" ref="D134:D136" si="57">IF(B134=0, "    ---- ", IF(ABS(ROUND(100/B134*C134-100,1))&lt;999,ROUND(100/B134*C134-100,1),IF(ROUND(100/B134*C134-100,1)&gt;999,999,-999)))</f>
        <v>-0.6</v>
      </c>
      <c r="E134" s="352">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Pensjonsforsikring'!F134+'SHB Liv'!F134+'Sparebank 1'!F134+'Storebrand Livsforsikring'!F134+'Telenor Forsikring'!F134+'Tryg Forsikring'!F134</f>
        <v>17027.863000000001</v>
      </c>
      <c r="F134" s="352">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Pensjonsforsikring'!G134+'SHB Liv'!G134+'Sparebank 1'!G134+'Storebrand Livsforsikring'!G134+'Telenor Forsikring'!G134+'Tryg Forsikring'!G134</f>
        <v>20875.777999999998</v>
      </c>
      <c r="G134" s="11">
        <f>IF(E134=0, "    ---- ", IF(ABS(ROUND(100/E134*F134-100,1))&lt;999,ROUND(100/E134*F134-100,1),IF(ROUND(100/E134*F134-100,1)&gt;999,999,-999)))</f>
        <v>22.6</v>
      </c>
      <c r="H134" s="252">
        <f t="shared" ref="H134:I137" si="58">SUM(B134,E134)</f>
        <v>7153928.5333000002</v>
      </c>
      <c r="I134" s="252">
        <f t="shared" si="58"/>
        <v>7116724.2931000004</v>
      </c>
      <c r="J134" s="11">
        <f>IF(H134=0, "    ---- ", IF(ABS(ROUND(100/H134*I134-100,1))&lt;999,ROUND(100/H134*I134-100,1),IF(ROUND(100/H134*I134-100,1)&gt;999,999,-999)))</f>
        <v>-0.5</v>
      </c>
    </row>
    <row r="135" spans="1:10" s="456" customFormat="1" ht="15.75" customHeight="1" x14ac:dyDescent="0.2">
      <c r="A135" s="13" t="s">
        <v>486</v>
      </c>
      <c r="B135" s="252">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Pensjonsforsikring'!B135+'SHB Liv'!B135+'Sparebank 1'!B135+'Storebrand Livsforsikring'!B135+'Telenor Forsikring'!B135+'Tryg Forsikring'!B135</f>
        <v>494244392.93642002</v>
      </c>
      <c r="C135" s="252">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Pensjonsforsikring'!C135+'SHB Liv'!C135+'Sparebank 1'!C135+'Storebrand Livsforsikring'!C135+'Telenor Forsikring'!C135+'Tryg Forsikring'!C135</f>
        <v>524790162.00976998</v>
      </c>
      <c r="D135" s="11">
        <f t="shared" si="57"/>
        <v>6.2</v>
      </c>
      <c r="E135" s="252">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Pensjonsforsikring'!F135+'SHB Liv'!F135+'Sparebank 1'!F135+'Storebrand Livsforsikring'!F135+'Telenor Forsikring'!F135+'Tryg Forsikring'!F135</f>
        <v>2241526.4711500001</v>
      </c>
      <c r="F135" s="252">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Pensjonsforsikring'!G135+'SHB Liv'!G135+'Sparebank 1'!G135+'Storebrand Livsforsikring'!G135+'Telenor Forsikring'!G135+'Tryg Forsikring'!G135</f>
        <v>2344983.7411500001</v>
      </c>
      <c r="G135" s="11">
        <f>IF(E135=0, "    ---- ", IF(ABS(ROUND(100/E135*F135-100,1))&lt;999,ROUND(100/E135*F135-100,1),IF(ROUND(100/E135*F135-100,1)&gt;999,999,-999)))</f>
        <v>4.5999999999999996</v>
      </c>
      <c r="H135" s="252">
        <f t="shared" si="58"/>
        <v>496485919.40757</v>
      </c>
      <c r="I135" s="252">
        <f t="shared" si="58"/>
        <v>527135145.75092</v>
      </c>
      <c r="J135" s="11">
        <f t="shared" ref="J135:J137" si="59">IF(H135=0, "    ---- ", IF(ABS(ROUND(100/H135*I135-100,1))&lt;999,ROUND(100/H135*I135-100,1),IF(ROUND(100/H135*I135-100,1)&gt;999,999,-999)))</f>
        <v>6.2</v>
      </c>
    </row>
    <row r="136" spans="1:10" s="456" customFormat="1" ht="15.75" customHeight="1" x14ac:dyDescent="0.2">
      <c r="A136" s="13" t="s">
        <v>487</v>
      </c>
      <c r="B136" s="252">
        <f>'ACE European Group'!B136+'Danica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AS'!B136+'Landbruksforsikring AS'!B136+'NEMI Forsikring'!B136+'Nordea Liv '!B136+'Oslo Pensjonsforsikring'!B136+'SHB Liv'!B136+'Sparebank 1'!B136+'Storebrand Livsforsikring'!B136+'Telenor Forsikring'!B136+'Tryg Forsikring'!B136</f>
        <v>151652.45499999999</v>
      </c>
      <c r="C136" s="252">
        <f>'ACE European Group'!C136+'Danica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AS'!C136+'Landbruksforsikring AS'!C136+'NEMI Forsikring'!C136+'Nordea Liv '!C136+'Oslo Pensjonsforsikring'!C136+'SHB Liv'!C136+'Sparebank 1'!C136+'Storebrand Livsforsikring'!C136+'Telenor Forsikring'!C136+'Tryg Forsikring'!C136</f>
        <v>5301.9790000000003</v>
      </c>
      <c r="D136" s="11">
        <f t="shared" si="57"/>
        <v>-96.5</v>
      </c>
      <c r="E136" s="252">
        <f>'ACE European Group'!F136+'Danica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AS'!F136+'Landbruksforsikring AS'!F136+'NEMI Forsikring'!F136+'Nordea Liv '!F136+'Oslo Pensjonsforsikring'!F136+'SHB Liv'!F136+'Sparebank 1'!F136+'Storebrand Livsforsikring'!F136+'Telenor Forsikring'!F136+'Tryg Forsikring'!F136</f>
        <v>24988.125</v>
      </c>
      <c r="F136" s="252">
        <f>'ACE European Group'!G136+'Danica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AS'!G136+'Landbruksforsikring AS'!G136+'NEMI Forsikring'!G136+'Nordea Liv '!G136+'Oslo Pensjonsforsikring'!G136+'SHB Liv'!G136+'Sparebank 1'!G136+'Storebrand Livsforsikring'!G136+'Telenor Forsikring'!G136+'Tryg Forsikring'!G136</f>
        <v>0</v>
      </c>
      <c r="G136" s="11">
        <f>IF(E136=0, "    ---- ", IF(ABS(ROUND(100/E136*F136-100,1))&lt;999,ROUND(100/E136*F136-100,1),IF(ROUND(100/E136*F136-100,1)&gt;999,999,-999)))</f>
        <v>-100</v>
      </c>
      <c r="H136" s="252">
        <f t="shared" si="58"/>
        <v>176640.58</v>
      </c>
      <c r="I136" s="252">
        <f t="shared" si="58"/>
        <v>5301.9790000000003</v>
      </c>
      <c r="J136" s="11">
        <f t="shared" si="59"/>
        <v>-97</v>
      </c>
    </row>
    <row r="137" spans="1:10" s="456" customFormat="1" ht="15.75" customHeight="1" x14ac:dyDescent="0.2">
      <c r="A137" s="41" t="s">
        <v>488</v>
      </c>
      <c r="B137" s="311">
        <f>'ACE European Group'!B137+'Danica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AS'!B137+'Landbruksforsikring AS'!B137+'NEMI Forsikring'!B137+'Nordea Liv '!B137+'Oslo Pensjonsforsikring'!B137+'SHB Liv'!B137+'Sparebank 1'!B137+'Storebrand Livsforsikring'!B137+'Telenor Forsikring'!B137+'Tryg Forsikring'!B137</f>
        <v>321263.54099999997</v>
      </c>
      <c r="C137" s="311">
        <f>'ACE European Group'!C137+'Danica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AS'!C137+'Landbruksforsikring AS'!C137+'NEMI Forsikring'!C137+'Nordea Liv '!C137+'Oslo Pensjonsforsikring'!C137+'SHB Liv'!C137+'Sparebank 1'!C137+'Storebrand Livsforsikring'!C137+'Telenor Forsikring'!C137+'Tryg Forsikring'!C137</f>
        <v>423500</v>
      </c>
      <c r="D137" s="9">
        <f>IF(B137=0, "    ---- ", IF(ABS(ROUND(100/B137*C137-100,1))&lt;999,ROUND(100/B137*C137-100,1),IF(ROUND(100/B137*C137-100,1)&gt;999,999,-999)))</f>
        <v>31.8</v>
      </c>
      <c r="E137" s="311">
        <f>'ACE European Group'!F137+'Danica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AS'!F137+'Landbruksforsikring AS'!F137+'NEMI Forsikring'!F137+'Nordea Liv '!F137+'Oslo Pensjonsforsikring'!F137+'SHB Liv'!F137+'Sparebank 1'!F137+'Storebrand Livsforsikring'!F137+'Telenor Forsikring'!F137+'Tryg Forsikring'!F137</f>
        <v>0</v>
      </c>
      <c r="F137" s="311">
        <f>'ACE European Group'!G137+'Danica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AS'!G137+'Landbruksforsikring AS'!G137+'NEMI Forsikring'!G137+'Nordea Liv '!G137+'Oslo Pensjonsforsikring'!G137+'SHB Liv'!G137+'Sparebank 1'!G137+'Storebrand Livsforsikring'!G137+'Telenor Forsikring'!G137+'Tryg Forsikring'!G137</f>
        <v>0</v>
      </c>
      <c r="G137" s="9"/>
      <c r="H137" s="311">
        <f t="shared" si="58"/>
        <v>321263.54099999997</v>
      </c>
      <c r="I137" s="311">
        <f t="shared" si="58"/>
        <v>423500</v>
      </c>
      <c r="J137" s="9">
        <f t="shared" si="59"/>
        <v>31.8</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1356" priority="64">
      <formula>kvartal&lt;4</formula>
    </cfRule>
  </conditionalFormatting>
  <conditionalFormatting sqref="H69:I74">
    <cfRule type="expression" dxfId="1355" priority="72">
      <formula>kvartal&lt;4</formula>
    </cfRule>
  </conditionalFormatting>
  <conditionalFormatting sqref="H80:I85">
    <cfRule type="expression" dxfId="1354" priority="69">
      <formula>kvartal&lt;4</formula>
    </cfRule>
  </conditionalFormatting>
  <conditionalFormatting sqref="H90:I95">
    <cfRule type="expression" dxfId="1353" priority="65">
      <formula>kvartal&lt;4</formula>
    </cfRule>
  </conditionalFormatting>
  <conditionalFormatting sqref="H115:I115">
    <cfRule type="expression" dxfId="1352" priority="63">
      <formula>kvartal&lt;4</formula>
    </cfRule>
  </conditionalFormatting>
  <conditionalFormatting sqref="H123:I123">
    <cfRule type="expression" dxfId="1351" priority="62">
      <formula>kvartal&lt;4</formula>
    </cfRule>
  </conditionalFormatting>
  <conditionalFormatting sqref="A50:A52">
    <cfRule type="expression" dxfId="1350" priority="58">
      <formula>kvartal &lt; 4</formula>
    </cfRule>
  </conditionalFormatting>
  <conditionalFormatting sqref="B50:C52">
    <cfRule type="expression" dxfId="1349" priority="42">
      <formula>kvartal&lt;4</formula>
    </cfRule>
  </conditionalFormatting>
  <conditionalFormatting sqref="B69:C69">
    <cfRule type="expression" dxfId="1348" priority="40">
      <formula>kvartal&lt;4</formula>
    </cfRule>
  </conditionalFormatting>
  <conditionalFormatting sqref="B72:C72">
    <cfRule type="expression" dxfId="1347" priority="39">
      <formula>kvartal&lt;4</formula>
    </cfRule>
  </conditionalFormatting>
  <conditionalFormatting sqref="B80:C80">
    <cfRule type="expression" dxfId="1346" priority="38">
      <formula>kvartal&lt;4</formula>
    </cfRule>
  </conditionalFormatting>
  <conditionalFormatting sqref="B83:C83">
    <cfRule type="expression" dxfId="1345" priority="37">
      <formula>kvartal&lt;4</formula>
    </cfRule>
  </conditionalFormatting>
  <conditionalFormatting sqref="B90:C90">
    <cfRule type="expression" dxfId="1344" priority="32">
      <formula>kvartal&lt;4</formula>
    </cfRule>
  </conditionalFormatting>
  <conditionalFormatting sqref="B93:C93">
    <cfRule type="expression" dxfId="1343" priority="31">
      <formula>kvartal&lt;4</formula>
    </cfRule>
  </conditionalFormatting>
  <conditionalFormatting sqref="B101:C101">
    <cfRule type="expression" dxfId="1342" priority="30">
      <formula>kvartal&lt;4</formula>
    </cfRule>
  </conditionalFormatting>
  <conditionalFormatting sqref="B104:C104">
    <cfRule type="expression" dxfId="1341" priority="29">
      <formula>kvartal&lt;4</formula>
    </cfRule>
  </conditionalFormatting>
  <conditionalFormatting sqref="B115:C115">
    <cfRule type="expression" dxfId="1340" priority="28">
      <formula>kvartal&lt;4</formula>
    </cfRule>
  </conditionalFormatting>
  <conditionalFormatting sqref="B123:C123">
    <cfRule type="expression" dxfId="1339" priority="27">
      <formula>kvartal&lt;4</formula>
    </cfRule>
  </conditionalFormatting>
  <conditionalFormatting sqref="E69:F69">
    <cfRule type="expression" dxfId="1338" priority="16">
      <formula>kvartal&lt;4</formula>
    </cfRule>
  </conditionalFormatting>
  <conditionalFormatting sqref="E72:F72">
    <cfRule type="expression" dxfId="1337" priority="15">
      <formula>kvartal&lt;4</formula>
    </cfRule>
  </conditionalFormatting>
  <conditionalFormatting sqref="E90:F90">
    <cfRule type="expression" dxfId="1336" priority="12">
      <formula>kvartal&lt;4</formula>
    </cfRule>
  </conditionalFormatting>
  <conditionalFormatting sqref="E93:F93">
    <cfRule type="expression" dxfId="1335" priority="11">
      <formula>kvartal&lt;4</formula>
    </cfRule>
  </conditionalFormatting>
  <conditionalFormatting sqref="E101:F101">
    <cfRule type="expression" dxfId="1334" priority="10">
      <formula>kvartal&lt;4</formula>
    </cfRule>
  </conditionalFormatting>
  <conditionalFormatting sqref="E104:F104">
    <cfRule type="expression" dxfId="1333" priority="9">
      <formula>kvartal&lt;4</formula>
    </cfRule>
  </conditionalFormatting>
  <conditionalFormatting sqref="E80:F80">
    <cfRule type="expression" dxfId="1332" priority="14">
      <formula>kvartal&lt;4</formula>
    </cfRule>
  </conditionalFormatting>
  <conditionalFormatting sqref="E83:F83">
    <cfRule type="expression" dxfId="1331" priority="13">
      <formula>kvartal&lt;4</formula>
    </cfRule>
  </conditionalFormatting>
  <conditionalFormatting sqref="E115:F115">
    <cfRule type="expression" dxfId="1330" priority="8">
      <formula>kvartal&lt;4</formula>
    </cfRule>
  </conditionalFormatting>
  <conditionalFormatting sqref="E123:F123">
    <cfRule type="expression" dxfId="1329" priority="7">
      <formula>kvartal&lt;4</formula>
    </cfRule>
  </conditionalFormatting>
  <conditionalFormatting sqref="A101:A106">
    <cfRule type="expression" dxfId="1328" priority="1">
      <formula>kvartal &lt; 4</formula>
    </cfRule>
  </conditionalFormatting>
  <conditionalFormatting sqref="A69:A74">
    <cfRule type="expression" dxfId="1327" priority="6">
      <formula>kvartal &lt; 4</formula>
    </cfRule>
  </conditionalFormatting>
  <conditionalFormatting sqref="A115">
    <cfRule type="expression" dxfId="1326" priority="5">
      <formula>kvartal &lt; 4</formula>
    </cfRule>
  </conditionalFormatting>
  <conditionalFormatting sqref="A123">
    <cfRule type="expression" dxfId="1325" priority="4">
      <formula>kvartal &lt; 4</formula>
    </cfRule>
  </conditionalFormatting>
  <conditionalFormatting sqref="A80:A85">
    <cfRule type="expression" dxfId="1324" priority="3">
      <formula>kvartal &lt; 4</formula>
    </cfRule>
  </conditionalFormatting>
  <conditionalFormatting sqref="A90:A95">
    <cfRule type="expression" dxfId="1323" priority="2">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44"/>
  <sheetViews>
    <sheetView showGridLines="0" zoomScaleNormal="100" workbookViewId="0">
      <pane xSplit="1" topLeftCell="B1" activePane="topRight" state="frozen"/>
      <selection pane="topRight"/>
    </sheetView>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138</v>
      </c>
      <c r="D1" s="26"/>
      <c r="E1" s="26"/>
      <c r="F1" s="26"/>
      <c r="G1" s="26"/>
      <c r="H1" s="26"/>
      <c r="I1" s="26"/>
      <c r="J1" s="26"/>
      <c r="K1" s="26"/>
      <c r="L1" s="26"/>
      <c r="M1" s="26"/>
      <c r="O1" s="462"/>
    </row>
    <row r="2" spans="1:15" ht="15.75" x14ac:dyDescent="0.25">
      <c r="A2" s="182" t="s">
        <v>29</v>
      </c>
      <c r="B2" s="393"/>
      <c r="C2" s="393"/>
      <c r="D2" s="393"/>
      <c r="E2" s="393"/>
      <c r="F2" s="393"/>
      <c r="G2" s="393"/>
      <c r="H2" s="393"/>
      <c r="I2" s="393"/>
      <c r="J2" s="393"/>
      <c r="K2" s="393"/>
      <c r="L2" s="393"/>
      <c r="M2" s="393"/>
    </row>
    <row r="3" spans="1:15" ht="15.75" x14ac:dyDescent="0.25">
      <c r="A3" s="180"/>
      <c r="B3" s="393"/>
      <c r="C3" s="393"/>
      <c r="D3" s="393"/>
      <c r="E3" s="393"/>
      <c r="F3" s="393"/>
      <c r="G3" s="393"/>
      <c r="H3" s="393"/>
      <c r="I3" s="393"/>
      <c r="J3" s="393"/>
      <c r="K3" s="393"/>
      <c r="L3" s="393"/>
      <c r="M3" s="393"/>
    </row>
    <row r="4" spans="1:15" x14ac:dyDescent="0.2">
      <c r="A4" s="161"/>
      <c r="B4" s="752" t="s">
        <v>0</v>
      </c>
      <c r="C4" s="753"/>
      <c r="D4" s="753"/>
      <c r="E4" s="390"/>
      <c r="F4" s="752" t="s">
        <v>1</v>
      </c>
      <c r="G4" s="753"/>
      <c r="H4" s="753"/>
      <c r="I4" s="391"/>
      <c r="J4" s="752" t="s">
        <v>2</v>
      </c>
      <c r="K4" s="753"/>
      <c r="L4" s="753"/>
      <c r="M4" s="391"/>
    </row>
    <row r="5" spans="1:15" x14ac:dyDescent="0.2">
      <c r="A5" s="175"/>
      <c r="B5" s="169" t="s">
        <v>456</v>
      </c>
      <c r="C5" s="169" t="s">
        <v>457</v>
      </c>
      <c r="D5" s="261" t="s">
        <v>3</v>
      </c>
      <c r="E5" s="340" t="s">
        <v>30</v>
      </c>
      <c r="F5" s="169" t="s">
        <v>456</v>
      </c>
      <c r="G5" s="169" t="s">
        <v>457</v>
      </c>
      <c r="H5" s="261" t="s">
        <v>3</v>
      </c>
      <c r="I5" s="340"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96">
        <v>0</v>
      </c>
      <c r="C7" s="397">
        <v>0</v>
      </c>
      <c r="D7" s="405">
        <f t="shared" ref="D7:D12" si="0">IF(AND(_xlfn.NUMBERVALUE(B7)=0,_xlfn.NUMBERVALUE(C7)=0),,IF(B7=0, "    ---- ", IF(ABS(ROUND(100/B7*C7-100,1))&lt;999,IF(ROUND(100/B7*C7-100,1)=0,"    ---- ",ROUND(100/B7*C7-100,1)),IF(ROUND(100/B7*C7-100,1)&gt;999,999,-999))))</f>
        <v>0</v>
      </c>
      <c r="E7" s="406">
        <f>IFERROR(100/'Skjema total MA'!C7*C7,0)</f>
        <v>0</v>
      </c>
      <c r="F7" s="396">
        <v>0</v>
      </c>
      <c r="G7" s="397">
        <v>0</v>
      </c>
      <c r="H7" s="405">
        <f t="shared" ref="H7:H12" si="1">IF(AND(_xlfn.NUMBERVALUE(F7)=0,_xlfn.NUMBERVALUE(G7)=0),,IF(F7=0, "    ---- ", IF(ABS(ROUND(100/F7*G7-100,1))&lt;999,IF(ROUND(100/F7*G7-100,1)=0,"    ---- ",ROUND(100/F7*G7-100,1)),IF(ROUND(100/F7*G7-100,1)&gt;999,999,-999))))</f>
        <v>0</v>
      </c>
      <c r="I7" s="406">
        <f>IFERROR(100/'Skjema total MA'!F7*G7,0)</f>
        <v>0</v>
      </c>
      <c r="J7" s="407">
        <v>0</v>
      </c>
      <c r="K7" s="402">
        <v>0</v>
      </c>
      <c r="L7" s="405">
        <f t="shared" ref="L7:L12" si="2">IF(AND(_xlfn.NUMBERVALUE(J7)=0,_xlfn.NUMBERVALUE(K7)=0),,IF(J7=0, "    ---- ", IF(ABS(ROUND(100/J7*K7-100,1))&lt;999,IF(ROUND(100/J7*K7-100,1)=0,"    ---- ",ROUND(100/J7*K7-100,1)),IF(ROUND(100/J7*K7-100,1)&gt;999,999,-999))))</f>
        <v>0</v>
      </c>
      <c r="M7" s="406">
        <f>IFERROR(100/'Skjema total MA'!I7*K7,0)</f>
        <v>0</v>
      </c>
    </row>
    <row r="8" spans="1:15" ht="15.75" x14ac:dyDescent="0.2">
      <c r="A8" s="21" t="s">
        <v>26</v>
      </c>
      <c r="B8" s="399">
        <v>0</v>
      </c>
      <c r="C8" s="400">
        <v>0</v>
      </c>
      <c r="D8" s="408">
        <f t="shared" si="0"/>
        <v>0</v>
      </c>
      <c r="E8" s="406">
        <f>IFERROR(100/'Skjema total MA'!C8*C8,0)</f>
        <v>0</v>
      </c>
      <c r="F8" s="409"/>
      <c r="G8" s="410"/>
      <c r="H8" s="408">
        <f t="shared" si="1"/>
        <v>0</v>
      </c>
      <c r="I8" s="406">
        <f>IFERROR(100/'Skjema total MA'!F8*G8,0)</f>
        <v>0</v>
      </c>
      <c r="J8" s="411">
        <v>0</v>
      </c>
      <c r="K8" s="400">
        <v>0</v>
      </c>
      <c r="L8" s="408">
        <f t="shared" si="2"/>
        <v>0</v>
      </c>
      <c r="M8" s="406">
        <f>IFERROR(100/'Skjema total MA'!I8*K8,0)</f>
        <v>0</v>
      </c>
    </row>
    <row r="9" spans="1:15" ht="15.75" x14ac:dyDescent="0.2">
      <c r="A9" s="21" t="s">
        <v>25</v>
      </c>
      <c r="B9" s="399">
        <v>0</v>
      </c>
      <c r="C9" s="400">
        <v>0</v>
      </c>
      <c r="D9" s="408">
        <f t="shared" si="0"/>
        <v>0</v>
      </c>
      <c r="E9" s="406">
        <f>IFERROR(100/'Skjema total MA'!C9*C9,0)</f>
        <v>0</v>
      </c>
      <c r="F9" s="409"/>
      <c r="G9" s="410"/>
      <c r="H9" s="408">
        <f t="shared" si="1"/>
        <v>0</v>
      </c>
      <c r="I9" s="406">
        <f>IFERROR(100/'Skjema total MA'!F9*G9,0)</f>
        <v>0</v>
      </c>
      <c r="J9" s="411">
        <v>0</v>
      </c>
      <c r="K9" s="400">
        <v>0</v>
      </c>
      <c r="L9" s="408">
        <f t="shared" si="2"/>
        <v>0</v>
      </c>
      <c r="M9" s="406">
        <f>IFERROR(100/'Skjema total MA'!I9*K9,0)</f>
        <v>0</v>
      </c>
    </row>
    <row r="10" spans="1:15" ht="15.75" x14ac:dyDescent="0.2">
      <c r="A10" s="13" t="s">
        <v>466</v>
      </c>
      <c r="B10" s="401">
        <v>0</v>
      </c>
      <c r="C10" s="402">
        <v>0</v>
      </c>
      <c r="D10" s="408">
        <f t="shared" si="0"/>
        <v>0</v>
      </c>
      <c r="E10" s="406">
        <f>IFERROR(100/'Skjema total MA'!C10*C10,0)</f>
        <v>0</v>
      </c>
      <c r="F10" s="401">
        <v>0</v>
      </c>
      <c r="G10" s="402">
        <v>0</v>
      </c>
      <c r="H10" s="408">
        <f t="shared" si="1"/>
        <v>0</v>
      </c>
      <c r="I10" s="406">
        <f>IFERROR(100/'Skjema total MA'!F10*G10,0)</f>
        <v>0</v>
      </c>
      <c r="J10" s="407">
        <v>0</v>
      </c>
      <c r="K10" s="402">
        <v>0</v>
      </c>
      <c r="L10" s="408">
        <f t="shared" si="2"/>
        <v>0</v>
      </c>
      <c r="M10" s="406">
        <f>IFERROR(100/'Skjema total MA'!I10*K10,0)</f>
        <v>0</v>
      </c>
    </row>
    <row r="11" spans="1:15" s="43" customFormat="1" ht="15.75" x14ac:dyDescent="0.2">
      <c r="A11" s="13" t="s">
        <v>467</v>
      </c>
      <c r="B11" s="401">
        <v>0</v>
      </c>
      <c r="C11" s="402">
        <v>0</v>
      </c>
      <c r="D11" s="408">
        <f t="shared" si="0"/>
        <v>0</v>
      </c>
      <c r="E11" s="406">
        <f>IFERROR(100/'Skjema total MA'!C11*C11,0)</f>
        <v>0</v>
      </c>
      <c r="F11" s="401">
        <v>0</v>
      </c>
      <c r="G11" s="402">
        <v>0</v>
      </c>
      <c r="H11" s="408">
        <f t="shared" si="1"/>
        <v>0</v>
      </c>
      <c r="I11" s="406">
        <f>IFERROR(100/'Skjema total MA'!F11*G11,0)</f>
        <v>0</v>
      </c>
      <c r="J11" s="407">
        <v>0</v>
      </c>
      <c r="K11" s="402">
        <v>0</v>
      </c>
      <c r="L11" s="408">
        <f t="shared" si="2"/>
        <v>0</v>
      </c>
      <c r="M11" s="406">
        <f>IFERROR(100/'Skjema total MA'!I11*K11,0)</f>
        <v>0</v>
      </c>
      <c r="N11" s="160"/>
      <c r="O11" s="165"/>
    </row>
    <row r="12" spans="1:15" s="43" customFormat="1" ht="15.75" x14ac:dyDescent="0.2">
      <c r="A12" s="41" t="s">
        <v>468</v>
      </c>
      <c r="B12" s="403">
        <v>0</v>
      </c>
      <c r="C12" s="404">
        <v>0</v>
      </c>
      <c r="D12" s="412">
        <f t="shared" si="0"/>
        <v>0</v>
      </c>
      <c r="E12" s="412">
        <f>IFERROR(100/'Skjema total MA'!C12*C12,0)</f>
        <v>0</v>
      </c>
      <c r="F12" s="403">
        <v>0</v>
      </c>
      <c r="G12" s="404">
        <v>0</v>
      </c>
      <c r="H12" s="412">
        <f t="shared" si="1"/>
        <v>0</v>
      </c>
      <c r="I12" s="412">
        <f>IFERROR(100/'Skjema total MA'!F12*G12,0)</f>
        <v>0</v>
      </c>
      <c r="J12" s="413">
        <v>0</v>
      </c>
      <c r="K12" s="404">
        <v>0</v>
      </c>
      <c r="L12" s="412">
        <f t="shared" si="2"/>
        <v>0</v>
      </c>
      <c r="M12" s="412">
        <f>IFERROR(100/'Skjema total MA'!I12*K12,0)</f>
        <v>0</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392"/>
      <c r="C18" s="392"/>
      <c r="D18" s="392"/>
      <c r="E18" s="393"/>
      <c r="F18" s="392"/>
      <c r="G18" s="392"/>
      <c r="H18" s="392"/>
      <c r="I18" s="393"/>
      <c r="J18" s="392"/>
      <c r="K18" s="392"/>
      <c r="L18" s="392"/>
      <c r="M18" s="393"/>
    </row>
    <row r="19" spans="1:15" x14ac:dyDescent="0.2">
      <c r="A19" s="161"/>
      <c r="B19" s="752" t="s">
        <v>0</v>
      </c>
      <c r="C19" s="753"/>
      <c r="D19" s="753"/>
      <c r="E19" s="390"/>
      <c r="F19" s="752" t="s">
        <v>1</v>
      </c>
      <c r="G19" s="753"/>
      <c r="H19" s="753"/>
      <c r="I19" s="391"/>
      <c r="J19" s="752" t="s">
        <v>2</v>
      </c>
      <c r="K19" s="753"/>
      <c r="L19" s="753"/>
      <c r="M19" s="391"/>
    </row>
    <row r="20" spans="1:15" x14ac:dyDescent="0.2">
      <c r="A20" s="157" t="s">
        <v>5</v>
      </c>
      <c r="B20" s="258" t="s">
        <v>456</v>
      </c>
      <c r="C20" s="258" t="s">
        <v>457</v>
      </c>
      <c r="D20" s="179" t="s">
        <v>3</v>
      </c>
      <c r="E20" s="340" t="s">
        <v>30</v>
      </c>
      <c r="F20" s="258" t="s">
        <v>456</v>
      </c>
      <c r="G20" s="258" t="s">
        <v>457</v>
      </c>
      <c r="H20" s="179" t="s">
        <v>3</v>
      </c>
      <c r="I20" s="340" t="s">
        <v>30</v>
      </c>
      <c r="J20" s="258" t="s">
        <v>456</v>
      </c>
      <c r="K20" s="258" t="s">
        <v>457</v>
      </c>
      <c r="L20" s="179" t="s">
        <v>3</v>
      </c>
      <c r="M20" s="179" t="s">
        <v>30</v>
      </c>
    </row>
    <row r="21" spans="1:15" x14ac:dyDescent="0.2">
      <c r="A21" s="724"/>
      <c r="B21" s="173"/>
      <c r="C21" s="173"/>
      <c r="D21" s="263" t="s">
        <v>4</v>
      </c>
      <c r="E21" s="173" t="s">
        <v>31</v>
      </c>
      <c r="F21" s="178"/>
      <c r="G21" s="178"/>
      <c r="H21" s="261" t="s">
        <v>4</v>
      </c>
      <c r="I21" s="173" t="s">
        <v>31</v>
      </c>
      <c r="J21" s="178"/>
      <c r="K21" s="178"/>
      <c r="L21" s="173" t="s">
        <v>4</v>
      </c>
      <c r="M21" s="173" t="s">
        <v>31</v>
      </c>
    </row>
    <row r="22" spans="1:15" ht="15.75" x14ac:dyDescent="0.2">
      <c r="A22" s="14" t="s">
        <v>24</v>
      </c>
      <c r="B22" s="396">
        <v>0</v>
      </c>
      <c r="C22" s="396">
        <v>0</v>
      </c>
      <c r="D22" s="405">
        <f t="shared" ref="D22:D39" si="3">IF(AND(_xlfn.NUMBERVALUE(B22)=0,_xlfn.NUMBERVALUE(C22)=0),,IF(B22=0, "    ---- ", IF(ABS(ROUND(100/B22*C22-100,1))&lt;999,IF(ROUND(100/B22*C22-100,1)=0,"    ---- ",ROUND(100/B22*C22-100,1)),IF(ROUND(100/B22*C22-100,1)&gt;999,999,-999))))</f>
        <v>0</v>
      </c>
      <c r="E22" s="406">
        <f>IFERROR(100/'Skjema total MA'!C22*C22,0)</f>
        <v>0</v>
      </c>
      <c r="F22" s="396">
        <v>0</v>
      </c>
      <c r="G22" s="396">
        <v>0</v>
      </c>
      <c r="H22" s="405">
        <f t="shared" ref="H22:H39" si="4">IF(AND(_xlfn.NUMBERVALUE(F22)=0,_xlfn.NUMBERVALUE(G22)=0),,IF(F22=0, "    ---- ", IF(ABS(ROUND(100/F22*G22-100,1))&lt;999,IF(ROUND(100/F22*G22-100,1)=0,"    ---- ",ROUND(100/F22*G22-100,1)),IF(ROUND(100/F22*G22-100,1)&gt;999,999,-999))))</f>
        <v>0</v>
      </c>
      <c r="I22" s="406">
        <f>IFERROR(100/'Skjema total MA'!F22*G22,0)</f>
        <v>0</v>
      </c>
      <c r="J22" s="396">
        <f t="shared" ref="J22:K35" si="5">SUM(B22,F22)</f>
        <v>0</v>
      </c>
      <c r="K22" s="396">
        <f t="shared" si="5"/>
        <v>0</v>
      </c>
      <c r="L22" s="405">
        <f t="shared" ref="L22:L39" si="6">IF(AND(_xlfn.NUMBERVALUE(J22)=0,_xlfn.NUMBERVALUE(K22)=0),,IF(J22=0, "    ---- ", IF(ABS(ROUND(100/J22*K22-100,1))&lt;999,IF(ROUND(100/J22*K22-100,1)=0,"    ---- ",ROUND(100/J22*K22-100,1)),IF(ROUND(100/J22*K22-100,1)&gt;999,999,-999))))</f>
        <v>0</v>
      </c>
      <c r="M22" s="406">
        <f>IFERROR(100/'Skjema total MA'!I22*K22,0)</f>
        <v>0</v>
      </c>
    </row>
    <row r="23" spans="1:15" ht="15.75" x14ac:dyDescent="0.2">
      <c r="A23" s="49" t="s">
        <v>469</v>
      </c>
      <c r="B23" s="399">
        <v>0</v>
      </c>
      <c r="C23" s="400">
        <v>0</v>
      </c>
      <c r="D23" s="408">
        <f t="shared" ref="D23:D27" si="7">IF(AND(_xlfn.NUMBERVALUE(B23)=0,_xlfn.NUMBERVALUE(C23)=0),,IF(B23=0, "    ---- ", IF(ABS(ROUND(100/B23*C23-100,1))&lt;999,IF(ROUND(100/B23*C23-100,1)=0,"    ---- ",ROUND(100/B23*C23-100,1)),IF(ROUND(100/B23*C23-100,1)&gt;999,999,-999))))</f>
        <v>0</v>
      </c>
      <c r="E23" s="406">
        <f>IFERROR(100/'Skjema total MA'!C23*C23,0)</f>
        <v>0</v>
      </c>
      <c r="F23" s="411">
        <v>0</v>
      </c>
      <c r="G23" s="400">
        <v>0</v>
      </c>
      <c r="H23" s="408">
        <f t="shared" ref="H23:H27" si="8">IF(AND(_xlfn.NUMBERVALUE(F23)=0,_xlfn.NUMBERVALUE(G23)=0),,IF(F23=0, "    ---- ", IF(ABS(ROUND(100/F23*G23-100,1))&lt;999,IF(ROUND(100/F23*G23-100,1)=0,"    ---- ",ROUND(100/F23*G23-100,1)),IF(ROUND(100/F23*G23-100,1)&gt;999,999,-999))))</f>
        <v>0</v>
      </c>
      <c r="I23" s="406">
        <f>IFERROR(100/'Skjema total MA'!F23*G23,0)</f>
        <v>0</v>
      </c>
      <c r="J23" s="399">
        <f t="shared" ref="J23:J27" si="9">SUM(B23,F23)</f>
        <v>0</v>
      </c>
      <c r="K23" s="399">
        <f t="shared" ref="K23:K27" si="10">SUM(C23,G23)</f>
        <v>0</v>
      </c>
      <c r="L23" s="408">
        <f t="shared" ref="L23:L27" si="11">IF(AND(_xlfn.NUMBERVALUE(J23)=0,_xlfn.NUMBERVALUE(K23)=0),,IF(J23=0, "    ---- ", IF(ABS(ROUND(100/J23*K23-100,1))&lt;999,IF(ROUND(100/J23*K23-100,1)=0,"    ---- ",ROUND(100/J23*K23-100,1)),IF(ROUND(100/J23*K23-100,1)&gt;999,999,-999))))</f>
        <v>0</v>
      </c>
      <c r="M23" s="406">
        <f>IFERROR(100/'Skjema total MA'!I23*K23,0)</f>
        <v>0</v>
      </c>
    </row>
    <row r="24" spans="1:15" ht="15.75" x14ac:dyDescent="0.2">
      <c r="A24" s="49" t="s">
        <v>470</v>
      </c>
      <c r="B24" s="399">
        <v>0</v>
      </c>
      <c r="C24" s="400">
        <v>0</v>
      </c>
      <c r="D24" s="408">
        <f t="shared" si="7"/>
        <v>0</v>
      </c>
      <c r="E24" s="406">
        <f>IFERROR(100/'Skjema total MA'!C24*C24,0)</f>
        <v>0</v>
      </c>
      <c r="F24" s="411">
        <v>0</v>
      </c>
      <c r="G24" s="400">
        <v>0</v>
      </c>
      <c r="H24" s="408">
        <f t="shared" si="8"/>
        <v>0</v>
      </c>
      <c r="I24" s="406">
        <f>IFERROR(100/'Skjema total MA'!F24*G24,0)</f>
        <v>0</v>
      </c>
      <c r="J24" s="399">
        <f t="shared" si="9"/>
        <v>0</v>
      </c>
      <c r="K24" s="399">
        <f t="shared" si="10"/>
        <v>0</v>
      </c>
      <c r="L24" s="408">
        <f t="shared" si="11"/>
        <v>0</v>
      </c>
      <c r="M24" s="406">
        <f>IFERROR(100/'Skjema total MA'!I24*K24,0)</f>
        <v>0</v>
      </c>
    </row>
    <row r="25" spans="1:15" ht="15.75" x14ac:dyDescent="0.2">
      <c r="A25" s="49" t="s">
        <v>471</v>
      </c>
      <c r="B25" s="399">
        <v>0</v>
      </c>
      <c r="C25" s="400">
        <v>0</v>
      </c>
      <c r="D25" s="408">
        <f t="shared" si="7"/>
        <v>0</v>
      </c>
      <c r="E25" s="406">
        <f>IFERROR(100/'Skjema total MA'!C25*C25,0)</f>
        <v>0</v>
      </c>
      <c r="F25" s="411">
        <v>0</v>
      </c>
      <c r="G25" s="400">
        <v>0</v>
      </c>
      <c r="H25" s="408">
        <f t="shared" si="8"/>
        <v>0</v>
      </c>
      <c r="I25" s="406">
        <f>IFERROR(100/'Skjema total MA'!F25*G25,0)</f>
        <v>0</v>
      </c>
      <c r="J25" s="399">
        <f t="shared" si="9"/>
        <v>0</v>
      </c>
      <c r="K25" s="399">
        <f t="shared" si="10"/>
        <v>0</v>
      </c>
      <c r="L25" s="408">
        <f t="shared" si="11"/>
        <v>0</v>
      </c>
      <c r="M25" s="406">
        <f>IFERROR(100/'Skjema total MA'!I25*K25,0)</f>
        <v>0</v>
      </c>
    </row>
    <row r="26" spans="1:15" ht="15.75" x14ac:dyDescent="0.2">
      <c r="A26" s="49" t="s">
        <v>472</v>
      </c>
      <c r="B26" s="399">
        <v>0</v>
      </c>
      <c r="C26" s="400">
        <v>0</v>
      </c>
      <c r="D26" s="408">
        <f t="shared" si="7"/>
        <v>0</v>
      </c>
      <c r="E26" s="406">
        <f>IFERROR(100/'Skjema total MA'!C26*C26,0)</f>
        <v>0</v>
      </c>
      <c r="F26" s="411">
        <v>0</v>
      </c>
      <c r="G26" s="400">
        <v>0</v>
      </c>
      <c r="H26" s="408">
        <f t="shared" si="8"/>
        <v>0</v>
      </c>
      <c r="I26" s="406">
        <f>IFERROR(100/'Skjema total MA'!F26*G26,0)</f>
        <v>0</v>
      </c>
      <c r="J26" s="399">
        <f t="shared" si="9"/>
        <v>0</v>
      </c>
      <c r="K26" s="399">
        <f t="shared" si="10"/>
        <v>0</v>
      </c>
      <c r="L26" s="408">
        <f t="shared" si="11"/>
        <v>0</v>
      </c>
      <c r="M26" s="406">
        <f>IFERROR(100/'Skjema total MA'!I26*K26,0)</f>
        <v>0</v>
      </c>
    </row>
    <row r="27" spans="1:15" x14ac:dyDescent="0.2">
      <c r="A27" s="49" t="s">
        <v>11</v>
      </c>
      <c r="B27" s="399">
        <v>0</v>
      </c>
      <c r="C27" s="400">
        <v>0</v>
      </c>
      <c r="D27" s="408">
        <f t="shared" si="7"/>
        <v>0</v>
      </c>
      <c r="E27" s="406">
        <f>IFERROR(100/'Skjema total MA'!C27*C27,0)</f>
        <v>0</v>
      </c>
      <c r="F27" s="411">
        <v>0</v>
      </c>
      <c r="G27" s="400">
        <v>0</v>
      </c>
      <c r="H27" s="408">
        <f t="shared" si="8"/>
        <v>0</v>
      </c>
      <c r="I27" s="406">
        <f>IFERROR(100/'Skjema total MA'!F27*G27,0)</f>
        <v>0</v>
      </c>
      <c r="J27" s="399">
        <f t="shared" si="9"/>
        <v>0</v>
      </c>
      <c r="K27" s="399">
        <f t="shared" si="10"/>
        <v>0</v>
      </c>
      <c r="L27" s="408">
        <f t="shared" si="11"/>
        <v>0</v>
      </c>
      <c r="M27" s="406">
        <f>IFERROR(100/'Skjema total MA'!I27*K27,0)</f>
        <v>0</v>
      </c>
    </row>
    <row r="28" spans="1:15" ht="15.75" x14ac:dyDescent="0.2">
      <c r="A28" s="49" t="s">
        <v>366</v>
      </c>
      <c r="B28" s="399">
        <v>0</v>
      </c>
      <c r="C28" s="400">
        <v>0</v>
      </c>
      <c r="D28" s="408">
        <f t="shared" si="3"/>
        <v>0</v>
      </c>
      <c r="E28" s="406">
        <f>IFERROR(100/'Skjema total MA'!C28*C28,0)</f>
        <v>0</v>
      </c>
      <c r="F28" s="411">
        <v>0</v>
      </c>
      <c r="G28" s="400">
        <v>0</v>
      </c>
      <c r="H28" s="408">
        <f t="shared" si="4"/>
        <v>0</v>
      </c>
      <c r="I28" s="406">
        <f>IFERROR(100/'Skjema total MA'!F28*G28,0)</f>
        <v>0</v>
      </c>
      <c r="J28" s="399">
        <f t="shared" si="5"/>
        <v>0</v>
      </c>
      <c r="K28" s="399">
        <f t="shared" si="5"/>
        <v>0</v>
      </c>
      <c r="L28" s="408">
        <f t="shared" si="6"/>
        <v>0</v>
      </c>
      <c r="M28" s="406">
        <f>IFERROR(100/'Skjema total MA'!I28*K28,0)</f>
        <v>0</v>
      </c>
    </row>
    <row r="29" spans="1:15" s="3" customFormat="1" ht="15.75" x14ac:dyDescent="0.2">
      <c r="A29" s="13" t="s">
        <v>23</v>
      </c>
      <c r="B29" s="401">
        <v>0</v>
      </c>
      <c r="C29" s="401">
        <v>0</v>
      </c>
      <c r="D29" s="408">
        <f t="shared" si="3"/>
        <v>0</v>
      </c>
      <c r="E29" s="406">
        <f>IFERROR(100/'Skjema total MA'!C29*C29,0)</f>
        <v>0</v>
      </c>
      <c r="F29" s="401">
        <v>0</v>
      </c>
      <c r="G29" s="401">
        <v>0</v>
      </c>
      <c r="H29" s="408">
        <f t="shared" si="4"/>
        <v>0</v>
      </c>
      <c r="I29" s="406">
        <f>IFERROR(100/'Skjema total MA'!F29*G29,0)</f>
        <v>0</v>
      </c>
      <c r="J29" s="401">
        <f t="shared" si="5"/>
        <v>0</v>
      </c>
      <c r="K29" s="401">
        <f t="shared" si="5"/>
        <v>0</v>
      </c>
      <c r="L29" s="408">
        <f t="shared" si="6"/>
        <v>0</v>
      </c>
      <c r="M29" s="406">
        <f>IFERROR(100/'Skjema total MA'!I29*K29,0)</f>
        <v>0</v>
      </c>
      <c r="N29" s="165"/>
      <c r="O29" s="165"/>
    </row>
    <row r="30" spans="1:15" s="3" customFormat="1" ht="15.75" x14ac:dyDescent="0.2">
      <c r="A30" s="49" t="s">
        <v>469</v>
      </c>
      <c r="B30" s="399">
        <v>0</v>
      </c>
      <c r="C30" s="400">
        <v>0</v>
      </c>
      <c r="D30" s="408">
        <f t="shared" ref="D30" si="12">IF(AND(_xlfn.NUMBERVALUE(B30)=0,_xlfn.NUMBERVALUE(C30)=0),,IF(B30=0, "    ---- ", IF(ABS(ROUND(100/B30*C30-100,1))&lt;999,IF(ROUND(100/B30*C30-100,1)=0,"    ---- ",ROUND(100/B30*C30-100,1)),IF(ROUND(100/B30*C30-100,1)&gt;999,999,-999))))</f>
        <v>0</v>
      </c>
      <c r="E30" s="406">
        <f>IFERROR(100/'Skjema total MA'!C30*C30,0)</f>
        <v>0</v>
      </c>
      <c r="F30" s="411">
        <v>0</v>
      </c>
      <c r="G30" s="400">
        <v>0</v>
      </c>
      <c r="H30" s="408">
        <f t="shared" ref="H30" si="13">IF(AND(_xlfn.NUMBERVALUE(F30)=0,_xlfn.NUMBERVALUE(G30)=0),,IF(F30=0, "    ---- ", IF(ABS(ROUND(100/F30*G30-100,1))&lt;999,IF(ROUND(100/F30*G30-100,1)=0,"    ---- ",ROUND(100/F30*G30-100,1)),IF(ROUND(100/F30*G30-100,1)&gt;999,999,-999))))</f>
        <v>0</v>
      </c>
      <c r="I30" s="406">
        <f>IFERROR(100/'Skjema total MA'!F30*G30,0)</f>
        <v>0</v>
      </c>
      <c r="J30" s="399">
        <f t="shared" ref="J30" si="14">SUM(B30,F30)</f>
        <v>0</v>
      </c>
      <c r="K30" s="399">
        <f t="shared" ref="K30" si="15">SUM(C30,G30)</f>
        <v>0</v>
      </c>
      <c r="L30" s="408">
        <f t="shared" ref="L30" si="16">IF(AND(_xlfn.NUMBERVALUE(J30)=0,_xlfn.NUMBERVALUE(K30)=0),,IF(J30=0, "    ---- ", IF(ABS(ROUND(100/J30*K30-100,1))&lt;999,IF(ROUND(100/J30*K30-100,1)=0,"    ---- ",ROUND(100/J30*K30-100,1)),IF(ROUND(100/J30*K30-100,1)&gt;999,999,-999))))</f>
        <v>0</v>
      </c>
      <c r="M30" s="406">
        <f>IFERROR(100/'Skjema total MA'!I30*K30,0)</f>
        <v>0</v>
      </c>
      <c r="N30" s="165"/>
      <c r="O30" s="165"/>
    </row>
    <row r="31" spans="1:15" s="3" customFormat="1" ht="15.75" x14ac:dyDescent="0.2">
      <c r="A31" s="49" t="s">
        <v>470</v>
      </c>
      <c r="B31" s="399">
        <v>0</v>
      </c>
      <c r="C31" s="400">
        <v>0</v>
      </c>
      <c r="D31" s="408">
        <f t="shared" ref="D31:D33" si="17">IF(AND(_xlfn.NUMBERVALUE(B31)=0,_xlfn.NUMBERVALUE(C31)=0),,IF(B31=0, "    ---- ", IF(ABS(ROUND(100/B31*C31-100,1))&lt;999,IF(ROUND(100/B31*C31-100,1)=0,"    ---- ",ROUND(100/B31*C31-100,1)),IF(ROUND(100/B31*C31-100,1)&gt;999,999,-999))))</f>
        <v>0</v>
      </c>
      <c r="E31" s="406">
        <f>IFERROR(100/'Skjema total MA'!C31*C31,0)</f>
        <v>0</v>
      </c>
      <c r="F31" s="411">
        <v>0</v>
      </c>
      <c r="G31" s="400">
        <v>0</v>
      </c>
      <c r="H31" s="408">
        <f t="shared" ref="H31:H33" si="18">IF(AND(_xlfn.NUMBERVALUE(F31)=0,_xlfn.NUMBERVALUE(G31)=0),,IF(F31=0, "    ---- ", IF(ABS(ROUND(100/F31*G31-100,1))&lt;999,IF(ROUND(100/F31*G31-100,1)=0,"    ---- ",ROUND(100/F31*G31-100,1)),IF(ROUND(100/F31*G31-100,1)&gt;999,999,-999))))</f>
        <v>0</v>
      </c>
      <c r="I31" s="406">
        <f>IFERROR(100/'Skjema total MA'!F31*G31,0)</f>
        <v>0</v>
      </c>
      <c r="J31" s="399">
        <f t="shared" ref="J31:J33" si="19">SUM(B31,F31)</f>
        <v>0</v>
      </c>
      <c r="K31" s="399">
        <f t="shared" ref="K31:K33" si="20">SUM(C31,G31)</f>
        <v>0</v>
      </c>
      <c r="L31" s="408">
        <f t="shared" ref="L31:L33" si="21">IF(AND(_xlfn.NUMBERVALUE(J31)=0,_xlfn.NUMBERVALUE(K31)=0),,IF(J31=0, "    ---- ", IF(ABS(ROUND(100/J31*K31-100,1))&lt;999,IF(ROUND(100/J31*K31-100,1)=0,"    ---- ",ROUND(100/J31*K31-100,1)),IF(ROUND(100/J31*K31-100,1)&gt;999,999,-999))))</f>
        <v>0</v>
      </c>
      <c r="M31" s="406">
        <f>IFERROR(100/'Skjema total MA'!I31*K31,0)</f>
        <v>0</v>
      </c>
      <c r="N31" s="165"/>
      <c r="O31" s="165"/>
    </row>
    <row r="32" spans="1:15" ht="15.75" x14ac:dyDescent="0.2">
      <c r="A32" s="49" t="s">
        <v>471</v>
      </c>
      <c r="B32" s="399">
        <v>0</v>
      </c>
      <c r="C32" s="400">
        <v>0</v>
      </c>
      <c r="D32" s="408">
        <f t="shared" si="17"/>
        <v>0</v>
      </c>
      <c r="E32" s="406">
        <f>IFERROR(100/'Skjema total MA'!C32*C32,0)</f>
        <v>0</v>
      </c>
      <c r="F32" s="411">
        <v>0</v>
      </c>
      <c r="G32" s="400">
        <v>0</v>
      </c>
      <c r="H32" s="408">
        <f t="shared" si="18"/>
        <v>0</v>
      </c>
      <c r="I32" s="406">
        <f>IFERROR(100/'Skjema total MA'!F32*G32,0)</f>
        <v>0</v>
      </c>
      <c r="J32" s="399">
        <f t="shared" si="19"/>
        <v>0</v>
      </c>
      <c r="K32" s="399">
        <f t="shared" si="20"/>
        <v>0</v>
      </c>
      <c r="L32" s="408">
        <f t="shared" si="21"/>
        <v>0</v>
      </c>
      <c r="M32" s="406">
        <f>IFERROR(100/'Skjema total MA'!I32*K32,0)</f>
        <v>0</v>
      </c>
    </row>
    <row r="33" spans="1:15" ht="15.75" x14ac:dyDescent="0.2">
      <c r="A33" s="49" t="s">
        <v>472</v>
      </c>
      <c r="B33" s="399">
        <v>0</v>
      </c>
      <c r="C33" s="400">
        <v>0</v>
      </c>
      <c r="D33" s="408">
        <f t="shared" si="17"/>
        <v>0</v>
      </c>
      <c r="E33" s="406">
        <f>IFERROR(100/'Skjema total MA'!C33*C33,0)</f>
        <v>0</v>
      </c>
      <c r="F33" s="411">
        <v>0</v>
      </c>
      <c r="G33" s="400">
        <v>0</v>
      </c>
      <c r="H33" s="408">
        <f t="shared" si="18"/>
        <v>0</v>
      </c>
      <c r="I33" s="406">
        <f>IFERROR(100/'Skjema total MA'!F33*G33,0)</f>
        <v>0</v>
      </c>
      <c r="J33" s="399">
        <f t="shared" si="19"/>
        <v>0</v>
      </c>
      <c r="K33" s="399">
        <f t="shared" si="20"/>
        <v>0</v>
      </c>
      <c r="L33" s="408">
        <f t="shared" si="21"/>
        <v>0</v>
      </c>
      <c r="M33" s="406">
        <f>IFERROR(100/'Skjema total MA'!I33*K33,0)</f>
        <v>0</v>
      </c>
    </row>
    <row r="34" spans="1:15" ht="15.75" x14ac:dyDescent="0.2">
      <c r="A34" s="13" t="s">
        <v>467</v>
      </c>
      <c r="B34" s="401">
        <v>0</v>
      </c>
      <c r="C34" s="402">
        <v>0</v>
      </c>
      <c r="D34" s="408">
        <f t="shared" si="3"/>
        <v>0</v>
      </c>
      <c r="E34" s="406">
        <f>IFERROR(100/'Skjema total MA'!C34*C34,0)</f>
        <v>0</v>
      </c>
      <c r="F34" s="407">
        <v>0</v>
      </c>
      <c r="G34" s="402">
        <v>0</v>
      </c>
      <c r="H34" s="408">
        <f t="shared" si="4"/>
        <v>0</v>
      </c>
      <c r="I34" s="406">
        <f>IFERROR(100/'Skjema total MA'!F34*G34,0)</f>
        <v>0</v>
      </c>
      <c r="J34" s="401">
        <f t="shared" si="5"/>
        <v>0</v>
      </c>
      <c r="K34" s="401">
        <f t="shared" si="5"/>
        <v>0</v>
      </c>
      <c r="L34" s="408">
        <f t="shared" si="6"/>
        <v>0</v>
      </c>
      <c r="M34" s="406">
        <f>IFERROR(100/'Skjema total MA'!I34*K34,0)</f>
        <v>0</v>
      </c>
    </row>
    <row r="35" spans="1:15" ht="15.75" x14ac:dyDescent="0.2">
      <c r="A35" s="13" t="s">
        <v>468</v>
      </c>
      <c r="B35" s="401">
        <v>0</v>
      </c>
      <c r="C35" s="402">
        <v>0</v>
      </c>
      <c r="D35" s="408">
        <f t="shared" si="3"/>
        <v>0</v>
      </c>
      <c r="E35" s="406">
        <f>IFERROR(100/'Skjema total MA'!C35*C35,0)</f>
        <v>0</v>
      </c>
      <c r="F35" s="407">
        <v>0</v>
      </c>
      <c r="G35" s="402">
        <v>0</v>
      </c>
      <c r="H35" s="408">
        <f t="shared" si="4"/>
        <v>0</v>
      </c>
      <c r="I35" s="406">
        <f>IFERROR(100/'Skjema total MA'!F35*G35,0)</f>
        <v>0</v>
      </c>
      <c r="J35" s="401">
        <f t="shared" si="5"/>
        <v>0</v>
      </c>
      <c r="K35" s="401">
        <f t="shared" si="5"/>
        <v>0</v>
      </c>
      <c r="L35" s="408">
        <f t="shared" si="6"/>
        <v>0</v>
      </c>
      <c r="M35" s="406">
        <f>IFERROR(100/'Skjema total MA'!I35*K35,0)</f>
        <v>0</v>
      </c>
    </row>
    <row r="36" spans="1:15" ht="15.75" x14ac:dyDescent="0.2">
      <c r="A36" s="12" t="s">
        <v>374</v>
      </c>
      <c r="B36" s="401">
        <v>0</v>
      </c>
      <c r="C36" s="402">
        <v>0</v>
      </c>
      <c r="D36" s="408">
        <f t="shared" si="3"/>
        <v>0</v>
      </c>
      <c r="E36" s="406">
        <f>100/'Skjema total MA'!C36*C36</f>
        <v>0</v>
      </c>
      <c r="F36" s="415"/>
      <c r="G36" s="416"/>
      <c r="H36" s="408">
        <f t="shared" si="4"/>
        <v>0</v>
      </c>
      <c r="I36" s="406">
        <f>IFERROR(100/'Skjema total MA'!F36*G36,0)</f>
        <v>0</v>
      </c>
      <c r="J36" s="401">
        <f t="shared" ref="J36:J39" si="22">SUM(B36,F36)</f>
        <v>0</v>
      </c>
      <c r="K36" s="401">
        <f t="shared" ref="K36:K39" si="23">SUM(C36,G36)</f>
        <v>0</v>
      </c>
      <c r="L36" s="408">
        <f t="shared" si="6"/>
        <v>0</v>
      </c>
      <c r="M36" s="406">
        <f>IFERROR(100/'Skjema total MA'!I36*K36,0)</f>
        <v>0</v>
      </c>
    </row>
    <row r="37" spans="1:15" ht="15.75" x14ac:dyDescent="0.2">
      <c r="A37" s="12" t="s">
        <v>473</v>
      </c>
      <c r="B37" s="401">
        <v>0</v>
      </c>
      <c r="C37" s="402">
        <v>0</v>
      </c>
      <c r="D37" s="408">
        <f t="shared" si="3"/>
        <v>0</v>
      </c>
      <c r="E37" s="406">
        <f>100/'Skjema total MA'!C37*C37</f>
        <v>0</v>
      </c>
      <c r="F37" s="415"/>
      <c r="G37" s="417"/>
      <c r="H37" s="408">
        <f t="shared" si="4"/>
        <v>0</v>
      </c>
      <c r="I37" s="406">
        <f>IFERROR(100/'Skjema total MA'!F37*G37,0)</f>
        <v>0</v>
      </c>
      <c r="J37" s="401">
        <f t="shared" si="22"/>
        <v>0</v>
      </c>
      <c r="K37" s="401">
        <f t="shared" si="23"/>
        <v>0</v>
      </c>
      <c r="L37" s="408">
        <f t="shared" si="6"/>
        <v>0</v>
      </c>
      <c r="M37" s="406">
        <f>IFERROR(100/'Skjema total MA'!I37*K37,0)</f>
        <v>0</v>
      </c>
    </row>
    <row r="38" spans="1:15" ht="15.75" x14ac:dyDescent="0.2">
      <c r="A38" s="12" t="s">
        <v>474</v>
      </c>
      <c r="B38" s="401">
        <v>0</v>
      </c>
      <c r="C38" s="402">
        <v>0</v>
      </c>
      <c r="D38" s="408">
        <f t="shared" si="3"/>
        <v>0</v>
      </c>
      <c r="E38" s="183"/>
      <c r="F38" s="415"/>
      <c r="G38" s="416"/>
      <c r="H38" s="408">
        <f t="shared" si="4"/>
        <v>0</v>
      </c>
      <c r="I38" s="406">
        <f>IFERROR(100/'Skjema total MA'!F38*G38,0)</f>
        <v>0</v>
      </c>
      <c r="J38" s="401">
        <f t="shared" si="22"/>
        <v>0</v>
      </c>
      <c r="K38" s="401">
        <f t="shared" si="23"/>
        <v>0</v>
      </c>
      <c r="L38" s="408">
        <f t="shared" si="6"/>
        <v>0</v>
      </c>
      <c r="M38" s="406">
        <f>IFERROR(100/'Skjema total MA'!I38*K38,0)</f>
        <v>0</v>
      </c>
    </row>
    <row r="39" spans="1:15" ht="15.75" x14ac:dyDescent="0.2">
      <c r="A39" s="18" t="s">
        <v>475</v>
      </c>
      <c r="B39" s="403">
        <v>0</v>
      </c>
      <c r="C39" s="404">
        <v>0</v>
      </c>
      <c r="D39" s="412">
        <f t="shared" si="3"/>
        <v>0</v>
      </c>
      <c r="E39" s="184"/>
      <c r="F39" s="418"/>
      <c r="G39" s="419"/>
      <c r="H39" s="412">
        <f t="shared" si="4"/>
        <v>0</v>
      </c>
      <c r="I39" s="406">
        <f>IFERROR(100/'Skjema total MA'!F39*G39,0)</f>
        <v>0</v>
      </c>
      <c r="J39" s="401">
        <f t="shared" si="22"/>
        <v>0</v>
      </c>
      <c r="K39" s="401">
        <f t="shared" si="23"/>
        <v>0</v>
      </c>
      <c r="L39" s="408">
        <f t="shared" si="6"/>
        <v>0</v>
      </c>
      <c r="M39" s="412">
        <f>IFERROR(100/'Skjema total MA'!I39*K39,0)</f>
        <v>0</v>
      </c>
    </row>
    <row r="40" spans="1:15" ht="15.75" x14ac:dyDescent="0.25">
      <c r="A40" s="47"/>
      <c r="B40" s="273"/>
      <c r="C40" s="273"/>
      <c r="D40" s="395"/>
      <c r="E40" s="395"/>
      <c r="F40" s="395"/>
      <c r="G40" s="395"/>
      <c r="H40" s="395"/>
      <c r="I40" s="395"/>
      <c r="J40" s="395"/>
      <c r="K40" s="395"/>
      <c r="L40" s="395"/>
      <c r="M40" s="394"/>
    </row>
    <row r="41" spans="1:15" x14ac:dyDescent="0.2">
      <c r="A41" s="172"/>
    </row>
    <row r="42" spans="1:15" ht="15.75" x14ac:dyDescent="0.25">
      <c r="A42" s="164" t="s">
        <v>363</v>
      </c>
      <c r="B42" s="393"/>
      <c r="C42" s="393"/>
      <c r="D42" s="393"/>
      <c r="E42" s="393"/>
      <c r="F42" s="394"/>
      <c r="G42" s="394"/>
      <c r="H42" s="394"/>
      <c r="I42" s="394"/>
      <c r="J42" s="394"/>
      <c r="K42" s="394"/>
      <c r="L42" s="394"/>
      <c r="M42" s="394"/>
    </row>
    <row r="43" spans="1:15" ht="15.75" x14ac:dyDescent="0.25">
      <c r="A43" s="180"/>
      <c r="B43" s="392"/>
      <c r="C43" s="392"/>
      <c r="D43" s="392"/>
      <c r="E43" s="392"/>
      <c r="F43" s="394"/>
      <c r="G43" s="394"/>
      <c r="H43" s="394"/>
      <c r="I43" s="394"/>
      <c r="J43" s="394"/>
      <c r="K43" s="394"/>
      <c r="L43" s="394"/>
      <c r="M43" s="394"/>
    </row>
    <row r="44" spans="1:15" ht="15.75" x14ac:dyDescent="0.25">
      <c r="A44" s="264"/>
      <c r="B44" s="752" t="s">
        <v>0</v>
      </c>
      <c r="C44" s="753"/>
      <c r="D44" s="753"/>
      <c r="E44" s="259"/>
      <c r="F44" s="394"/>
      <c r="G44" s="394"/>
      <c r="H44" s="394"/>
      <c r="I44" s="394"/>
      <c r="J44" s="394"/>
      <c r="K44" s="394"/>
      <c r="L44" s="394"/>
      <c r="M44" s="394"/>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456" customFormat="1" ht="15.75" x14ac:dyDescent="0.2">
      <c r="A47" s="14" t="s">
        <v>24</v>
      </c>
      <c r="B47" s="401">
        <f>SUM(B48:B49)</f>
        <v>0</v>
      </c>
      <c r="C47" s="402">
        <f>SUM(C48:C49)</f>
        <v>0</v>
      </c>
      <c r="D47" s="460">
        <f>IF(AND(_xlfn.NUMBERVALUE(B47)=0,_xlfn.NUMBERVALUE(C47)=0),,IF(B47=0, "    ---- ", IF(ABS(ROUND(100/B47*C47-100,1))&lt;999,IF(ROUND(100/B47*C47-100,1)=0,"    ---- ",ROUND(100/B47*C47-100,1)),IF(ROUND(100/B47*C47-100,1)&gt;999,999,-999))))</f>
        <v>0</v>
      </c>
      <c r="E47" s="461">
        <f>IFERROR(100/'Skjema total MA'!C47*C47,0)</f>
        <v>0</v>
      </c>
      <c r="F47" s="176"/>
      <c r="G47" s="191"/>
      <c r="H47" s="176"/>
      <c r="I47" s="176"/>
      <c r="J47" s="459"/>
      <c r="K47" s="459"/>
      <c r="L47" s="176"/>
      <c r="M47" s="176"/>
      <c r="N47" s="462"/>
      <c r="O47" s="462"/>
    </row>
    <row r="48" spans="1:15" s="3" customFormat="1" ht="15.75" x14ac:dyDescent="0.2">
      <c r="A48" s="38" t="s">
        <v>476</v>
      </c>
      <c r="B48" s="399">
        <v>0</v>
      </c>
      <c r="C48" s="400">
        <v>0</v>
      </c>
      <c r="D48" s="408">
        <f t="shared" ref="D48:D58" si="24">IF(AND(_xlfn.NUMBERVALUE(B48)=0,_xlfn.NUMBERVALUE(C48)=0),,IF(B48=0, "    ---- ", IF(ABS(ROUND(100/B48*C48-100,1))&lt;999,IF(ROUND(100/B48*C48-100,1)=0,"    ---- ",ROUND(100/B48*C48-100,1)),IF(ROUND(100/B48*C48-100,1)&gt;999,999,-999))))</f>
        <v>0</v>
      </c>
      <c r="E48" s="449">
        <f>IFERROR(100/'Skjema total MA'!C48*C48,0)</f>
        <v>0</v>
      </c>
      <c r="F48" s="162"/>
      <c r="G48" s="33"/>
      <c r="H48" s="162"/>
      <c r="I48" s="162"/>
      <c r="J48" s="33"/>
      <c r="K48" s="33"/>
      <c r="L48" s="176"/>
      <c r="M48" s="176"/>
      <c r="N48" s="165"/>
      <c r="O48" s="165"/>
    </row>
    <row r="49" spans="1:15" s="3" customFormat="1" ht="15.75" x14ac:dyDescent="0.2">
      <c r="A49" s="38" t="s">
        <v>477</v>
      </c>
      <c r="B49" s="399">
        <v>0</v>
      </c>
      <c r="C49" s="400">
        <v>0</v>
      </c>
      <c r="D49" s="408">
        <f t="shared" si="24"/>
        <v>0</v>
      </c>
      <c r="E49" s="449">
        <f>IFERROR(100/'Skjema total MA'!C49*C49,0)</f>
        <v>0</v>
      </c>
      <c r="F49" s="162"/>
      <c r="G49" s="33"/>
      <c r="H49" s="162"/>
      <c r="I49" s="162"/>
      <c r="J49" s="37"/>
      <c r="K49" s="37"/>
      <c r="L49" s="176"/>
      <c r="M49" s="176"/>
      <c r="N49" s="165"/>
      <c r="O49" s="165"/>
    </row>
    <row r="50" spans="1:15" s="3" customFormat="1" x14ac:dyDescent="0.2">
      <c r="A50" s="331" t="s">
        <v>6</v>
      </c>
      <c r="B50" s="398" t="s">
        <v>458</v>
      </c>
      <c r="C50" s="420" t="s">
        <v>458</v>
      </c>
      <c r="D50" s="408">
        <f t="shared" si="24"/>
        <v>0</v>
      </c>
      <c r="E50" s="450" t="str">
        <f>IF(kvartal=4,IFERROR(100/'Skjema total MA'!B50*C50,0),"")</f>
        <v/>
      </c>
      <c r="F50" s="162"/>
      <c r="G50" s="33"/>
      <c r="H50" s="162"/>
      <c r="I50" s="162"/>
      <c r="J50" s="33"/>
      <c r="K50" s="33"/>
      <c r="L50" s="176"/>
      <c r="M50" s="176"/>
      <c r="N50" s="165"/>
      <c r="O50" s="165"/>
    </row>
    <row r="51" spans="1:15" s="3" customFormat="1" x14ac:dyDescent="0.2">
      <c r="A51" s="331" t="s">
        <v>7</v>
      </c>
      <c r="B51" s="398" t="s">
        <v>458</v>
      </c>
      <c r="C51" s="420" t="s">
        <v>458</v>
      </c>
      <c r="D51" s="408">
        <f t="shared" si="24"/>
        <v>0</v>
      </c>
      <c r="E51" s="450" t="str">
        <f>IF(kvartal=4,IFERROR(100/'Skjema total MA'!B51*C51,0),"")</f>
        <v/>
      </c>
      <c r="F51" s="162"/>
      <c r="G51" s="33"/>
      <c r="H51" s="162"/>
      <c r="I51" s="162"/>
      <c r="J51" s="33"/>
      <c r="K51" s="33"/>
      <c r="L51" s="176"/>
      <c r="M51" s="176"/>
      <c r="N51" s="165"/>
      <c r="O51" s="165"/>
    </row>
    <row r="52" spans="1:15" s="3" customFormat="1" x14ac:dyDescent="0.2">
      <c r="A52" s="331" t="s">
        <v>8</v>
      </c>
      <c r="B52" s="398" t="s">
        <v>458</v>
      </c>
      <c r="C52" s="420" t="s">
        <v>458</v>
      </c>
      <c r="D52" s="408">
        <f t="shared" si="24"/>
        <v>0</v>
      </c>
      <c r="E52" s="450" t="str">
        <f>IF(kvartal=4,IFERROR(100/'Skjema total MA'!B52*C52,0),"")</f>
        <v/>
      </c>
      <c r="F52" s="162"/>
      <c r="G52" s="33"/>
      <c r="H52" s="162"/>
      <c r="I52" s="162"/>
      <c r="J52" s="33"/>
      <c r="K52" s="33"/>
      <c r="L52" s="176"/>
      <c r="M52" s="176"/>
      <c r="N52" s="165"/>
      <c r="O52" s="165"/>
    </row>
    <row r="53" spans="1:15" s="3" customFormat="1" ht="15.75" x14ac:dyDescent="0.2">
      <c r="A53" s="39" t="s">
        <v>489</v>
      </c>
      <c r="B53" s="401">
        <f>SUM(B54:B55)</f>
        <v>0</v>
      </c>
      <c r="C53" s="402">
        <f>SUM(C54:C55)</f>
        <v>0</v>
      </c>
      <c r="D53" s="408">
        <f t="shared" si="24"/>
        <v>0</v>
      </c>
      <c r="E53" s="449">
        <f>IFERROR(100/'Skjema total MA'!C53*C53,0)</f>
        <v>0</v>
      </c>
      <c r="F53" s="162"/>
      <c r="G53" s="33"/>
      <c r="H53" s="162"/>
      <c r="I53" s="162"/>
      <c r="J53" s="33"/>
      <c r="K53" s="33"/>
      <c r="L53" s="176"/>
      <c r="M53" s="176"/>
      <c r="N53" s="165"/>
      <c r="O53" s="165"/>
    </row>
    <row r="54" spans="1:15" s="3" customFormat="1" ht="15.75" x14ac:dyDescent="0.2">
      <c r="A54" s="38" t="s">
        <v>476</v>
      </c>
      <c r="B54" s="399">
        <v>0</v>
      </c>
      <c r="C54" s="400">
        <v>0</v>
      </c>
      <c r="D54" s="408">
        <f t="shared" si="24"/>
        <v>0</v>
      </c>
      <c r="E54" s="449">
        <f>IFERROR(100/'Skjema total MA'!C54*C54,0)</f>
        <v>0</v>
      </c>
      <c r="F54" s="162"/>
      <c r="G54" s="33"/>
      <c r="H54" s="162"/>
      <c r="I54" s="162"/>
      <c r="J54" s="33"/>
      <c r="K54" s="33"/>
      <c r="L54" s="176"/>
      <c r="M54" s="176"/>
      <c r="N54" s="165"/>
      <c r="O54" s="165"/>
    </row>
    <row r="55" spans="1:15" s="3" customFormat="1" ht="15.75" x14ac:dyDescent="0.2">
      <c r="A55" s="38" t="s">
        <v>477</v>
      </c>
      <c r="B55" s="399">
        <v>0</v>
      </c>
      <c r="C55" s="400">
        <v>0</v>
      </c>
      <c r="D55" s="408">
        <f t="shared" si="24"/>
        <v>0</v>
      </c>
      <c r="E55" s="449">
        <f>IFERROR(100/'Skjema total MA'!C55*C55,0)</f>
        <v>0</v>
      </c>
      <c r="F55" s="162"/>
      <c r="G55" s="33"/>
      <c r="H55" s="162"/>
      <c r="I55" s="162"/>
      <c r="J55" s="33"/>
      <c r="K55" s="33"/>
      <c r="L55" s="176"/>
      <c r="M55" s="176"/>
      <c r="N55" s="165"/>
      <c r="O55" s="165"/>
    </row>
    <row r="56" spans="1:15" s="3" customFormat="1" ht="15.75" x14ac:dyDescent="0.2">
      <c r="A56" s="39" t="s">
        <v>490</v>
      </c>
      <c r="B56" s="401">
        <f>SUM(B57:B58)</f>
        <v>0</v>
      </c>
      <c r="C56" s="402">
        <f>SUM(C57:C58)</f>
        <v>0</v>
      </c>
      <c r="D56" s="408">
        <f t="shared" si="24"/>
        <v>0</v>
      </c>
      <c r="E56" s="449">
        <f>IFERROR(100/'Skjema total MA'!C56*C56,0)</f>
        <v>0</v>
      </c>
      <c r="F56" s="162"/>
      <c r="G56" s="33"/>
      <c r="H56" s="162"/>
      <c r="I56" s="162"/>
      <c r="J56" s="33"/>
      <c r="K56" s="33"/>
      <c r="L56" s="176"/>
      <c r="M56" s="176"/>
      <c r="N56" s="165"/>
      <c r="O56" s="165"/>
    </row>
    <row r="57" spans="1:15" s="3" customFormat="1" ht="15.75" x14ac:dyDescent="0.2">
      <c r="A57" s="38" t="s">
        <v>476</v>
      </c>
      <c r="B57" s="399">
        <v>0</v>
      </c>
      <c r="C57" s="400">
        <v>0</v>
      </c>
      <c r="D57" s="408">
        <f t="shared" si="24"/>
        <v>0</v>
      </c>
      <c r="E57" s="449">
        <f>IFERROR(100/'Skjema total MA'!C57*C57,0)</f>
        <v>0</v>
      </c>
      <c r="F57" s="162"/>
      <c r="G57" s="33"/>
      <c r="H57" s="162"/>
      <c r="I57" s="162"/>
      <c r="J57" s="33"/>
      <c r="K57" s="33"/>
      <c r="L57" s="176"/>
      <c r="M57" s="176"/>
      <c r="N57" s="165"/>
      <c r="O57" s="165"/>
    </row>
    <row r="58" spans="1:15" s="3" customFormat="1" ht="15.75" x14ac:dyDescent="0.2">
      <c r="A58" s="46" t="s">
        <v>477</v>
      </c>
      <c r="B58" s="421">
        <v>0</v>
      </c>
      <c r="C58" s="422">
        <v>0</v>
      </c>
      <c r="D58" s="412">
        <f t="shared" si="24"/>
        <v>0</v>
      </c>
      <c r="E58" s="451">
        <f>IFERROR(100/'Skjema total MA'!C58*C58,0)</f>
        <v>0</v>
      </c>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392"/>
      <c r="C62" s="392"/>
      <c r="D62" s="392"/>
      <c r="E62" s="393"/>
      <c r="F62" s="392"/>
      <c r="G62" s="392"/>
      <c r="H62" s="392"/>
      <c r="I62" s="393"/>
      <c r="J62" s="392"/>
      <c r="K62" s="392"/>
      <c r="L62" s="392"/>
      <c r="M62" s="393"/>
    </row>
    <row r="63" spans="1:15" x14ac:dyDescent="0.2">
      <c r="A63" s="161"/>
      <c r="B63" s="752" t="s">
        <v>0</v>
      </c>
      <c r="C63" s="753"/>
      <c r="D63" s="754"/>
      <c r="E63" s="389"/>
      <c r="F63" s="753" t="s">
        <v>1</v>
      </c>
      <c r="G63" s="753"/>
      <c r="H63" s="753"/>
      <c r="I63" s="391"/>
      <c r="J63" s="752" t="s">
        <v>2</v>
      </c>
      <c r="K63" s="753"/>
      <c r="L63" s="753"/>
      <c r="M63" s="391"/>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423">
        <f>B67+B68+B75+B76</f>
        <v>0</v>
      </c>
      <c r="C66" s="423">
        <f>C67+C68+C75+C76</f>
        <v>0</v>
      </c>
      <c r="D66" s="405">
        <f t="shared" ref="D66:D111" si="25">IF(AND(_xlfn.NUMBERVALUE(B66)=0,_xlfn.NUMBERVALUE(C66)=0),,IF(B66=0, "    ---- ", IF(ABS(ROUND(100/B66*C66-100,1))&lt;999,IF(ROUND(100/B66*C66-100,1)=0,"    ---- ",ROUND(100/B66*C66-100,1)),IF(ROUND(100/B66*C66-100,1)&gt;999,999,-999))))</f>
        <v>0</v>
      </c>
      <c r="E66" s="406">
        <f>IFERROR(100/'Skjema total MA'!C66*C66,0)</f>
        <v>0</v>
      </c>
      <c r="F66" s="423">
        <f>F67+F68+F75+F76</f>
        <v>0</v>
      </c>
      <c r="G66" s="423">
        <f>G67+G68+G75+G76</f>
        <v>0</v>
      </c>
      <c r="H66" s="405">
        <f t="shared" ref="H66:H111" si="26">IF(AND(_xlfn.NUMBERVALUE(F66)=0,_xlfn.NUMBERVALUE(G66)=0),,IF(F66=0, "    ---- ", IF(ABS(ROUND(100/F66*G66-100,1))&lt;999,IF(ROUND(100/F66*G66-100,1)=0,"    ---- ",ROUND(100/F66*G66-100,1)),IF(ROUND(100/F66*G66-100,1)&gt;999,999,-999))))</f>
        <v>0</v>
      </c>
      <c r="I66" s="406">
        <f>IFERROR(100/'Skjema total MA'!F66*G66,0)</f>
        <v>0</v>
      </c>
      <c r="J66" s="402">
        <f t="shared" ref="J66:K86" si="27">SUM(B66,F66)</f>
        <v>0</v>
      </c>
      <c r="K66" s="396">
        <f t="shared" si="27"/>
        <v>0</v>
      </c>
      <c r="L66" s="408">
        <f t="shared" ref="L66:L111" si="28">IF(AND(_xlfn.NUMBERVALUE(J66)=0,_xlfn.NUMBERVALUE(K66)=0),,IF(J66=0, "    ---- ", IF(ABS(ROUND(100/J66*K66-100,1))&lt;999,IF(ROUND(100/J66*K66-100,1)=0,"    ---- ",ROUND(100/J66*K66-100,1)),IF(ROUND(100/J66*K66-100,1)&gt;999,999,-999))))</f>
        <v>0</v>
      </c>
      <c r="M66" s="406">
        <f>IFERROR(100/'Skjema total MA'!I66*K66,0)</f>
        <v>0</v>
      </c>
    </row>
    <row r="67" spans="1:15" x14ac:dyDescent="0.2">
      <c r="A67" s="21" t="s">
        <v>9</v>
      </c>
      <c r="B67" s="399">
        <v>0</v>
      </c>
      <c r="C67" s="424">
        <v>0</v>
      </c>
      <c r="D67" s="408">
        <f t="shared" si="25"/>
        <v>0</v>
      </c>
      <c r="E67" s="406">
        <f>IFERROR(100/'Skjema total MA'!C67*C67,0)</f>
        <v>0</v>
      </c>
      <c r="F67" s="411">
        <v>0</v>
      </c>
      <c r="G67" s="424">
        <v>0</v>
      </c>
      <c r="H67" s="408">
        <f t="shared" si="26"/>
        <v>0</v>
      </c>
      <c r="I67" s="406">
        <f>IFERROR(100/'Skjema total MA'!F67*G67,0)</f>
        <v>0</v>
      </c>
      <c r="J67" s="400">
        <f t="shared" si="27"/>
        <v>0</v>
      </c>
      <c r="K67" s="399">
        <f t="shared" si="27"/>
        <v>0</v>
      </c>
      <c r="L67" s="408">
        <f t="shared" si="28"/>
        <v>0</v>
      </c>
      <c r="M67" s="406">
        <f>IFERROR(100/'Skjema total MA'!I67*K67,0)</f>
        <v>0</v>
      </c>
    </row>
    <row r="68" spans="1:15" x14ac:dyDescent="0.2">
      <c r="A68" s="21" t="s">
        <v>10</v>
      </c>
      <c r="B68" s="425">
        <v>0</v>
      </c>
      <c r="C68" s="426">
        <v>0</v>
      </c>
      <c r="D68" s="408">
        <f t="shared" si="25"/>
        <v>0</v>
      </c>
      <c r="E68" s="406">
        <f>IFERROR(100/'Skjema total MA'!C68*C68,0)</f>
        <v>0</v>
      </c>
      <c r="F68" s="425">
        <v>0</v>
      </c>
      <c r="G68" s="426">
        <v>0</v>
      </c>
      <c r="H68" s="408">
        <f t="shared" si="26"/>
        <v>0</v>
      </c>
      <c r="I68" s="406">
        <f>IFERROR(100/'Skjema total MA'!F68*G68,0)</f>
        <v>0</v>
      </c>
      <c r="J68" s="400">
        <f t="shared" si="27"/>
        <v>0</v>
      </c>
      <c r="K68" s="399">
        <f t="shared" si="27"/>
        <v>0</v>
      </c>
      <c r="L68" s="408">
        <f t="shared" si="28"/>
        <v>0</v>
      </c>
      <c r="M68" s="406">
        <f>IFERROR(100/'Skjema total MA'!I68*K68,0)</f>
        <v>0</v>
      </c>
    </row>
    <row r="69" spans="1:15" ht="15.75" x14ac:dyDescent="0.2">
      <c r="A69" s="729" t="s">
        <v>478</v>
      </c>
      <c r="B69" s="399" t="s">
        <v>458</v>
      </c>
      <c r="C69" s="399" t="s">
        <v>458</v>
      </c>
      <c r="D69" s="408">
        <f t="shared" si="25"/>
        <v>0</v>
      </c>
      <c r="E69" s="433" t="str">
        <f>IF(kvartal=4,IFERROR(100/'Skjema total MA'!B69*C69,0),"")</f>
        <v/>
      </c>
      <c r="F69" s="399" t="s">
        <v>458</v>
      </c>
      <c r="G69" s="399" t="s">
        <v>458</v>
      </c>
      <c r="H69" s="408">
        <f t="shared" si="26"/>
        <v>0</v>
      </c>
      <c r="I69" s="406">
        <f>IFERROR(100/'Skjema total MA'!F69*G69,0)</f>
        <v>0</v>
      </c>
      <c r="J69" s="398" t="str">
        <f t="shared" ref="J69:K74" si="29">IF(kvartal=4,SUM(B69,F69),"")</f>
        <v/>
      </c>
      <c r="K69" s="398" t="str">
        <f t="shared" si="29"/>
        <v/>
      </c>
      <c r="L69" s="408">
        <f t="shared" si="28"/>
        <v>0</v>
      </c>
      <c r="M69" s="406">
        <f>IFERROR(100/'Skjema total MA'!I69*K69,0)</f>
        <v>0</v>
      </c>
    </row>
    <row r="70" spans="1:15" x14ac:dyDescent="0.2">
      <c r="A70" s="729" t="s">
        <v>12</v>
      </c>
      <c r="B70" s="427"/>
      <c r="C70" s="428"/>
      <c r="D70" s="408">
        <f t="shared" si="25"/>
        <v>0</v>
      </c>
      <c r="E70" s="433" t="str">
        <f>IF(kvartal=4,IFERROR(100/'Skjema total MA'!B70*C70,0),"")</f>
        <v/>
      </c>
      <c r="F70" s="399" t="s">
        <v>458</v>
      </c>
      <c r="G70" s="399" t="s">
        <v>458</v>
      </c>
      <c r="H70" s="408">
        <f t="shared" si="26"/>
        <v>0</v>
      </c>
      <c r="I70" s="406">
        <f>IFERROR(100/'Skjema total MA'!F70*G70,0)</f>
        <v>0</v>
      </c>
      <c r="J70" s="398" t="str">
        <f t="shared" si="29"/>
        <v/>
      </c>
      <c r="K70" s="398" t="str">
        <f t="shared" si="29"/>
        <v/>
      </c>
      <c r="L70" s="408">
        <f t="shared" si="28"/>
        <v>0</v>
      </c>
      <c r="M70" s="406">
        <f>IFERROR(100/'Skjema total MA'!I70*K70,0)</f>
        <v>0</v>
      </c>
    </row>
    <row r="71" spans="1:15" x14ac:dyDescent="0.2">
      <c r="A71" s="729" t="s">
        <v>13</v>
      </c>
      <c r="B71" s="429"/>
      <c r="C71" s="430"/>
      <c r="D71" s="408">
        <f t="shared" si="25"/>
        <v>0</v>
      </c>
      <c r="E71" s="433" t="str">
        <f>IF(kvartal=4,IFERROR(100/'Skjema total MA'!B71*C71,0),"")</f>
        <v/>
      </c>
      <c r="F71" s="399" t="s">
        <v>458</v>
      </c>
      <c r="G71" s="399" t="s">
        <v>458</v>
      </c>
      <c r="H71" s="408">
        <f t="shared" si="26"/>
        <v>0</v>
      </c>
      <c r="I71" s="406">
        <f>IFERROR(100/'Skjema total MA'!F71*G71,0)</f>
        <v>0</v>
      </c>
      <c r="J71" s="398" t="str">
        <f t="shared" si="29"/>
        <v/>
      </c>
      <c r="K71" s="398" t="str">
        <f t="shared" si="29"/>
        <v/>
      </c>
      <c r="L71" s="408">
        <f t="shared" si="28"/>
        <v>0</v>
      </c>
      <c r="M71" s="406">
        <f>IFERROR(100/'Skjema total MA'!I71*K71,0)</f>
        <v>0</v>
      </c>
    </row>
    <row r="72" spans="1:15" ht="15.75" x14ac:dyDescent="0.2">
      <c r="A72" s="729" t="s">
        <v>479</v>
      </c>
      <c r="B72" s="399" t="s">
        <v>458</v>
      </c>
      <c r="C72" s="399" t="s">
        <v>458</v>
      </c>
      <c r="D72" s="408">
        <f t="shared" si="25"/>
        <v>0</v>
      </c>
      <c r="E72" s="433" t="str">
        <f>IF(kvartal=4,IFERROR(100/'Skjema total MA'!B72*C72,0),"")</f>
        <v/>
      </c>
      <c r="F72" s="399" t="s">
        <v>458</v>
      </c>
      <c r="G72" s="399" t="s">
        <v>458</v>
      </c>
      <c r="H72" s="408">
        <f t="shared" si="26"/>
        <v>0</v>
      </c>
      <c r="I72" s="406">
        <f>IFERROR(100/'Skjema total MA'!F72*G72,0)</f>
        <v>0</v>
      </c>
      <c r="J72" s="398" t="str">
        <f t="shared" si="29"/>
        <v/>
      </c>
      <c r="K72" s="398" t="str">
        <f t="shared" si="29"/>
        <v/>
      </c>
      <c r="L72" s="408">
        <f t="shared" si="28"/>
        <v>0</v>
      </c>
      <c r="M72" s="406">
        <f>IFERROR(100/'Skjema total MA'!I72*K72,0)</f>
        <v>0</v>
      </c>
    </row>
    <row r="73" spans="1:15" x14ac:dyDescent="0.2">
      <c r="A73" s="729" t="s">
        <v>12</v>
      </c>
      <c r="B73" s="429"/>
      <c r="C73" s="430"/>
      <c r="D73" s="408">
        <f t="shared" si="25"/>
        <v>0</v>
      </c>
      <c r="E73" s="433" t="str">
        <f>IF(kvartal=4,IFERROR(100/'Skjema total MA'!B73*C73,0),"")</f>
        <v/>
      </c>
      <c r="F73" s="399" t="s">
        <v>458</v>
      </c>
      <c r="G73" s="399" t="s">
        <v>458</v>
      </c>
      <c r="H73" s="408">
        <f t="shared" si="26"/>
        <v>0</v>
      </c>
      <c r="I73" s="406">
        <f>IFERROR(100/'Skjema total MA'!F73*G73,0)</f>
        <v>0</v>
      </c>
      <c r="J73" s="398" t="str">
        <f t="shared" si="29"/>
        <v/>
      </c>
      <c r="K73" s="398" t="str">
        <f t="shared" si="29"/>
        <v/>
      </c>
      <c r="L73" s="408">
        <f t="shared" si="28"/>
        <v>0</v>
      </c>
      <c r="M73" s="406">
        <f>IFERROR(100/'Skjema total MA'!I73*K73,0)</f>
        <v>0</v>
      </c>
    </row>
    <row r="74" spans="1:15" s="3" customFormat="1" x14ac:dyDescent="0.2">
      <c r="A74" s="729" t="s">
        <v>13</v>
      </c>
      <c r="B74" s="429"/>
      <c r="C74" s="430"/>
      <c r="D74" s="408">
        <f t="shared" si="25"/>
        <v>0</v>
      </c>
      <c r="E74" s="433" t="str">
        <f>IF(kvartal=4,IFERROR(100/'Skjema total MA'!B74*C74,0),"")</f>
        <v/>
      </c>
      <c r="F74" s="399" t="s">
        <v>458</v>
      </c>
      <c r="G74" s="399" t="s">
        <v>458</v>
      </c>
      <c r="H74" s="408">
        <f t="shared" si="26"/>
        <v>0</v>
      </c>
      <c r="I74" s="406">
        <f>IFERROR(100/'Skjema total MA'!F74*G74,0)</f>
        <v>0</v>
      </c>
      <c r="J74" s="398" t="str">
        <f t="shared" si="29"/>
        <v/>
      </c>
      <c r="K74" s="398" t="str">
        <f t="shared" si="29"/>
        <v/>
      </c>
      <c r="L74" s="408">
        <f t="shared" si="28"/>
        <v>0</v>
      </c>
      <c r="M74" s="406">
        <f>IFERROR(100/'Skjema total MA'!I74*K74,0)</f>
        <v>0</v>
      </c>
      <c r="N74" s="165"/>
      <c r="O74" s="165"/>
    </row>
    <row r="75" spans="1:15" s="3" customFormat="1" x14ac:dyDescent="0.2">
      <c r="A75" s="21" t="s">
        <v>443</v>
      </c>
      <c r="B75" s="411">
        <v>0</v>
      </c>
      <c r="C75" s="424">
        <v>0</v>
      </c>
      <c r="D75" s="408">
        <f t="shared" si="25"/>
        <v>0</v>
      </c>
      <c r="E75" s="406">
        <f>IFERROR(100/'Skjema total MA'!C75*C75,0)</f>
        <v>0</v>
      </c>
      <c r="F75" s="411">
        <v>0</v>
      </c>
      <c r="G75" s="424">
        <v>0</v>
      </c>
      <c r="H75" s="408">
        <f t="shared" si="26"/>
        <v>0</v>
      </c>
      <c r="I75" s="406">
        <f>IFERROR(100/'Skjema total MA'!F75*G75,0)</f>
        <v>0</v>
      </c>
      <c r="J75" s="400">
        <f t="shared" si="27"/>
        <v>0</v>
      </c>
      <c r="K75" s="399">
        <f t="shared" si="27"/>
        <v>0</v>
      </c>
      <c r="L75" s="408">
        <f t="shared" si="28"/>
        <v>0</v>
      </c>
      <c r="M75" s="406">
        <f>IFERROR(100/'Skjema total MA'!I75*K75,0)</f>
        <v>0</v>
      </c>
      <c r="N75" s="165"/>
      <c r="O75" s="165"/>
    </row>
    <row r="76" spans="1:15" s="3" customFormat="1" x14ac:dyDescent="0.2">
      <c r="A76" s="21" t="s">
        <v>442</v>
      </c>
      <c r="B76" s="411">
        <v>0</v>
      </c>
      <c r="C76" s="424">
        <v>0</v>
      </c>
      <c r="D76" s="408">
        <f t="shared" ref="D76" si="30">IF(AND(_xlfn.NUMBERVALUE(B76)=0,_xlfn.NUMBERVALUE(C76)=0),,IF(B76=0, "    ---- ", IF(ABS(ROUND(100/B76*C76-100,1))&lt;999,IF(ROUND(100/B76*C76-100,1)=0,"    ---- ",ROUND(100/B76*C76-100,1)),IF(ROUND(100/B76*C76-100,1)&gt;999,999,-999))))</f>
        <v>0</v>
      </c>
      <c r="E76" s="406">
        <f>IFERROR(100/'Skjema total MA'!C77*C76,0)</f>
        <v>0</v>
      </c>
      <c r="F76" s="411">
        <v>0</v>
      </c>
      <c r="G76" s="424">
        <v>0</v>
      </c>
      <c r="H76" s="408">
        <f t="shared" ref="H76" si="31">IF(AND(_xlfn.NUMBERVALUE(F76)=0,_xlfn.NUMBERVALUE(G76)=0),,IF(F76=0, "    ---- ", IF(ABS(ROUND(100/F76*G76-100,1))&lt;999,IF(ROUND(100/F76*G76-100,1)=0,"    ---- ",ROUND(100/F76*G76-100,1)),IF(ROUND(100/F76*G76-100,1)&gt;999,999,-999))))</f>
        <v>0</v>
      </c>
      <c r="I76" s="406">
        <f>IFERROR(100/'Skjema total MA'!F77*G76,0)</f>
        <v>0</v>
      </c>
      <c r="J76" s="400">
        <f t="shared" ref="J76" si="32">SUM(B76,F76)</f>
        <v>0</v>
      </c>
      <c r="K76" s="399">
        <f t="shared" ref="K76" si="33">SUM(C76,G76)</f>
        <v>0</v>
      </c>
      <c r="L76" s="408">
        <f t="shared" ref="L76" si="34">IF(AND(_xlfn.NUMBERVALUE(J76)=0,_xlfn.NUMBERVALUE(K76)=0),,IF(J76=0, "    ---- ", IF(ABS(ROUND(100/J76*K76-100,1))&lt;999,IF(ROUND(100/J76*K76-100,1)=0,"    ---- ",ROUND(100/J76*K76-100,1)),IF(ROUND(100/J76*K76-100,1)&gt;999,999,-999))))</f>
        <v>0</v>
      </c>
      <c r="M76" s="406">
        <f>IFERROR(100/'Skjema total MA'!I77*K76,0)</f>
        <v>0</v>
      </c>
      <c r="N76" s="165"/>
      <c r="O76" s="165"/>
    </row>
    <row r="77" spans="1:15" ht="15.75" x14ac:dyDescent="0.2">
      <c r="A77" s="21" t="s">
        <v>480</v>
      </c>
      <c r="B77" s="411">
        <v>0</v>
      </c>
      <c r="C77" s="411">
        <v>0</v>
      </c>
      <c r="D77" s="408">
        <f t="shared" si="25"/>
        <v>0</v>
      </c>
      <c r="E77" s="406">
        <f>IFERROR(100/'Skjema total MA'!C77*C77,0)</f>
        <v>0</v>
      </c>
      <c r="F77" s="411">
        <v>0</v>
      </c>
      <c r="G77" s="424">
        <v>0</v>
      </c>
      <c r="H77" s="408">
        <f t="shared" si="26"/>
        <v>0</v>
      </c>
      <c r="I77" s="406">
        <f>IFERROR(100/'Skjema total MA'!F77*G77,0)</f>
        <v>0</v>
      </c>
      <c r="J77" s="400">
        <f t="shared" si="27"/>
        <v>0</v>
      </c>
      <c r="K77" s="399">
        <f t="shared" si="27"/>
        <v>0</v>
      </c>
      <c r="L77" s="408">
        <f t="shared" si="28"/>
        <v>0</v>
      </c>
      <c r="M77" s="406">
        <f>IFERROR(100/'Skjema total MA'!I77*K77,0)</f>
        <v>0</v>
      </c>
    </row>
    <row r="78" spans="1:15" x14ac:dyDescent="0.2">
      <c r="A78" s="21" t="s">
        <v>9</v>
      </c>
      <c r="B78" s="411">
        <v>0</v>
      </c>
      <c r="C78" s="424">
        <v>0</v>
      </c>
      <c r="D78" s="408">
        <f t="shared" si="25"/>
        <v>0</v>
      </c>
      <c r="E78" s="406">
        <f>IFERROR(100/'Skjema total MA'!C78*C78,0)</f>
        <v>0</v>
      </c>
      <c r="F78" s="411">
        <v>0</v>
      </c>
      <c r="G78" s="424">
        <v>0</v>
      </c>
      <c r="H78" s="408">
        <f t="shared" si="26"/>
        <v>0</v>
      </c>
      <c r="I78" s="406">
        <f>IFERROR(100/'Skjema total MA'!F78*G78,0)</f>
        <v>0</v>
      </c>
      <c r="J78" s="400">
        <f t="shared" si="27"/>
        <v>0</v>
      </c>
      <c r="K78" s="399">
        <f t="shared" si="27"/>
        <v>0</v>
      </c>
      <c r="L78" s="408">
        <f t="shared" si="28"/>
        <v>0</v>
      </c>
      <c r="M78" s="406">
        <f>IFERROR(100/'Skjema total MA'!I78*K78,0)</f>
        <v>0</v>
      </c>
    </row>
    <row r="79" spans="1:15" x14ac:dyDescent="0.2">
      <c r="A79" s="21" t="s">
        <v>10</v>
      </c>
      <c r="B79" s="425">
        <v>0</v>
      </c>
      <c r="C79" s="426">
        <v>0</v>
      </c>
      <c r="D79" s="408">
        <f t="shared" si="25"/>
        <v>0</v>
      </c>
      <c r="E79" s="406">
        <f>IFERROR(100/'Skjema total MA'!C79*C79,0)</f>
        <v>0</v>
      </c>
      <c r="F79" s="425">
        <v>0</v>
      </c>
      <c r="G79" s="426">
        <v>0</v>
      </c>
      <c r="H79" s="408">
        <f t="shared" si="26"/>
        <v>0</v>
      </c>
      <c r="I79" s="406">
        <f>IFERROR(100/'Skjema total MA'!F79*G79,0)</f>
        <v>0</v>
      </c>
      <c r="J79" s="400">
        <f t="shared" si="27"/>
        <v>0</v>
      </c>
      <c r="K79" s="399">
        <f t="shared" si="27"/>
        <v>0</v>
      </c>
      <c r="L79" s="408">
        <f t="shared" si="28"/>
        <v>0</v>
      </c>
      <c r="M79" s="406">
        <f>IFERROR(100/'Skjema total MA'!I79*K79,0)</f>
        <v>0</v>
      </c>
    </row>
    <row r="80" spans="1:15" ht="15.75" x14ac:dyDescent="0.2">
      <c r="A80" s="729" t="s">
        <v>478</v>
      </c>
      <c r="B80" s="399" t="s">
        <v>458</v>
      </c>
      <c r="C80" s="399" t="s">
        <v>458</v>
      </c>
      <c r="D80" s="408">
        <f t="shared" si="25"/>
        <v>0</v>
      </c>
      <c r="E80" s="433" t="str">
        <f>IF(kvartal=4,IFERROR(100/'Skjema total MA'!B80*C80,0),"")</f>
        <v/>
      </c>
      <c r="F80" s="399" t="s">
        <v>458</v>
      </c>
      <c r="G80" s="399" t="s">
        <v>458</v>
      </c>
      <c r="H80" s="408">
        <f t="shared" si="26"/>
        <v>0</v>
      </c>
      <c r="I80" s="406">
        <f>IFERROR(100/'Skjema total MA'!F80*G80,0)</f>
        <v>0</v>
      </c>
      <c r="J80" s="398" t="str">
        <f t="shared" ref="J80:K85" si="35">IF(kvartal=4,SUM(B80,F80),"")</f>
        <v/>
      </c>
      <c r="K80" s="398" t="str">
        <f t="shared" si="35"/>
        <v/>
      </c>
      <c r="L80" s="408">
        <f t="shared" si="28"/>
        <v>0</v>
      </c>
      <c r="M80" s="406">
        <f>IFERROR(100/'Skjema total MA'!I80*K80,0)</f>
        <v>0</v>
      </c>
    </row>
    <row r="81" spans="1:13" x14ac:dyDescent="0.2">
      <c r="A81" s="729" t="s">
        <v>12</v>
      </c>
      <c r="B81" s="429"/>
      <c r="C81" s="430"/>
      <c r="D81" s="408">
        <f t="shared" si="25"/>
        <v>0</v>
      </c>
      <c r="E81" s="433" t="str">
        <f>IF(kvartal=4,IFERROR(100/'Skjema total MA'!B81*C81,0),"")</f>
        <v/>
      </c>
      <c r="F81" s="399" t="s">
        <v>458</v>
      </c>
      <c r="G81" s="399" t="s">
        <v>458</v>
      </c>
      <c r="H81" s="408">
        <f t="shared" si="26"/>
        <v>0</v>
      </c>
      <c r="I81" s="406">
        <f>IFERROR(100/'Skjema total MA'!F81*G81,0)</f>
        <v>0</v>
      </c>
      <c r="J81" s="398" t="str">
        <f t="shared" si="35"/>
        <v/>
      </c>
      <c r="K81" s="398" t="str">
        <f t="shared" si="35"/>
        <v/>
      </c>
      <c r="L81" s="408">
        <f t="shared" si="28"/>
        <v>0</v>
      </c>
      <c r="M81" s="406">
        <f>IFERROR(100/'Skjema total MA'!I81*K81,0)</f>
        <v>0</v>
      </c>
    </row>
    <row r="82" spans="1:13" x14ac:dyDescent="0.2">
      <c r="A82" s="729" t="s">
        <v>13</v>
      </c>
      <c r="B82" s="429"/>
      <c r="C82" s="430"/>
      <c r="D82" s="408">
        <f t="shared" si="25"/>
        <v>0</v>
      </c>
      <c r="E82" s="433" t="str">
        <f>IF(kvartal=4,IFERROR(100/'Skjema total MA'!B82*C82,0),"")</f>
        <v/>
      </c>
      <c r="F82" s="399" t="s">
        <v>458</v>
      </c>
      <c r="G82" s="399" t="s">
        <v>458</v>
      </c>
      <c r="H82" s="408">
        <f t="shared" si="26"/>
        <v>0</v>
      </c>
      <c r="I82" s="406">
        <f>IFERROR(100/'Skjema total MA'!F82*G82,0)</f>
        <v>0</v>
      </c>
      <c r="J82" s="398" t="str">
        <f t="shared" si="35"/>
        <v/>
      </c>
      <c r="K82" s="398" t="str">
        <f t="shared" si="35"/>
        <v/>
      </c>
      <c r="L82" s="408">
        <f t="shared" si="28"/>
        <v>0</v>
      </c>
      <c r="M82" s="406">
        <f>IFERROR(100/'Skjema total MA'!I82*K82,0)</f>
        <v>0</v>
      </c>
    </row>
    <row r="83" spans="1:13" ht="15.75" x14ac:dyDescent="0.2">
      <c r="A83" s="729" t="s">
        <v>479</v>
      </c>
      <c r="B83" s="399" t="s">
        <v>458</v>
      </c>
      <c r="C83" s="399" t="s">
        <v>458</v>
      </c>
      <c r="D83" s="408">
        <f t="shared" si="25"/>
        <v>0</v>
      </c>
      <c r="E83" s="433" t="str">
        <f>IF(kvartal=4,IFERROR(100/'Skjema total MA'!B83*C83,0),"")</f>
        <v/>
      </c>
      <c r="F83" s="399" t="s">
        <v>458</v>
      </c>
      <c r="G83" s="399" t="s">
        <v>458</v>
      </c>
      <c r="H83" s="408">
        <f t="shared" si="26"/>
        <v>0</v>
      </c>
      <c r="I83" s="406">
        <f>IFERROR(100/'Skjema total MA'!F83*G83,0)</f>
        <v>0</v>
      </c>
      <c r="J83" s="398" t="str">
        <f t="shared" si="35"/>
        <v/>
      </c>
      <c r="K83" s="398" t="str">
        <f t="shared" si="35"/>
        <v/>
      </c>
      <c r="L83" s="408">
        <f t="shared" si="28"/>
        <v>0</v>
      </c>
      <c r="M83" s="406">
        <f>IFERROR(100/'Skjema total MA'!I83*K83,0)</f>
        <v>0</v>
      </c>
    </row>
    <row r="84" spans="1:13" x14ac:dyDescent="0.2">
      <c r="A84" s="729" t="s">
        <v>12</v>
      </c>
      <c r="B84" s="429"/>
      <c r="C84" s="430"/>
      <c r="D84" s="408">
        <f t="shared" si="25"/>
        <v>0</v>
      </c>
      <c r="E84" s="433" t="str">
        <f>IF(kvartal=4,IFERROR(100/'Skjema total MA'!B84*C84,0),"")</f>
        <v/>
      </c>
      <c r="F84" s="399" t="s">
        <v>458</v>
      </c>
      <c r="G84" s="399" t="s">
        <v>458</v>
      </c>
      <c r="H84" s="408">
        <f t="shared" si="26"/>
        <v>0</v>
      </c>
      <c r="I84" s="406">
        <f>IFERROR(100/'Skjema total MA'!F84*G84,0)</f>
        <v>0</v>
      </c>
      <c r="J84" s="398" t="str">
        <f t="shared" si="35"/>
        <v/>
      </c>
      <c r="K84" s="398" t="str">
        <f t="shared" si="35"/>
        <v/>
      </c>
      <c r="L84" s="408">
        <f t="shared" si="28"/>
        <v>0</v>
      </c>
      <c r="M84" s="406">
        <f>IFERROR(100/'Skjema total MA'!I84*K84,0)</f>
        <v>0</v>
      </c>
    </row>
    <row r="85" spans="1:13" x14ac:dyDescent="0.2">
      <c r="A85" s="729" t="s">
        <v>13</v>
      </c>
      <c r="B85" s="429"/>
      <c r="C85" s="430"/>
      <c r="D85" s="408">
        <f t="shared" si="25"/>
        <v>0</v>
      </c>
      <c r="E85" s="433" t="str">
        <f>IF(kvartal=4,IFERROR(100/'Skjema total MA'!B85*C85,0),"")</f>
        <v/>
      </c>
      <c r="F85" s="399" t="s">
        <v>458</v>
      </c>
      <c r="G85" s="399" t="s">
        <v>458</v>
      </c>
      <c r="H85" s="408">
        <f t="shared" si="26"/>
        <v>0</v>
      </c>
      <c r="I85" s="406">
        <f>IFERROR(100/'Skjema total MA'!F85*G85,0)</f>
        <v>0</v>
      </c>
      <c r="J85" s="398" t="str">
        <f t="shared" si="35"/>
        <v/>
      </c>
      <c r="K85" s="398" t="str">
        <f t="shared" si="35"/>
        <v/>
      </c>
      <c r="L85" s="408">
        <f t="shared" si="28"/>
        <v>0</v>
      </c>
      <c r="M85" s="406">
        <f>IFERROR(100/'Skjema total MA'!I85*K85,0)</f>
        <v>0</v>
      </c>
    </row>
    <row r="86" spans="1:13" ht="15.75" x14ac:dyDescent="0.2">
      <c r="A86" s="21" t="s">
        <v>481</v>
      </c>
      <c r="B86" s="411">
        <v>0</v>
      </c>
      <c r="C86" s="424">
        <v>0</v>
      </c>
      <c r="D86" s="408">
        <f t="shared" si="25"/>
        <v>0</v>
      </c>
      <c r="E86" s="406">
        <f>IFERROR(100/'Skjema total MA'!C86*C86,0)</f>
        <v>0</v>
      </c>
      <c r="F86" s="411">
        <v>0</v>
      </c>
      <c r="G86" s="424">
        <v>0</v>
      </c>
      <c r="H86" s="408">
        <f t="shared" si="26"/>
        <v>0</v>
      </c>
      <c r="I86" s="406">
        <f>IFERROR(100/'Skjema total MA'!F86*G86,0)</f>
        <v>0</v>
      </c>
      <c r="J86" s="400">
        <f t="shared" si="27"/>
        <v>0</v>
      </c>
      <c r="K86" s="399">
        <f t="shared" si="27"/>
        <v>0</v>
      </c>
      <c r="L86" s="408">
        <f t="shared" si="28"/>
        <v>0</v>
      </c>
      <c r="M86" s="406">
        <f>IFERROR(100/'Skjema total MA'!I86*K86,0)</f>
        <v>0</v>
      </c>
    </row>
    <row r="87" spans="1:13" ht="15.75" x14ac:dyDescent="0.2">
      <c r="A87" s="13" t="s">
        <v>466</v>
      </c>
      <c r="B87" s="423">
        <f>B88+B89+B96+B97</f>
        <v>0</v>
      </c>
      <c r="C87" s="423">
        <f>C88+C89+C96+C97</f>
        <v>0</v>
      </c>
      <c r="D87" s="408">
        <f t="shared" si="25"/>
        <v>0</v>
      </c>
      <c r="E87" s="406">
        <f>IFERROR(100/'Skjema total MA'!C87*C87,0)</f>
        <v>0</v>
      </c>
      <c r="F87" s="423">
        <f>SUM(F88,F89,F96,F97)</f>
        <v>0</v>
      </c>
      <c r="G87" s="423">
        <f>SUM(G88,G89,G96,G97)</f>
        <v>0</v>
      </c>
      <c r="H87" s="408">
        <f t="shared" si="26"/>
        <v>0</v>
      </c>
      <c r="I87" s="406">
        <f>IFERROR(100/'Skjema total MA'!F87*G87,0)</f>
        <v>0</v>
      </c>
      <c r="J87" s="402">
        <f t="shared" ref="J87:K111" si="36">SUM(B87,F87)</f>
        <v>0</v>
      </c>
      <c r="K87" s="401">
        <f t="shared" si="36"/>
        <v>0</v>
      </c>
      <c r="L87" s="408">
        <f t="shared" si="28"/>
        <v>0</v>
      </c>
      <c r="M87" s="406">
        <f>IFERROR(100/'Skjema total MA'!I87*K87,0)</f>
        <v>0</v>
      </c>
    </row>
    <row r="88" spans="1:13" x14ac:dyDescent="0.2">
      <c r="A88" s="21" t="s">
        <v>9</v>
      </c>
      <c r="B88" s="411">
        <v>0</v>
      </c>
      <c r="C88" s="424">
        <v>0</v>
      </c>
      <c r="D88" s="408">
        <f t="shared" si="25"/>
        <v>0</v>
      </c>
      <c r="E88" s="406">
        <f>IFERROR(100/'Skjema total MA'!C88*C88,0)</f>
        <v>0</v>
      </c>
      <c r="F88" s="411">
        <v>0</v>
      </c>
      <c r="G88" s="424">
        <v>0</v>
      </c>
      <c r="H88" s="408">
        <f t="shared" si="26"/>
        <v>0</v>
      </c>
      <c r="I88" s="406">
        <f>IFERROR(100/'Skjema total MA'!F88*G88,0)</f>
        <v>0</v>
      </c>
      <c r="J88" s="400">
        <f t="shared" si="36"/>
        <v>0</v>
      </c>
      <c r="K88" s="399">
        <f t="shared" si="36"/>
        <v>0</v>
      </c>
      <c r="L88" s="408">
        <f t="shared" si="28"/>
        <v>0</v>
      </c>
      <c r="M88" s="406">
        <f>IFERROR(100/'Skjema total MA'!I88*K88,0)</f>
        <v>0</v>
      </c>
    </row>
    <row r="89" spans="1:13" x14ac:dyDescent="0.2">
      <c r="A89" s="21" t="s">
        <v>10</v>
      </c>
      <c r="B89" s="411">
        <v>0</v>
      </c>
      <c r="C89" s="424">
        <v>0</v>
      </c>
      <c r="D89" s="408">
        <f t="shared" si="25"/>
        <v>0</v>
      </c>
      <c r="E89" s="406">
        <f>IFERROR(100/'Skjema total MA'!C89*C89,0)</f>
        <v>0</v>
      </c>
      <c r="F89" s="411">
        <v>0</v>
      </c>
      <c r="G89" s="424">
        <v>0</v>
      </c>
      <c r="H89" s="408">
        <f t="shared" si="26"/>
        <v>0</v>
      </c>
      <c r="I89" s="406">
        <f>IFERROR(100/'Skjema total MA'!F89*G89,0)</f>
        <v>0</v>
      </c>
      <c r="J89" s="400">
        <f t="shared" si="36"/>
        <v>0</v>
      </c>
      <c r="K89" s="399">
        <f t="shared" si="36"/>
        <v>0</v>
      </c>
      <c r="L89" s="408">
        <f t="shared" si="28"/>
        <v>0</v>
      </c>
      <c r="M89" s="406">
        <f>IFERROR(100/'Skjema total MA'!I89*K89,0)</f>
        <v>0</v>
      </c>
    </row>
    <row r="90" spans="1:13" ht="15.75" x14ac:dyDescent="0.2">
      <c r="A90" s="729" t="s">
        <v>478</v>
      </c>
      <c r="B90" s="399" t="s">
        <v>458</v>
      </c>
      <c r="C90" s="399" t="s">
        <v>458</v>
      </c>
      <c r="D90" s="408">
        <f t="shared" si="25"/>
        <v>0</v>
      </c>
      <c r="E90" s="433" t="str">
        <f>IF(kvartal=4,IFERROR(100/'Skjema total MA'!B90*C90,0),"")</f>
        <v/>
      </c>
      <c r="F90" s="399" t="s">
        <v>458</v>
      </c>
      <c r="G90" s="399" t="s">
        <v>458</v>
      </c>
      <c r="H90" s="408">
        <f t="shared" si="26"/>
        <v>0</v>
      </c>
      <c r="I90" s="406">
        <f>IFERROR(100/'Skjema total MA'!F90*G90,0)</f>
        <v>0</v>
      </c>
      <c r="J90" s="398" t="str">
        <f t="shared" ref="J90:K95" si="37">IF(kvartal=4,SUM(B90,F90),"")</f>
        <v/>
      </c>
      <c r="K90" s="398" t="str">
        <f t="shared" si="37"/>
        <v/>
      </c>
      <c r="L90" s="408">
        <f t="shared" si="28"/>
        <v>0</v>
      </c>
      <c r="M90" s="406">
        <f>IFERROR(100/'Skjema total MA'!I90*K90,0)</f>
        <v>0</v>
      </c>
    </row>
    <row r="91" spans="1:13" x14ac:dyDescent="0.2">
      <c r="A91" s="729" t="s">
        <v>12</v>
      </c>
      <c r="B91" s="429"/>
      <c r="C91" s="430"/>
      <c r="D91" s="408">
        <f t="shared" si="25"/>
        <v>0</v>
      </c>
      <c r="E91" s="433" t="str">
        <f>IF(kvartal=4,IFERROR(100/'Skjema total MA'!B91*C91,0),"")</f>
        <v/>
      </c>
      <c r="F91" s="399" t="s">
        <v>458</v>
      </c>
      <c r="G91" s="399" t="s">
        <v>458</v>
      </c>
      <c r="H91" s="408">
        <f t="shared" si="26"/>
        <v>0</v>
      </c>
      <c r="I91" s="406">
        <f>IFERROR(100/'Skjema total MA'!F91*G91,0)</f>
        <v>0</v>
      </c>
      <c r="J91" s="398" t="str">
        <f t="shared" si="37"/>
        <v/>
      </c>
      <c r="K91" s="398" t="str">
        <f t="shared" si="37"/>
        <v/>
      </c>
      <c r="L91" s="408">
        <f t="shared" si="28"/>
        <v>0</v>
      </c>
      <c r="M91" s="406">
        <f>IFERROR(100/'Skjema total MA'!I91*K91,0)</f>
        <v>0</v>
      </c>
    </row>
    <row r="92" spans="1:13" x14ac:dyDescent="0.2">
      <c r="A92" s="729" t="s">
        <v>13</v>
      </c>
      <c r="B92" s="429"/>
      <c r="C92" s="430"/>
      <c r="D92" s="408">
        <f t="shared" si="25"/>
        <v>0</v>
      </c>
      <c r="E92" s="433" t="str">
        <f>IF(kvartal=4,IFERROR(100/'Skjema total MA'!B92*C92,0),"")</f>
        <v/>
      </c>
      <c r="F92" s="399" t="s">
        <v>458</v>
      </c>
      <c r="G92" s="399" t="s">
        <v>458</v>
      </c>
      <c r="H92" s="408">
        <f t="shared" si="26"/>
        <v>0</v>
      </c>
      <c r="I92" s="406">
        <f>IFERROR(100/'Skjema total MA'!F92*G92,0)</f>
        <v>0</v>
      </c>
      <c r="J92" s="398" t="str">
        <f t="shared" si="37"/>
        <v/>
      </c>
      <c r="K92" s="398" t="str">
        <f t="shared" si="37"/>
        <v/>
      </c>
      <c r="L92" s="408">
        <f t="shared" si="28"/>
        <v>0</v>
      </c>
      <c r="M92" s="406">
        <f>IFERROR(100/'Skjema total MA'!I92*K92,0)</f>
        <v>0</v>
      </c>
    </row>
    <row r="93" spans="1:13" ht="15.75" x14ac:dyDescent="0.2">
      <c r="A93" s="729" t="s">
        <v>479</v>
      </c>
      <c r="B93" s="399" t="s">
        <v>458</v>
      </c>
      <c r="C93" s="399" t="s">
        <v>458</v>
      </c>
      <c r="D93" s="408">
        <f t="shared" si="25"/>
        <v>0</v>
      </c>
      <c r="E93" s="433" t="str">
        <f>IF(kvartal=4,IFERROR(100/'Skjema total MA'!B93*C93,0),"")</f>
        <v/>
      </c>
      <c r="F93" s="399" t="s">
        <v>458</v>
      </c>
      <c r="G93" s="399" t="s">
        <v>458</v>
      </c>
      <c r="H93" s="408">
        <f t="shared" si="26"/>
        <v>0</v>
      </c>
      <c r="I93" s="406">
        <f>IFERROR(100/'Skjema total MA'!F93*G93,0)</f>
        <v>0</v>
      </c>
      <c r="J93" s="398" t="str">
        <f t="shared" si="37"/>
        <v/>
      </c>
      <c r="K93" s="398" t="str">
        <f t="shared" si="37"/>
        <v/>
      </c>
      <c r="L93" s="408">
        <f t="shared" si="28"/>
        <v>0</v>
      </c>
      <c r="M93" s="406">
        <f>IFERROR(100/'Skjema total MA'!I93*K93,0)</f>
        <v>0</v>
      </c>
    </row>
    <row r="94" spans="1:13" x14ac:dyDescent="0.2">
      <c r="A94" s="729" t="s">
        <v>12</v>
      </c>
      <c r="B94" s="429"/>
      <c r="C94" s="430"/>
      <c r="D94" s="408">
        <f t="shared" si="25"/>
        <v>0</v>
      </c>
      <c r="E94" s="433" t="str">
        <f>IF(kvartal=4,IFERROR(100/'Skjema total MA'!B94*C94,0),"")</f>
        <v/>
      </c>
      <c r="F94" s="399" t="s">
        <v>458</v>
      </c>
      <c r="G94" s="399" t="s">
        <v>458</v>
      </c>
      <c r="H94" s="408">
        <f t="shared" si="26"/>
        <v>0</v>
      </c>
      <c r="I94" s="406">
        <f>IFERROR(100/'Skjema total MA'!F94*G94,0)</f>
        <v>0</v>
      </c>
      <c r="J94" s="398" t="str">
        <f t="shared" si="37"/>
        <v/>
      </c>
      <c r="K94" s="398" t="str">
        <f t="shared" si="37"/>
        <v/>
      </c>
      <c r="L94" s="408">
        <f t="shared" si="28"/>
        <v>0</v>
      </c>
      <c r="M94" s="406">
        <f>IFERROR(100/'Skjema total MA'!I94*K94,0)</f>
        <v>0</v>
      </c>
    </row>
    <row r="95" spans="1:13" x14ac:dyDescent="0.2">
      <c r="A95" s="729" t="s">
        <v>13</v>
      </c>
      <c r="B95" s="429"/>
      <c r="C95" s="430"/>
      <c r="D95" s="408">
        <f t="shared" si="25"/>
        <v>0</v>
      </c>
      <c r="E95" s="433" t="str">
        <f>IF(kvartal=4,IFERROR(100/'Skjema total MA'!B95*C95,0),"")</f>
        <v/>
      </c>
      <c r="F95" s="399" t="s">
        <v>458</v>
      </c>
      <c r="G95" s="399" t="s">
        <v>458</v>
      </c>
      <c r="H95" s="408">
        <f t="shared" si="26"/>
        <v>0</v>
      </c>
      <c r="I95" s="406">
        <f>IFERROR(100/'Skjema total MA'!F95*G95,0)</f>
        <v>0</v>
      </c>
      <c r="J95" s="398" t="str">
        <f t="shared" si="37"/>
        <v/>
      </c>
      <c r="K95" s="398" t="str">
        <f t="shared" si="37"/>
        <v/>
      </c>
      <c r="L95" s="408">
        <f t="shared" si="28"/>
        <v>0</v>
      </c>
      <c r="M95" s="406">
        <f>IFERROR(100/'Skjema total MA'!I95*K95,0)</f>
        <v>0</v>
      </c>
    </row>
    <row r="96" spans="1:13" x14ac:dyDescent="0.2">
      <c r="A96" s="21" t="s">
        <v>443</v>
      </c>
      <c r="B96" s="411">
        <v>0</v>
      </c>
      <c r="C96" s="424">
        <v>0</v>
      </c>
      <c r="D96" s="408">
        <f t="shared" si="25"/>
        <v>0</v>
      </c>
      <c r="E96" s="406">
        <f>IFERROR(100/'Skjema total MA'!C96*C96,0)</f>
        <v>0</v>
      </c>
      <c r="F96" s="411">
        <v>0</v>
      </c>
      <c r="G96" s="424">
        <v>0</v>
      </c>
      <c r="H96" s="408">
        <f t="shared" si="26"/>
        <v>0</v>
      </c>
      <c r="I96" s="406">
        <f>IFERROR(100/'Skjema total MA'!F96*G96,0)</f>
        <v>0</v>
      </c>
      <c r="J96" s="400">
        <f t="shared" si="36"/>
        <v>0</v>
      </c>
      <c r="K96" s="399">
        <f t="shared" si="36"/>
        <v>0</v>
      </c>
      <c r="L96" s="408">
        <f t="shared" si="28"/>
        <v>0</v>
      </c>
      <c r="M96" s="406">
        <f>IFERROR(100/'Skjema total MA'!I96*K96,0)</f>
        <v>0</v>
      </c>
    </row>
    <row r="97" spans="1:13" x14ac:dyDescent="0.2">
      <c r="A97" s="21" t="s">
        <v>442</v>
      </c>
      <c r="B97" s="411">
        <v>0</v>
      </c>
      <c r="C97" s="424">
        <v>0</v>
      </c>
      <c r="D97" s="408">
        <f t="shared" ref="D97" si="38">IF(AND(_xlfn.NUMBERVALUE(B97)=0,_xlfn.NUMBERVALUE(C97)=0),,IF(B97=0, "    ---- ", IF(ABS(ROUND(100/B97*C97-100,1))&lt;999,IF(ROUND(100/B97*C97-100,1)=0,"    ---- ",ROUND(100/B97*C97-100,1)),IF(ROUND(100/B97*C97-100,1)&gt;999,999,-999))))</f>
        <v>0</v>
      </c>
      <c r="E97" s="406">
        <f>IFERROR(100/'Skjema total MA'!C98*C97,0)</f>
        <v>0</v>
      </c>
      <c r="F97" s="411">
        <v>0</v>
      </c>
      <c r="G97" s="424">
        <v>0</v>
      </c>
      <c r="H97" s="408">
        <f t="shared" ref="H97" si="39">IF(AND(_xlfn.NUMBERVALUE(F97)=0,_xlfn.NUMBERVALUE(G97)=0),,IF(F97=0, "    ---- ", IF(ABS(ROUND(100/F97*G97-100,1))&lt;999,IF(ROUND(100/F97*G97-100,1)=0,"    ---- ",ROUND(100/F97*G97-100,1)),IF(ROUND(100/F97*G97-100,1)&gt;999,999,-999))))</f>
        <v>0</v>
      </c>
      <c r="I97" s="406">
        <f>IFERROR(100/'Skjema total MA'!F98*G97,0)</f>
        <v>0</v>
      </c>
      <c r="J97" s="400">
        <f t="shared" ref="J97" si="40">SUM(B97,F97)</f>
        <v>0</v>
      </c>
      <c r="K97" s="399">
        <f t="shared" ref="K97" si="41">SUM(C97,G97)</f>
        <v>0</v>
      </c>
      <c r="L97" s="408">
        <f t="shared" ref="L97" si="42">IF(AND(_xlfn.NUMBERVALUE(J97)=0,_xlfn.NUMBERVALUE(K97)=0),,IF(J97=0, "    ---- ", IF(ABS(ROUND(100/J97*K97-100,1))&lt;999,IF(ROUND(100/J97*K97-100,1)=0,"    ---- ",ROUND(100/J97*K97-100,1)),IF(ROUND(100/J97*K97-100,1)&gt;999,999,-999))))</f>
        <v>0</v>
      </c>
      <c r="M97" s="406">
        <f>IFERROR(100/'Skjema total MA'!I98*K97,0)</f>
        <v>0</v>
      </c>
    </row>
    <row r="98" spans="1:13" ht="15.75" x14ac:dyDescent="0.2">
      <c r="A98" s="21" t="s">
        <v>480</v>
      </c>
      <c r="B98" s="411">
        <v>0</v>
      </c>
      <c r="C98" s="411">
        <v>0</v>
      </c>
      <c r="D98" s="408">
        <f t="shared" si="25"/>
        <v>0</v>
      </c>
      <c r="E98" s="406">
        <f>IFERROR(100/'Skjema total MA'!C98*C98,0)</f>
        <v>0</v>
      </c>
      <c r="F98" s="425">
        <v>0</v>
      </c>
      <c r="G98" s="425">
        <v>0</v>
      </c>
      <c r="H98" s="408">
        <f t="shared" si="26"/>
        <v>0</v>
      </c>
      <c r="I98" s="406">
        <f>IFERROR(100/'Skjema total MA'!F98*G98,0)</f>
        <v>0</v>
      </c>
      <c r="J98" s="400">
        <f t="shared" si="36"/>
        <v>0</v>
      </c>
      <c r="K98" s="399">
        <f t="shared" si="36"/>
        <v>0</v>
      </c>
      <c r="L98" s="408">
        <f t="shared" si="28"/>
        <v>0</v>
      </c>
      <c r="M98" s="406">
        <f>IFERROR(100/'Skjema total MA'!I98*K98,0)</f>
        <v>0</v>
      </c>
    </row>
    <row r="99" spans="1:13" x14ac:dyDescent="0.2">
      <c r="A99" s="21" t="s">
        <v>9</v>
      </c>
      <c r="B99" s="425">
        <v>0</v>
      </c>
      <c r="C99" s="426">
        <v>0</v>
      </c>
      <c r="D99" s="408">
        <f t="shared" si="25"/>
        <v>0</v>
      </c>
      <c r="E99" s="406">
        <f>IFERROR(100/'Skjema total MA'!C99*C99,0)</f>
        <v>0</v>
      </c>
      <c r="F99" s="411">
        <v>0</v>
      </c>
      <c r="G99" s="424">
        <v>0</v>
      </c>
      <c r="H99" s="408">
        <f t="shared" si="26"/>
        <v>0</v>
      </c>
      <c r="I99" s="406">
        <f>IFERROR(100/'Skjema total MA'!F99*G99,0)</f>
        <v>0</v>
      </c>
      <c r="J99" s="400">
        <f t="shared" si="36"/>
        <v>0</v>
      </c>
      <c r="K99" s="399">
        <f t="shared" si="36"/>
        <v>0</v>
      </c>
      <c r="L99" s="408">
        <f t="shared" si="28"/>
        <v>0</v>
      </c>
      <c r="M99" s="406">
        <f>IFERROR(100/'Skjema total MA'!I99*K99,0)</f>
        <v>0</v>
      </c>
    </row>
    <row r="100" spans="1:13" x14ac:dyDescent="0.2">
      <c r="A100" s="21" t="s">
        <v>10</v>
      </c>
      <c r="B100" s="425">
        <v>0</v>
      </c>
      <c r="C100" s="426">
        <v>0</v>
      </c>
      <c r="D100" s="408">
        <f t="shared" si="25"/>
        <v>0</v>
      </c>
      <c r="E100" s="406">
        <f>IFERROR(100/'Skjema total MA'!C100*C100,0)</f>
        <v>0</v>
      </c>
      <c r="F100" s="411">
        <v>0</v>
      </c>
      <c r="G100" s="411">
        <v>0</v>
      </c>
      <c r="H100" s="408">
        <f t="shared" si="26"/>
        <v>0</v>
      </c>
      <c r="I100" s="406">
        <f>IFERROR(100/'Skjema total MA'!F100*G100,0)</f>
        <v>0</v>
      </c>
      <c r="J100" s="400">
        <f t="shared" si="36"/>
        <v>0</v>
      </c>
      <c r="K100" s="399">
        <f t="shared" si="36"/>
        <v>0</v>
      </c>
      <c r="L100" s="408">
        <f t="shared" si="28"/>
        <v>0</v>
      </c>
      <c r="M100" s="406">
        <f>IFERROR(100/'Skjema total MA'!I100*K100,0)</f>
        <v>0</v>
      </c>
    </row>
    <row r="101" spans="1:13" ht="15.75" x14ac:dyDescent="0.2">
      <c r="A101" s="729" t="s">
        <v>478</v>
      </c>
      <c r="B101" s="399" t="s">
        <v>458</v>
      </c>
      <c r="C101" s="399" t="s">
        <v>458</v>
      </c>
      <c r="D101" s="408">
        <f t="shared" si="25"/>
        <v>0</v>
      </c>
      <c r="E101" s="433" t="str">
        <f>IF(kvartal=4,IFERROR(100/'Skjema total MA'!B101*C101,0),"")</f>
        <v/>
      </c>
      <c r="F101" s="399" t="s">
        <v>458</v>
      </c>
      <c r="G101" s="399" t="s">
        <v>458</v>
      </c>
      <c r="H101" s="408">
        <f t="shared" si="26"/>
        <v>0</v>
      </c>
      <c r="I101" s="406">
        <f>IFERROR(100/'Skjema total MA'!F101*G101,0)</f>
        <v>0</v>
      </c>
      <c r="J101" s="398" t="str">
        <f t="shared" ref="J101:K106" si="43">IF(kvartal=4,SUM(B101,F101),"")</f>
        <v/>
      </c>
      <c r="K101" s="398" t="str">
        <f t="shared" si="43"/>
        <v/>
      </c>
      <c r="L101" s="408">
        <f t="shared" si="28"/>
        <v>0</v>
      </c>
      <c r="M101" s="406">
        <f>IFERROR(100/'Skjema total MA'!I101*K101,0)</f>
        <v>0</v>
      </c>
    </row>
    <row r="102" spans="1:13" x14ac:dyDescent="0.2">
      <c r="A102" s="729" t="s">
        <v>12</v>
      </c>
      <c r="B102" s="429"/>
      <c r="C102" s="430"/>
      <c r="D102" s="408">
        <f t="shared" si="25"/>
        <v>0</v>
      </c>
      <c r="E102" s="433" t="str">
        <f>IF(kvartal=4,IFERROR(100/'Skjema total MA'!B102*C102,0),"")</f>
        <v/>
      </c>
      <c r="F102" s="399" t="s">
        <v>458</v>
      </c>
      <c r="G102" s="399" t="s">
        <v>458</v>
      </c>
      <c r="H102" s="408">
        <f t="shared" si="26"/>
        <v>0</v>
      </c>
      <c r="I102" s="406">
        <f>IFERROR(100/'Skjema total MA'!F102*G102,0)</f>
        <v>0</v>
      </c>
      <c r="J102" s="398" t="str">
        <f t="shared" si="43"/>
        <v/>
      </c>
      <c r="K102" s="398" t="str">
        <f t="shared" si="43"/>
        <v/>
      </c>
      <c r="L102" s="408">
        <f t="shared" si="28"/>
        <v>0</v>
      </c>
      <c r="M102" s="406">
        <f>IFERROR(100/'Skjema total MA'!I102*K102,0)</f>
        <v>0</v>
      </c>
    </row>
    <row r="103" spans="1:13" x14ac:dyDescent="0.2">
      <c r="A103" s="729" t="s">
        <v>13</v>
      </c>
      <c r="B103" s="429"/>
      <c r="C103" s="430"/>
      <c r="D103" s="408">
        <f t="shared" si="25"/>
        <v>0</v>
      </c>
      <c r="E103" s="433" t="str">
        <f>IF(kvartal=4,IFERROR(100/'Skjema total MA'!B103*C103,0),"")</f>
        <v/>
      </c>
      <c r="F103" s="399" t="s">
        <v>458</v>
      </c>
      <c r="G103" s="399" t="s">
        <v>458</v>
      </c>
      <c r="H103" s="408">
        <f t="shared" si="26"/>
        <v>0</v>
      </c>
      <c r="I103" s="406">
        <f>IFERROR(100/'Skjema total MA'!F103*G103,0)</f>
        <v>0</v>
      </c>
      <c r="J103" s="398" t="str">
        <f t="shared" si="43"/>
        <v/>
      </c>
      <c r="K103" s="398" t="str">
        <f t="shared" si="43"/>
        <v/>
      </c>
      <c r="L103" s="408">
        <f t="shared" si="28"/>
        <v>0</v>
      </c>
      <c r="M103" s="406">
        <f>IFERROR(100/'Skjema total MA'!I103*K103,0)</f>
        <v>0</v>
      </c>
    </row>
    <row r="104" spans="1:13" ht="15.75" x14ac:dyDescent="0.2">
      <c r="A104" s="729" t="s">
        <v>479</v>
      </c>
      <c r="B104" s="399" t="s">
        <v>458</v>
      </c>
      <c r="C104" s="399" t="s">
        <v>458</v>
      </c>
      <c r="D104" s="408">
        <f t="shared" si="25"/>
        <v>0</v>
      </c>
      <c r="E104" s="433" t="str">
        <f>IF(kvartal=4,IFERROR(100/'Skjema total MA'!B104*C104,0),"")</f>
        <v/>
      </c>
      <c r="F104" s="399" t="s">
        <v>458</v>
      </c>
      <c r="G104" s="399" t="s">
        <v>458</v>
      </c>
      <c r="H104" s="408">
        <f t="shared" si="26"/>
        <v>0</v>
      </c>
      <c r="I104" s="406">
        <f>IFERROR(100/'Skjema total MA'!F104*G104,0)</f>
        <v>0</v>
      </c>
      <c r="J104" s="398" t="str">
        <f t="shared" si="43"/>
        <v/>
      </c>
      <c r="K104" s="398" t="str">
        <f t="shared" si="43"/>
        <v/>
      </c>
      <c r="L104" s="408">
        <f t="shared" si="28"/>
        <v>0</v>
      </c>
      <c r="M104" s="406">
        <f>IFERROR(100/'Skjema total MA'!I104*K104,0)</f>
        <v>0</v>
      </c>
    </row>
    <row r="105" spans="1:13" x14ac:dyDescent="0.2">
      <c r="A105" s="729" t="s">
        <v>12</v>
      </c>
      <c r="B105" s="429"/>
      <c r="C105" s="430"/>
      <c r="D105" s="408">
        <f t="shared" si="25"/>
        <v>0</v>
      </c>
      <c r="E105" s="433" t="str">
        <f>IF(kvartal=4,IFERROR(100/'Skjema total MA'!B105*C105,0),"")</f>
        <v/>
      </c>
      <c r="F105" s="399" t="s">
        <v>458</v>
      </c>
      <c r="G105" s="399" t="s">
        <v>458</v>
      </c>
      <c r="H105" s="408">
        <f t="shared" si="26"/>
        <v>0</v>
      </c>
      <c r="I105" s="406">
        <f>IFERROR(100/'Skjema total MA'!F105*G105,0)</f>
        <v>0</v>
      </c>
      <c r="J105" s="398" t="str">
        <f t="shared" si="43"/>
        <v/>
      </c>
      <c r="K105" s="398" t="str">
        <f t="shared" si="43"/>
        <v/>
      </c>
      <c r="L105" s="408">
        <f t="shared" si="28"/>
        <v>0</v>
      </c>
      <c r="M105" s="406">
        <f>IFERROR(100/'Skjema total MA'!I105*K105,0)</f>
        <v>0</v>
      </c>
    </row>
    <row r="106" spans="1:13" x14ac:dyDescent="0.2">
      <c r="A106" s="729" t="s">
        <v>13</v>
      </c>
      <c r="B106" s="429"/>
      <c r="C106" s="430"/>
      <c r="D106" s="408">
        <f t="shared" si="25"/>
        <v>0</v>
      </c>
      <c r="E106" s="433" t="str">
        <f>IF(kvartal=4,IFERROR(100/'Skjema total MA'!B106*C106,0),"")</f>
        <v/>
      </c>
      <c r="F106" s="399" t="s">
        <v>458</v>
      </c>
      <c r="G106" s="399" t="s">
        <v>458</v>
      </c>
      <c r="H106" s="408">
        <f t="shared" si="26"/>
        <v>0</v>
      </c>
      <c r="I106" s="406">
        <f>IFERROR(100/'Skjema total MA'!F106*G106,0)</f>
        <v>0</v>
      </c>
      <c r="J106" s="398" t="str">
        <f t="shared" si="43"/>
        <v/>
      </c>
      <c r="K106" s="398" t="str">
        <f t="shared" si="43"/>
        <v/>
      </c>
      <c r="L106" s="408">
        <f t="shared" si="28"/>
        <v>0</v>
      </c>
      <c r="M106" s="406">
        <f>IFERROR(100/'Skjema total MA'!I106*K106,0)</f>
        <v>0</v>
      </c>
    </row>
    <row r="107" spans="1:13" ht="15.75" x14ac:dyDescent="0.2">
      <c r="A107" s="21" t="s">
        <v>481</v>
      </c>
      <c r="B107" s="411">
        <v>0</v>
      </c>
      <c r="C107" s="424">
        <v>0</v>
      </c>
      <c r="D107" s="408">
        <f t="shared" si="25"/>
        <v>0</v>
      </c>
      <c r="E107" s="406">
        <f>IFERROR(100/'Skjema total MA'!C107*C107,0)</f>
        <v>0</v>
      </c>
      <c r="F107" s="411">
        <v>0</v>
      </c>
      <c r="G107" s="424">
        <v>0</v>
      </c>
      <c r="H107" s="408">
        <f t="shared" si="26"/>
        <v>0</v>
      </c>
      <c r="I107" s="406">
        <f>IFERROR(100/'Skjema total MA'!F107*G107,0)</f>
        <v>0</v>
      </c>
      <c r="J107" s="400">
        <f t="shared" si="36"/>
        <v>0</v>
      </c>
      <c r="K107" s="399">
        <f t="shared" si="36"/>
        <v>0</v>
      </c>
      <c r="L107" s="408">
        <f t="shared" si="28"/>
        <v>0</v>
      </c>
      <c r="M107" s="406">
        <f>IFERROR(100/'Skjema total MA'!I107*K107,0)</f>
        <v>0</v>
      </c>
    </row>
    <row r="108" spans="1:13" ht="15.75" x14ac:dyDescent="0.2">
      <c r="A108" s="21" t="s">
        <v>482</v>
      </c>
      <c r="B108" s="411">
        <v>0</v>
      </c>
      <c r="C108" s="411">
        <v>0</v>
      </c>
      <c r="D108" s="408">
        <f t="shared" si="25"/>
        <v>0</v>
      </c>
      <c r="E108" s="406">
        <f>IFERROR(100/'Skjema total MA'!C108*C108,0)</f>
        <v>0</v>
      </c>
      <c r="F108" s="411">
        <v>0</v>
      </c>
      <c r="G108" s="411">
        <v>0</v>
      </c>
      <c r="H108" s="408">
        <f t="shared" si="26"/>
        <v>0</v>
      </c>
      <c r="I108" s="406">
        <f>IFERROR(100/'Skjema total MA'!F108*G108,0)</f>
        <v>0</v>
      </c>
      <c r="J108" s="400">
        <f t="shared" si="36"/>
        <v>0</v>
      </c>
      <c r="K108" s="399">
        <f t="shared" si="36"/>
        <v>0</v>
      </c>
      <c r="L108" s="408">
        <f t="shared" si="28"/>
        <v>0</v>
      </c>
      <c r="M108" s="406">
        <f>IFERROR(100/'Skjema total MA'!I108*K108,0)</f>
        <v>0</v>
      </c>
    </row>
    <row r="109" spans="1:13" ht="15.75" x14ac:dyDescent="0.2">
      <c r="A109" s="21" t="s">
        <v>483</v>
      </c>
      <c r="B109" s="411">
        <v>0</v>
      </c>
      <c r="C109" s="411">
        <v>0</v>
      </c>
      <c r="D109" s="408">
        <f t="shared" si="25"/>
        <v>0</v>
      </c>
      <c r="E109" s="406">
        <f>IFERROR(100/'Skjema total MA'!C109*C109,0)</f>
        <v>0</v>
      </c>
      <c r="F109" s="411">
        <v>0</v>
      </c>
      <c r="G109" s="411">
        <v>0</v>
      </c>
      <c r="H109" s="408">
        <f t="shared" si="26"/>
        <v>0</v>
      </c>
      <c r="I109" s="406">
        <f>IFERROR(100/'Skjema total MA'!F109*G109,0)</f>
        <v>0</v>
      </c>
      <c r="J109" s="400">
        <f t="shared" si="36"/>
        <v>0</v>
      </c>
      <c r="K109" s="399">
        <f t="shared" si="36"/>
        <v>0</v>
      </c>
      <c r="L109" s="408">
        <f t="shared" si="28"/>
        <v>0</v>
      </c>
      <c r="M109" s="406">
        <f>IFERROR(100/'Skjema total MA'!I109*K109,0)</f>
        <v>0</v>
      </c>
    </row>
    <row r="110" spans="1:13" ht="15.75" x14ac:dyDescent="0.2">
      <c r="A110" s="21" t="s">
        <v>484</v>
      </c>
      <c r="B110" s="411">
        <v>0</v>
      </c>
      <c r="C110" s="411">
        <v>0</v>
      </c>
      <c r="D110" s="408">
        <f t="shared" si="25"/>
        <v>0</v>
      </c>
      <c r="E110" s="406">
        <f>IFERROR(100/'Skjema total MA'!C110*C110,0)</f>
        <v>0</v>
      </c>
      <c r="F110" s="411">
        <v>0</v>
      </c>
      <c r="G110" s="411">
        <v>0</v>
      </c>
      <c r="H110" s="408">
        <f t="shared" si="26"/>
        <v>0</v>
      </c>
      <c r="I110" s="406">
        <f>IFERROR(100/'Skjema total MA'!F110*G110,0)</f>
        <v>0</v>
      </c>
      <c r="J110" s="400">
        <f t="shared" si="36"/>
        <v>0</v>
      </c>
      <c r="K110" s="399">
        <f t="shared" si="36"/>
        <v>0</v>
      </c>
      <c r="L110" s="408">
        <f t="shared" si="28"/>
        <v>0</v>
      </c>
      <c r="M110" s="406">
        <f>IFERROR(100/'Skjema total MA'!I110*K110,0)</f>
        <v>0</v>
      </c>
    </row>
    <row r="111" spans="1:13" ht="15.75" x14ac:dyDescent="0.2">
      <c r="A111" s="13" t="s">
        <v>467</v>
      </c>
      <c r="B111" s="407">
        <f>SUM(B112:B114)</f>
        <v>0</v>
      </c>
      <c r="C111" s="431">
        <f>SUM(C112:C114)</f>
        <v>0</v>
      </c>
      <c r="D111" s="408">
        <f t="shared" si="25"/>
        <v>0</v>
      </c>
      <c r="E111" s="406">
        <f>IFERROR(100/'Skjema total MA'!C111*C111,0)</f>
        <v>0</v>
      </c>
      <c r="F111" s="407">
        <f>SUM(F112:F114)</f>
        <v>0</v>
      </c>
      <c r="G111" s="431">
        <f>SUM(G112:G114)</f>
        <v>0</v>
      </c>
      <c r="H111" s="408">
        <f t="shared" si="26"/>
        <v>0</v>
      </c>
      <c r="I111" s="406">
        <f>IFERROR(100/'Skjema total MA'!F111*G111,0)</f>
        <v>0</v>
      </c>
      <c r="J111" s="402">
        <f t="shared" si="36"/>
        <v>0</v>
      </c>
      <c r="K111" s="401">
        <f t="shared" si="36"/>
        <v>0</v>
      </c>
      <c r="L111" s="408">
        <f t="shared" si="28"/>
        <v>0</v>
      </c>
      <c r="M111" s="406">
        <f>IFERROR(100/'Skjema total MA'!I111*K111,0)</f>
        <v>0</v>
      </c>
    </row>
    <row r="112" spans="1:13" x14ac:dyDescent="0.2">
      <c r="A112" s="21" t="s">
        <v>9</v>
      </c>
      <c r="B112" s="411">
        <v>0</v>
      </c>
      <c r="C112" s="424">
        <v>0</v>
      </c>
      <c r="D112" s="408">
        <f t="shared" ref="D112:D126" si="44">IF(AND(_xlfn.NUMBERVALUE(B112)=0,_xlfn.NUMBERVALUE(C112)=0),,IF(B112=0, "    ---- ", IF(ABS(ROUND(100/B112*C112-100,1))&lt;999,IF(ROUND(100/B112*C112-100,1)=0,"    ---- ",ROUND(100/B112*C112-100,1)),IF(ROUND(100/B112*C112-100,1)&gt;999,999,-999))))</f>
        <v>0</v>
      </c>
      <c r="E112" s="406">
        <f>IFERROR(100/'Skjema total MA'!C112*C112,0)</f>
        <v>0</v>
      </c>
      <c r="F112" s="411">
        <v>0</v>
      </c>
      <c r="G112" s="424">
        <v>0</v>
      </c>
      <c r="H112" s="408">
        <f t="shared" ref="H112:H126" si="45">IF(AND(_xlfn.NUMBERVALUE(F112)=0,_xlfn.NUMBERVALUE(G112)=0),,IF(F112=0, "    ---- ", IF(ABS(ROUND(100/F112*G112-100,1))&lt;999,IF(ROUND(100/F112*G112-100,1)=0,"    ---- ",ROUND(100/F112*G112-100,1)),IF(ROUND(100/F112*G112-100,1)&gt;999,999,-999))))</f>
        <v>0</v>
      </c>
      <c r="I112" s="406">
        <f>IFERROR(100/'Skjema total MA'!F112*G112,0)</f>
        <v>0</v>
      </c>
      <c r="J112" s="400">
        <f t="shared" ref="J112:K126" si="46">SUM(B112,F112)</f>
        <v>0</v>
      </c>
      <c r="K112" s="399">
        <f t="shared" si="46"/>
        <v>0</v>
      </c>
      <c r="L112" s="408">
        <f t="shared" ref="L112:L126" si="47">IF(AND(_xlfn.NUMBERVALUE(J112)=0,_xlfn.NUMBERVALUE(K112)=0),,IF(J112=0, "    ---- ", IF(ABS(ROUND(100/J112*K112-100,1))&lt;999,IF(ROUND(100/J112*K112-100,1)=0,"    ---- ",ROUND(100/J112*K112-100,1)),IF(ROUND(100/J112*K112-100,1)&gt;999,999,-999))))</f>
        <v>0</v>
      </c>
      <c r="M112" s="406">
        <f>IFERROR(100/'Skjema total MA'!I112*K112,0)</f>
        <v>0</v>
      </c>
    </row>
    <row r="113" spans="1:14" x14ac:dyDescent="0.2">
      <c r="A113" s="21" t="s">
        <v>10</v>
      </c>
      <c r="B113" s="411">
        <v>0</v>
      </c>
      <c r="C113" s="424">
        <v>0</v>
      </c>
      <c r="D113" s="408">
        <f t="shared" si="44"/>
        <v>0</v>
      </c>
      <c r="E113" s="406">
        <f>IFERROR(100/'Skjema total MA'!C113*C113,0)</f>
        <v>0</v>
      </c>
      <c r="F113" s="411">
        <v>0</v>
      </c>
      <c r="G113" s="424">
        <v>0</v>
      </c>
      <c r="H113" s="408">
        <f t="shared" si="45"/>
        <v>0</v>
      </c>
      <c r="I113" s="406">
        <f>IFERROR(100/'Skjema total MA'!F113*G113,0)</f>
        <v>0</v>
      </c>
      <c r="J113" s="400">
        <f t="shared" si="46"/>
        <v>0</v>
      </c>
      <c r="K113" s="399">
        <f t="shared" si="46"/>
        <v>0</v>
      </c>
      <c r="L113" s="408">
        <f t="shared" si="47"/>
        <v>0</v>
      </c>
      <c r="M113" s="406">
        <f>IFERROR(100/'Skjema total MA'!I113*K113,0)</f>
        <v>0</v>
      </c>
    </row>
    <row r="114" spans="1:14" x14ac:dyDescent="0.2">
      <c r="A114" s="21" t="s">
        <v>27</v>
      </c>
      <c r="B114" s="411">
        <v>0</v>
      </c>
      <c r="C114" s="424">
        <v>0</v>
      </c>
      <c r="D114" s="408">
        <f t="shared" si="44"/>
        <v>0</v>
      </c>
      <c r="E114" s="406">
        <f>IFERROR(100/'Skjema total MA'!C114*C114,0)</f>
        <v>0</v>
      </c>
      <c r="F114" s="411">
        <v>0</v>
      </c>
      <c r="G114" s="424">
        <v>0</v>
      </c>
      <c r="H114" s="408">
        <f t="shared" si="45"/>
        <v>0</v>
      </c>
      <c r="I114" s="406">
        <f>IFERROR(100/'Skjema total MA'!F114*G114,0)</f>
        <v>0</v>
      </c>
      <c r="J114" s="400">
        <f t="shared" si="46"/>
        <v>0</v>
      </c>
      <c r="K114" s="399">
        <f t="shared" si="46"/>
        <v>0</v>
      </c>
      <c r="L114" s="408">
        <f t="shared" si="47"/>
        <v>0</v>
      </c>
      <c r="M114" s="406">
        <f>IFERROR(100/'Skjema total MA'!I114*K114,0)</f>
        <v>0</v>
      </c>
    </row>
    <row r="115" spans="1:14" x14ac:dyDescent="0.2">
      <c r="A115" s="729" t="s">
        <v>15</v>
      </c>
      <c r="B115" s="399" t="s">
        <v>458</v>
      </c>
      <c r="C115" s="399" t="s">
        <v>458</v>
      </c>
      <c r="D115" s="408">
        <f t="shared" si="44"/>
        <v>0</v>
      </c>
      <c r="E115" s="433" t="str">
        <f>IF(kvartal=4,IFERROR(100/'Skjema total MA'!B115*C115,0),"")</f>
        <v/>
      </c>
      <c r="F115" s="399" t="s">
        <v>458</v>
      </c>
      <c r="G115" s="399" t="s">
        <v>458</v>
      </c>
      <c r="H115" s="408">
        <f t="shared" si="45"/>
        <v>0</v>
      </c>
      <c r="I115" s="406">
        <f>IFERROR(100/'Skjema total MA'!F115*G115,0)</f>
        <v>0</v>
      </c>
      <c r="J115" s="398" t="str">
        <f>IF(kvartal=4,SUM(B115,F115),"")</f>
        <v/>
      </c>
      <c r="K115" s="398" t="str">
        <f>IF(kvartal=4,SUM(C115,G115),"")</f>
        <v/>
      </c>
      <c r="L115" s="408">
        <f t="shared" si="47"/>
        <v>0</v>
      </c>
      <c r="M115" s="406">
        <f>IFERROR(100/'Skjema total MA'!I115*K115,0)</f>
        <v>0</v>
      </c>
    </row>
    <row r="116" spans="1:14" ht="15.75" x14ac:dyDescent="0.2">
      <c r="A116" s="21" t="s">
        <v>482</v>
      </c>
      <c r="B116" s="411">
        <v>0</v>
      </c>
      <c r="C116" s="411">
        <v>0</v>
      </c>
      <c r="D116" s="408">
        <f t="shared" si="44"/>
        <v>0</v>
      </c>
      <c r="E116" s="406">
        <f>IFERROR(100/'Skjema total MA'!C116*C116,0)</f>
        <v>0</v>
      </c>
      <c r="F116" s="411">
        <v>0</v>
      </c>
      <c r="G116" s="411">
        <v>0</v>
      </c>
      <c r="H116" s="408">
        <f t="shared" si="45"/>
        <v>0</v>
      </c>
      <c r="I116" s="406">
        <f>IFERROR(100/'Skjema total MA'!F116*G116,0)</f>
        <v>0</v>
      </c>
      <c r="J116" s="400">
        <f t="shared" si="46"/>
        <v>0</v>
      </c>
      <c r="K116" s="399">
        <f t="shared" si="46"/>
        <v>0</v>
      </c>
      <c r="L116" s="408">
        <f t="shared" si="47"/>
        <v>0</v>
      </c>
      <c r="M116" s="406">
        <f>IFERROR(100/'Skjema total MA'!I116*K116,0)</f>
        <v>0</v>
      </c>
    </row>
    <row r="117" spans="1:14" ht="15.75" x14ac:dyDescent="0.2">
      <c r="A117" s="21" t="s">
        <v>483</v>
      </c>
      <c r="B117" s="411">
        <v>0</v>
      </c>
      <c r="C117" s="411">
        <v>0</v>
      </c>
      <c r="D117" s="408">
        <f t="shared" si="44"/>
        <v>0</v>
      </c>
      <c r="E117" s="406">
        <f>IFERROR(100/'Skjema total MA'!C117*C117,0)</f>
        <v>0</v>
      </c>
      <c r="F117" s="411">
        <v>0</v>
      </c>
      <c r="G117" s="411">
        <v>0</v>
      </c>
      <c r="H117" s="408">
        <f t="shared" si="45"/>
        <v>0</v>
      </c>
      <c r="I117" s="406">
        <f>IFERROR(100/'Skjema total MA'!F117*G117,0)</f>
        <v>0</v>
      </c>
      <c r="J117" s="400">
        <f t="shared" si="46"/>
        <v>0</v>
      </c>
      <c r="K117" s="399">
        <f t="shared" si="46"/>
        <v>0</v>
      </c>
      <c r="L117" s="408">
        <f t="shared" si="47"/>
        <v>0</v>
      </c>
      <c r="M117" s="406">
        <f>IFERROR(100/'Skjema total MA'!I117*K117,0)</f>
        <v>0</v>
      </c>
    </row>
    <row r="118" spans="1:14" ht="15.75" x14ac:dyDescent="0.2">
      <c r="A118" s="21" t="s">
        <v>484</v>
      </c>
      <c r="B118" s="411">
        <v>0</v>
      </c>
      <c r="C118" s="411">
        <v>0</v>
      </c>
      <c r="D118" s="408">
        <f t="shared" si="44"/>
        <v>0</v>
      </c>
      <c r="E118" s="406">
        <f>IFERROR(100/'Skjema total MA'!C118*C118,0)</f>
        <v>0</v>
      </c>
      <c r="F118" s="411">
        <v>0</v>
      </c>
      <c r="G118" s="411">
        <v>0</v>
      </c>
      <c r="H118" s="408">
        <f t="shared" si="45"/>
        <v>0</v>
      </c>
      <c r="I118" s="406">
        <f>IFERROR(100/'Skjema total MA'!F118*G118,0)</f>
        <v>0</v>
      </c>
      <c r="J118" s="400">
        <f t="shared" si="46"/>
        <v>0</v>
      </c>
      <c r="K118" s="399">
        <f t="shared" si="46"/>
        <v>0</v>
      </c>
      <c r="L118" s="408">
        <f t="shared" si="47"/>
        <v>0</v>
      </c>
      <c r="M118" s="406">
        <f>IFERROR(100/'Skjema total MA'!I118*K118,0)</f>
        <v>0</v>
      </c>
    </row>
    <row r="119" spans="1:14" ht="15.75" x14ac:dyDescent="0.2">
      <c r="A119" s="13" t="s">
        <v>468</v>
      </c>
      <c r="B119" s="407">
        <f>SUM(B120:B122)</f>
        <v>0</v>
      </c>
      <c r="C119" s="431">
        <f>SUM(C120:C122)</f>
        <v>0</v>
      </c>
      <c r="D119" s="408">
        <f t="shared" si="44"/>
        <v>0</v>
      </c>
      <c r="E119" s="406">
        <f>IFERROR(100/'Skjema total MA'!C119*C119,0)</f>
        <v>0</v>
      </c>
      <c r="F119" s="407">
        <f>SUM(F120:F122)</f>
        <v>0</v>
      </c>
      <c r="G119" s="431">
        <f>SUM(G120:G122)</f>
        <v>0</v>
      </c>
      <c r="H119" s="408">
        <f t="shared" si="45"/>
        <v>0</v>
      </c>
      <c r="I119" s="406">
        <f>IFERROR(100/'Skjema total MA'!F119*G119,0)</f>
        <v>0</v>
      </c>
      <c r="J119" s="402">
        <f t="shared" si="46"/>
        <v>0</v>
      </c>
      <c r="K119" s="401">
        <f t="shared" si="46"/>
        <v>0</v>
      </c>
      <c r="L119" s="408">
        <f t="shared" si="47"/>
        <v>0</v>
      </c>
      <c r="M119" s="406">
        <f>IFERROR(100/'Skjema total MA'!I119*K119,0)</f>
        <v>0</v>
      </c>
    </row>
    <row r="120" spans="1:14" x14ac:dyDescent="0.2">
      <c r="A120" s="21" t="s">
        <v>9</v>
      </c>
      <c r="B120" s="411">
        <v>0</v>
      </c>
      <c r="C120" s="424">
        <v>0</v>
      </c>
      <c r="D120" s="408">
        <f t="shared" si="44"/>
        <v>0</v>
      </c>
      <c r="E120" s="406">
        <f>IFERROR(100/'Skjema total MA'!C120*C120,0)</f>
        <v>0</v>
      </c>
      <c r="F120" s="411">
        <v>0</v>
      </c>
      <c r="G120" s="424">
        <v>0</v>
      </c>
      <c r="H120" s="408">
        <f t="shared" si="45"/>
        <v>0</v>
      </c>
      <c r="I120" s="406">
        <f>IFERROR(100/'Skjema total MA'!F120*G120,0)</f>
        <v>0</v>
      </c>
      <c r="J120" s="400">
        <f t="shared" si="46"/>
        <v>0</v>
      </c>
      <c r="K120" s="399">
        <f t="shared" si="46"/>
        <v>0</v>
      </c>
      <c r="L120" s="408">
        <f t="shared" si="47"/>
        <v>0</v>
      </c>
      <c r="M120" s="406">
        <f>IFERROR(100/'Skjema total MA'!I120*K120,0)</f>
        <v>0</v>
      </c>
    </row>
    <row r="121" spans="1:14" x14ac:dyDescent="0.2">
      <c r="A121" s="21" t="s">
        <v>10</v>
      </c>
      <c r="B121" s="411">
        <v>0</v>
      </c>
      <c r="C121" s="424">
        <v>0</v>
      </c>
      <c r="D121" s="408">
        <f t="shared" si="44"/>
        <v>0</v>
      </c>
      <c r="E121" s="406">
        <f>IFERROR(100/'Skjema total MA'!C121*C121,0)</f>
        <v>0</v>
      </c>
      <c r="F121" s="411">
        <v>0</v>
      </c>
      <c r="G121" s="424">
        <v>0</v>
      </c>
      <c r="H121" s="408">
        <f t="shared" si="45"/>
        <v>0</v>
      </c>
      <c r="I121" s="406">
        <f>IFERROR(100/'Skjema total MA'!F121*G121,0)</f>
        <v>0</v>
      </c>
      <c r="J121" s="400">
        <f t="shared" si="46"/>
        <v>0</v>
      </c>
      <c r="K121" s="399">
        <f t="shared" si="46"/>
        <v>0</v>
      </c>
      <c r="L121" s="408">
        <f t="shared" si="47"/>
        <v>0</v>
      </c>
      <c r="M121" s="406">
        <f>IFERROR(100/'Skjema total MA'!I121*K121,0)</f>
        <v>0</v>
      </c>
    </row>
    <row r="122" spans="1:14" x14ac:dyDescent="0.2">
      <c r="A122" s="21" t="s">
        <v>27</v>
      </c>
      <c r="B122" s="411">
        <v>0</v>
      </c>
      <c r="C122" s="424">
        <v>0</v>
      </c>
      <c r="D122" s="408">
        <f t="shared" si="44"/>
        <v>0</v>
      </c>
      <c r="E122" s="406">
        <f>IFERROR(100/'Skjema total MA'!C122*C122,0)</f>
        <v>0</v>
      </c>
      <c r="F122" s="411">
        <v>0</v>
      </c>
      <c r="G122" s="424">
        <v>0</v>
      </c>
      <c r="H122" s="408">
        <f t="shared" si="45"/>
        <v>0</v>
      </c>
      <c r="I122" s="406">
        <f>IFERROR(100/'Skjema total MA'!F122*G122,0)</f>
        <v>0</v>
      </c>
      <c r="J122" s="400">
        <f t="shared" si="46"/>
        <v>0</v>
      </c>
      <c r="K122" s="399">
        <f t="shared" si="46"/>
        <v>0</v>
      </c>
      <c r="L122" s="408">
        <f t="shared" si="47"/>
        <v>0</v>
      </c>
      <c r="M122" s="406">
        <f>IFERROR(100/'Skjema total MA'!I122*K122,0)</f>
        <v>0</v>
      </c>
    </row>
    <row r="123" spans="1:14" x14ac:dyDescent="0.2">
      <c r="A123" s="729" t="s">
        <v>14</v>
      </c>
      <c r="B123" s="399" t="s">
        <v>458</v>
      </c>
      <c r="C123" s="399" t="s">
        <v>458</v>
      </c>
      <c r="D123" s="408">
        <f t="shared" si="44"/>
        <v>0</v>
      </c>
      <c r="E123" s="433" t="str">
        <f>IF(kvartal=4,IFERROR(100/'Skjema total MA'!B123*C123,0),"")</f>
        <v/>
      </c>
      <c r="F123" s="399" t="s">
        <v>458</v>
      </c>
      <c r="G123" s="399" t="s">
        <v>458</v>
      </c>
      <c r="H123" s="408">
        <f t="shared" si="45"/>
        <v>0</v>
      </c>
      <c r="I123" s="406">
        <f>IFERROR(100/'Skjema total MA'!F123*G123,0)</f>
        <v>0</v>
      </c>
      <c r="J123" s="398" t="str">
        <f>IF(kvartal=4,SUM(B123,F123),"")</f>
        <v/>
      </c>
      <c r="K123" s="398" t="str">
        <f>IF(kvartal=4,SUM(C123,G123),"")</f>
        <v/>
      </c>
      <c r="L123" s="408">
        <f t="shared" si="47"/>
        <v>0</v>
      </c>
      <c r="M123" s="406">
        <f>IFERROR(100/'Skjema total MA'!I123*K123,0)</f>
        <v>0</v>
      </c>
    </row>
    <row r="124" spans="1:14" ht="15.75" x14ac:dyDescent="0.2">
      <c r="A124" s="21" t="s">
        <v>482</v>
      </c>
      <c r="B124" s="411">
        <v>0</v>
      </c>
      <c r="C124" s="411">
        <v>0</v>
      </c>
      <c r="D124" s="408">
        <f t="shared" si="44"/>
        <v>0</v>
      </c>
      <c r="E124" s="406">
        <f>IFERROR(100/'Skjema total MA'!C124*C124,0)</f>
        <v>0</v>
      </c>
      <c r="F124" s="411">
        <v>0</v>
      </c>
      <c r="G124" s="411">
        <v>0</v>
      </c>
      <c r="H124" s="408">
        <f t="shared" si="45"/>
        <v>0</v>
      </c>
      <c r="I124" s="406">
        <f>IFERROR(100/'Skjema total MA'!F124*G124,0)</f>
        <v>0</v>
      </c>
      <c r="J124" s="400">
        <f t="shared" si="46"/>
        <v>0</v>
      </c>
      <c r="K124" s="399">
        <f t="shared" si="46"/>
        <v>0</v>
      </c>
      <c r="L124" s="408">
        <f t="shared" si="47"/>
        <v>0</v>
      </c>
      <c r="M124" s="406">
        <f>IFERROR(100/'Skjema total MA'!I124*K124,0)</f>
        <v>0</v>
      </c>
    </row>
    <row r="125" spans="1:14" ht="15.75" x14ac:dyDescent="0.2">
      <c r="A125" s="21" t="s">
        <v>483</v>
      </c>
      <c r="B125" s="411">
        <v>0</v>
      </c>
      <c r="C125" s="411">
        <v>0</v>
      </c>
      <c r="D125" s="408">
        <f t="shared" si="44"/>
        <v>0</v>
      </c>
      <c r="E125" s="406">
        <f>IFERROR(100/'Skjema total MA'!C125*C125,0)</f>
        <v>0</v>
      </c>
      <c r="F125" s="411">
        <v>0</v>
      </c>
      <c r="G125" s="411">
        <v>0</v>
      </c>
      <c r="H125" s="408">
        <f t="shared" si="45"/>
        <v>0</v>
      </c>
      <c r="I125" s="406">
        <f>IFERROR(100/'Skjema total MA'!F125*G125,0)</f>
        <v>0</v>
      </c>
      <c r="J125" s="400">
        <f t="shared" si="46"/>
        <v>0</v>
      </c>
      <c r="K125" s="399">
        <f t="shared" si="46"/>
        <v>0</v>
      </c>
      <c r="L125" s="408">
        <f t="shared" si="47"/>
        <v>0</v>
      </c>
      <c r="M125" s="406">
        <f>IFERROR(100/'Skjema total MA'!I125*K125,0)</f>
        <v>0</v>
      </c>
    </row>
    <row r="126" spans="1:14" ht="15.75" x14ac:dyDescent="0.2">
      <c r="A126" s="10" t="s">
        <v>484</v>
      </c>
      <c r="B126" s="421">
        <v>0</v>
      </c>
      <c r="C126" s="421">
        <v>0</v>
      </c>
      <c r="D126" s="412">
        <f t="shared" si="44"/>
        <v>0</v>
      </c>
      <c r="E126" s="432">
        <f>IFERROR(100/'Skjema total MA'!C126*C126,0)</f>
        <v>0</v>
      </c>
      <c r="F126" s="421">
        <v>0</v>
      </c>
      <c r="G126" s="421">
        <v>0</v>
      </c>
      <c r="H126" s="412">
        <f t="shared" si="45"/>
        <v>0</v>
      </c>
      <c r="I126" s="412">
        <f>IFERROR(100/'Skjema total MA'!F126*G126,0)</f>
        <v>0</v>
      </c>
      <c r="J126" s="422">
        <f t="shared" si="46"/>
        <v>0</v>
      </c>
      <c r="K126" s="421">
        <f t="shared" si="46"/>
        <v>0</v>
      </c>
      <c r="L126" s="412">
        <f t="shared" si="47"/>
        <v>0</v>
      </c>
      <c r="M126" s="412">
        <f>IFERROR(100/'Skjema total MA'!I126*K126,0)</f>
        <v>0</v>
      </c>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392"/>
      <c r="C130" s="392"/>
      <c r="D130" s="392"/>
      <c r="E130" s="393"/>
      <c r="F130" s="392"/>
      <c r="G130" s="392"/>
      <c r="H130" s="392"/>
      <c r="I130" s="393"/>
      <c r="J130" s="392"/>
      <c r="K130" s="392"/>
      <c r="L130" s="392"/>
      <c r="M130" s="393"/>
    </row>
    <row r="131" spans="1:15" s="3" customFormat="1" x14ac:dyDescent="0.2">
      <c r="A131" s="161"/>
      <c r="B131" s="752" t="s">
        <v>0</v>
      </c>
      <c r="C131" s="753"/>
      <c r="D131" s="753"/>
      <c r="E131" s="390"/>
      <c r="F131" s="752" t="s">
        <v>1</v>
      </c>
      <c r="G131" s="753"/>
      <c r="H131" s="753"/>
      <c r="I131" s="391"/>
      <c r="J131" s="752" t="s">
        <v>2</v>
      </c>
      <c r="K131" s="753"/>
      <c r="L131" s="753"/>
      <c r="M131" s="391"/>
      <c r="N131" s="165"/>
      <c r="O131" s="165"/>
    </row>
    <row r="132" spans="1:15" s="3" customFormat="1" x14ac:dyDescent="0.2">
      <c r="A132" s="157"/>
      <c r="B132" s="169" t="s">
        <v>456</v>
      </c>
      <c r="C132" s="169" t="s">
        <v>457</v>
      </c>
      <c r="D132" s="261" t="s">
        <v>3</v>
      </c>
      <c r="E132" s="340" t="s">
        <v>30</v>
      </c>
      <c r="F132" s="169" t="s">
        <v>456</v>
      </c>
      <c r="G132" s="169" t="s">
        <v>457</v>
      </c>
      <c r="H132" s="222" t="s">
        <v>3</v>
      </c>
      <c r="I132" s="340"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401">
        <v>0</v>
      </c>
      <c r="C134" s="402">
        <v>0</v>
      </c>
      <c r="D134" s="405">
        <f t="shared" ref="D134:D137" si="48">IF(AND(_xlfn.NUMBERVALUE(B134)=0,_xlfn.NUMBERVALUE(C134)=0),,IF(B134=0, "    ---- ", IF(ABS(ROUND(100/B134*C134-100,1))&lt;999,IF(ROUND(100/B134*C134-100,1)=0,"    ---- ",ROUND(100/B134*C134-100,1)),IF(ROUND(100/B134*C134-100,1)&gt;999,999,-999))))</f>
        <v>0</v>
      </c>
      <c r="E134" s="406">
        <f>IFERROR(100/'Skjema total MA'!C134*C134,0)</f>
        <v>0</v>
      </c>
      <c r="F134" s="396">
        <v>0</v>
      </c>
      <c r="G134" s="397">
        <v>0</v>
      </c>
      <c r="H134" s="434">
        <f t="shared" ref="H134:H137" si="49">IF(AND(_xlfn.NUMBERVALUE(F134)=0,_xlfn.NUMBERVALUE(G134)=0),,IF(F134=0, "    ---- ", IF(ABS(ROUND(100/F134*G134-100,1))&lt;999,IF(ROUND(100/F134*G134-100,1)=0,"    ---- ",ROUND(100/F134*G134-100,1)),IF(ROUND(100/F134*G134-100,1)&gt;999,999,-999))))</f>
        <v>0</v>
      </c>
      <c r="I134" s="406">
        <f>IFERROR(100/'Skjema total MA'!F134*G134,0)</f>
        <v>0</v>
      </c>
      <c r="J134" s="414">
        <f t="shared" ref="J134:K137" si="50">SUM(B134,F134)</f>
        <v>0</v>
      </c>
      <c r="K134" s="414">
        <f t="shared" si="50"/>
        <v>0</v>
      </c>
      <c r="L134" s="405">
        <f t="shared" ref="L134:L137" si="51">IF(AND(_xlfn.NUMBERVALUE(J134)=0,_xlfn.NUMBERVALUE(K134)=0),,IF(J134=0, "    ---- ", IF(ABS(ROUND(100/J134*K134-100,1))&lt;999,IF(ROUND(100/J134*K134-100,1)=0,"    ---- ",ROUND(100/J134*K134-100,1)),IF(ROUND(100/J134*K134-100,1)&gt;999,999,-999))))</f>
        <v>0</v>
      </c>
      <c r="M134" s="406">
        <f>IFERROR(100/'Skjema total MA'!I134*K134,0)</f>
        <v>0</v>
      </c>
      <c r="N134" s="165"/>
      <c r="O134" s="165"/>
    </row>
    <row r="135" spans="1:15" s="3" customFormat="1" ht="15.75" x14ac:dyDescent="0.2">
      <c r="A135" s="13" t="s">
        <v>486</v>
      </c>
      <c r="B135" s="401">
        <v>0</v>
      </c>
      <c r="C135" s="402">
        <v>0</v>
      </c>
      <c r="D135" s="408">
        <f t="shared" si="48"/>
        <v>0</v>
      </c>
      <c r="E135" s="406">
        <f>IFERROR(100/'Skjema total MA'!C135*C135,0)</f>
        <v>0</v>
      </c>
      <c r="F135" s="401">
        <v>0</v>
      </c>
      <c r="G135" s="402">
        <v>0</v>
      </c>
      <c r="H135" s="435">
        <f t="shared" si="49"/>
        <v>0</v>
      </c>
      <c r="I135" s="406">
        <f>IFERROR(100/'Skjema total MA'!F135*G135,0)</f>
        <v>0</v>
      </c>
      <c r="J135" s="407">
        <f t="shared" si="50"/>
        <v>0</v>
      </c>
      <c r="K135" s="407">
        <f t="shared" si="50"/>
        <v>0</v>
      </c>
      <c r="L135" s="408">
        <f t="shared" si="51"/>
        <v>0</v>
      </c>
      <c r="M135" s="406">
        <f>IFERROR(100/'Skjema total MA'!I135*K135,0)</f>
        <v>0</v>
      </c>
      <c r="N135" s="165"/>
      <c r="O135" s="165"/>
    </row>
    <row r="136" spans="1:15" s="3" customFormat="1" ht="15.75" x14ac:dyDescent="0.2">
      <c r="A136" s="13" t="s">
        <v>487</v>
      </c>
      <c r="B136" s="401">
        <v>0</v>
      </c>
      <c r="C136" s="402">
        <v>0</v>
      </c>
      <c r="D136" s="408">
        <f t="shared" si="48"/>
        <v>0</v>
      </c>
      <c r="E136" s="406">
        <f>IFERROR(100/'Skjema total MA'!C136*C136,0)</f>
        <v>0</v>
      </c>
      <c r="F136" s="401">
        <v>0</v>
      </c>
      <c r="G136" s="402">
        <v>0</v>
      </c>
      <c r="H136" s="435">
        <f t="shared" si="49"/>
        <v>0</v>
      </c>
      <c r="I136" s="406">
        <f>IFERROR(100/'Skjema total MA'!F136*G136,0)</f>
        <v>0</v>
      </c>
      <c r="J136" s="407">
        <f t="shared" si="50"/>
        <v>0</v>
      </c>
      <c r="K136" s="407">
        <f t="shared" si="50"/>
        <v>0</v>
      </c>
      <c r="L136" s="408">
        <f t="shared" si="51"/>
        <v>0</v>
      </c>
      <c r="M136" s="406">
        <f>IFERROR(100/'Skjema total MA'!I136*K136,0)</f>
        <v>0</v>
      </c>
      <c r="N136" s="165"/>
      <c r="O136" s="165"/>
    </row>
    <row r="137" spans="1:15" s="3" customFormat="1" ht="15.75" x14ac:dyDescent="0.2">
      <c r="A137" s="41" t="s">
        <v>488</v>
      </c>
      <c r="B137" s="403">
        <v>0</v>
      </c>
      <c r="C137" s="404">
        <v>0</v>
      </c>
      <c r="D137" s="412">
        <f t="shared" si="48"/>
        <v>0</v>
      </c>
      <c r="E137" s="432">
        <f>IFERROR(100/'Skjema total MA'!C137*C137,0)</f>
        <v>0</v>
      </c>
      <c r="F137" s="403">
        <v>0</v>
      </c>
      <c r="G137" s="404">
        <v>0</v>
      </c>
      <c r="H137" s="436">
        <f t="shared" si="49"/>
        <v>0</v>
      </c>
      <c r="I137" s="432">
        <f>IFERROR(100/'Skjema total MA'!F137*G137,0)</f>
        <v>0</v>
      </c>
      <c r="J137" s="413">
        <f t="shared" si="50"/>
        <v>0</v>
      </c>
      <c r="K137" s="413">
        <f t="shared" si="50"/>
        <v>0</v>
      </c>
      <c r="L137" s="412">
        <f t="shared" si="51"/>
        <v>0</v>
      </c>
      <c r="M137" s="412">
        <f>IFERROR(100/'Skjema total MA'!I137*K137,0)</f>
        <v>0</v>
      </c>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1322" priority="138">
      <formula>kvartal &lt; 4</formula>
    </cfRule>
  </conditionalFormatting>
  <conditionalFormatting sqref="B69">
    <cfRule type="expression" dxfId="1321" priority="106">
      <formula>kvartal &lt; 4</formula>
    </cfRule>
  </conditionalFormatting>
  <conditionalFormatting sqref="C69">
    <cfRule type="expression" dxfId="1320" priority="105">
      <formula>kvartal &lt; 4</formula>
    </cfRule>
  </conditionalFormatting>
  <conditionalFormatting sqref="B72">
    <cfRule type="expression" dxfId="1319" priority="104">
      <formula>kvartal &lt; 4</formula>
    </cfRule>
  </conditionalFormatting>
  <conditionalFormatting sqref="C72">
    <cfRule type="expression" dxfId="1318" priority="103">
      <formula>kvartal &lt; 4</formula>
    </cfRule>
  </conditionalFormatting>
  <conditionalFormatting sqref="B80">
    <cfRule type="expression" dxfId="1317" priority="102">
      <formula>kvartal &lt; 4</formula>
    </cfRule>
  </conditionalFormatting>
  <conditionalFormatting sqref="C80">
    <cfRule type="expression" dxfId="1316" priority="101">
      <formula>kvartal &lt; 4</formula>
    </cfRule>
  </conditionalFormatting>
  <conditionalFormatting sqref="B83">
    <cfRule type="expression" dxfId="1315" priority="100">
      <formula>kvartal &lt; 4</formula>
    </cfRule>
  </conditionalFormatting>
  <conditionalFormatting sqref="C83">
    <cfRule type="expression" dxfId="1314" priority="99">
      <formula>kvartal &lt; 4</formula>
    </cfRule>
  </conditionalFormatting>
  <conditionalFormatting sqref="B90">
    <cfRule type="expression" dxfId="1313" priority="90">
      <formula>kvartal &lt; 4</formula>
    </cfRule>
  </conditionalFormatting>
  <conditionalFormatting sqref="C90">
    <cfRule type="expression" dxfId="1312" priority="89">
      <formula>kvartal &lt; 4</formula>
    </cfRule>
  </conditionalFormatting>
  <conditionalFormatting sqref="B93">
    <cfRule type="expression" dxfId="1311" priority="88">
      <formula>kvartal &lt; 4</formula>
    </cfRule>
  </conditionalFormatting>
  <conditionalFormatting sqref="C93">
    <cfRule type="expression" dxfId="1310" priority="87">
      <formula>kvartal &lt; 4</formula>
    </cfRule>
  </conditionalFormatting>
  <conditionalFormatting sqref="B101">
    <cfRule type="expression" dxfId="1309" priority="86">
      <formula>kvartal &lt; 4</formula>
    </cfRule>
  </conditionalFormatting>
  <conditionalFormatting sqref="C101">
    <cfRule type="expression" dxfId="1308" priority="85">
      <formula>kvartal &lt; 4</formula>
    </cfRule>
  </conditionalFormatting>
  <conditionalFormatting sqref="B104">
    <cfRule type="expression" dxfId="1307" priority="84">
      <formula>kvartal &lt; 4</formula>
    </cfRule>
  </conditionalFormatting>
  <conditionalFormatting sqref="C104">
    <cfRule type="expression" dxfId="1306" priority="83">
      <formula>kvartal &lt; 4</formula>
    </cfRule>
  </conditionalFormatting>
  <conditionalFormatting sqref="B115">
    <cfRule type="expression" dxfId="1305" priority="82">
      <formula>kvartal &lt; 4</formula>
    </cfRule>
  </conditionalFormatting>
  <conditionalFormatting sqref="C115">
    <cfRule type="expression" dxfId="1304" priority="81">
      <formula>kvartal &lt; 4</formula>
    </cfRule>
  </conditionalFormatting>
  <conditionalFormatting sqref="B123">
    <cfRule type="expression" dxfId="1303" priority="80">
      <formula>kvartal &lt; 4</formula>
    </cfRule>
  </conditionalFormatting>
  <conditionalFormatting sqref="C123">
    <cfRule type="expression" dxfId="1302" priority="79">
      <formula>kvartal &lt; 4</formula>
    </cfRule>
  </conditionalFormatting>
  <conditionalFormatting sqref="F70">
    <cfRule type="expression" dxfId="1301" priority="78">
      <formula>kvartal &lt; 4</formula>
    </cfRule>
  </conditionalFormatting>
  <conditionalFormatting sqref="G70">
    <cfRule type="expression" dxfId="1300" priority="77">
      <formula>kvartal &lt; 4</formula>
    </cfRule>
  </conditionalFormatting>
  <conditionalFormatting sqref="F71:G71">
    <cfRule type="expression" dxfId="1299" priority="76">
      <formula>kvartal &lt; 4</formula>
    </cfRule>
  </conditionalFormatting>
  <conditionalFormatting sqref="F73:G74">
    <cfRule type="expression" dxfId="1298" priority="75">
      <formula>kvartal &lt; 4</formula>
    </cfRule>
  </conditionalFormatting>
  <conditionalFormatting sqref="F81:G82">
    <cfRule type="expression" dxfId="1297" priority="74">
      <formula>kvartal &lt; 4</formula>
    </cfRule>
  </conditionalFormatting>
  <conditionalFormatting sqref="F84:G85">
    <cfRule type="expression" dxfId="1296" priority="73">
      <formula>kvartal &lt; 4</formula>
    </cfRule>
  </conditionalFormatting>
  <conditionalFormatting sqref="F91:G92">
    <cfRule type="expression" dxfId="1295" priority="68">
      <formula>kvartal &lt; 4</formula>
    </cfRule>
  </conditionalFormatting>
  <conditionalFormatting sqref="F94:G95">
    <cfRule type="expression" dxfId="1294" priority="67">
      <formula>kvartal &lt; 4</formula>
    </cfRule>
  </conditionalFormatting>
  <conditionalFormatting sqref="F102:G103">
    <cfRule type="expression" dxfId="1293" priority="66">
      <formula>kvartal &lt; 4</formula>
    </cfRule>
  </conditionalFormatting>
  <conditionalFormatting sqref="F105:G106">
    <cfRule type="expression" dxfId="1292" priority="65">
      <formula>kvartal &lt; 4</formula>
    </cfRule>
  </conditionalFormatting>
  <conditionalFormatting sqref="F115">
    <cfRule type="expression" dxfId="1291" priority="64">
      <formula>kvartal &lt; 4</formula>
    </cfRule>
  </conditionalFormatting>
  <conditionalFormatting sqref="G115">
    <cfRule type="expression" dxfId="1290" priority="63">
      <formula>kvartal &lt; 4</formula>
    </cfRule>
  </conditionalFormatting>
  <conditionalFormatting sqref="F123:G123">
    <cfRule type="expression" dxfId="1289" priority="62">
      <formula>kvartal &lt; 4</formula>
    </cfRule>
  </conditionalFormatting>
  <conditionalFormatting sqref="F69:G69">
    <cfRule type="expression" dxfId="1288" priority="61">
      <formula>kvartal &lt; 4</formula>
    </cfRule>
  </conditionalFormatting>
  <conditionalFormatting sqref="F72:G72">
    <cfRule type="expression" dxfId="1287" priority="60">
      <formula>kvartal &lt; 4</formula>
    </cfRule>
  </conditionalFormatting>
  <conditionalFormatting sqref="F80:G80">
    <cfRule type="expression" dxfId="1286" priority="59">
      <formula>kvartal &lt; 4</formula>
    </cfRule>
  </conditionalFormatting>
  <conditionalFormatting sqref="F83:G83">
    <cfRule type="expression" dxfId="1285" priority="58">
      <formula>kvartal &lt; 4</formula>
    </cfRule>
  </conditionalFormatting>
  <conditionalFormatting sqref="F90:G90">
    <cfRule type="expression" dxfId="1284" priority="52">
      <formula>kvartal &lt; 4</formula>
    </cfRule>
  </conditionalFormatting>
  <conditionalFormatting sqref="F93">
    <cfRule type="expression" dxfId="1283" priority="51">
      <formula>kvartal &lt; 4</formula>
    </cfRule>
  </conditionalFormatting>
  <conditionalFormatting sqref="G93">
    <cfRule type="expression" dxfId="1282" priority="50">
      <formula>kvartal &lt; 4</formula>
    </cfRule>
  </conditionalFormatting>
  <conditionalFormatting sqref="F101">
    <cfRule type="expression" dxfId="1281" priority="49">
      <formula>kvartal &lt; 4</formula>
    </cfRule>
  </conditionalFormatting>
  <conditionalFormatting sqref="G101">
    <cfRule type="expression" dxfId="1280" priority="48">
      <formula>kvartal &lt; 4</formula>
    </cfRule>
  </conditionalFormatting>
  <conditionalFormatting sqref="G104">
    <cfRule type="expression" dxfId="1279" priority="47">
      <formula>kvartal &lt; 4</formula>
    </cfRule>
  </conditionalFormatting>
  <conditionalFormatting sqref="F104">
    <cfRule type="expression" dxfId="1278" priority="46">
      <formula>kvartal &lt; 4</formula>
    </cfRule>
  </conditionalFormatting>
  <conditionalFormatting sqref="J69:K73">
    <cfRule type="expression" dxfId="1277" priority="45">
      <formula>kvartal &lt; 4</formula>
    </cfRule>
  </conditionalFormatting>
  <conditionalFormatting sqref="J74:K74">
    <cfRule type="expression" dxfId="1276" priority="44">
      <formula>kvartal &lt; 4</formula>
    </cfRule>
  </conditionalFormatting>
  <conditionalFormatting sqref="J80:K85">
    <cfRule type="expression" dxfId="1275" priority="43">
      <formula>kvartal &lt; 4</formula>
    </cfRule>
  </conditionalFormatting>
  <conditionalFormatting sqref="J90:K95">
    <cfRule type="expression" dxfId="1274" priority="40">
      <formula>kvartal &lt; 4</formula>
    </cfRule>
  </conditionalFormatting>
  <conditionalFormatting sqref="J101:K106">
    <cfRule type="expression" dxfId="1273" priority="39">
      <formula>kvartal &lt; 4</formula>
    </cfRule>
  </conditionalFormatting>
  <conditionalFormatting sqref="J115:K115">
    <cfRule type="expression" dxfId="1272" priority="38">
      <formula>kvartal &lt; 4</formula>
    </cfRule>
  </conditionalFormatting>
  <conditionalFormatting sqref="J123:K123">
    <cfRule type="expression" dxfId="1271" priority="37">
      <formula>kvartal &lt; 4</formula>
    </cfRule>
  </conditionalFormatting>
  <conditionalFormatting sqref="A50:A52">
    <cfRule type="expression" dxfId="1270" priority="18">
      <formula>kvartal &lt; 4</formula>
    </cfRule>
  </conditionalFormatting>
  <conditionalFormatting sqref="A69:A74">
    <cfRule type="expression" dxfId="1269" priority="6">
      <formula>kvartal &lt; 4</formula>
    </cfRule>
  </conditionalFormatting>
  <conditionalFormatting sqref="A115">
    <cfRule type="expression" dxfId="1268" priority="5">
      <formula>kvartal &lt; 4</formula>
    </cfRule>
  </conditionalFormatting>
  <conditionalFormatting sqref="A123">
    <cfRule type="expression" dxfId="1267" priority="4">
      <formula>kvartal &lt; 4</formula>
    </cfRule>
  </conditionalFormatting>
  <conditionalFormatting sqref="A80:A85">
    <cfRule type="expression" dxfId="1266" priority="3">
      <formula>kvartal &lt; 4</formula>
    </cfRule>
  </conditionalFormatting>
  <conditionalFormatting sqref="A90:A95">
    <cfRule type="expression" dxfId="1265" priority="2">
      <formula>kvartal &lt; 4</formula>
    </cfRule>
  </conditionalFormatting>
  <conditionalFormatting sqref="A101:A106">
    <cfRule type="expression" dxfId="1264"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44"/>
  <sheetViews>
    <sheetView showGridLines="0" zoomScaleNormal="100" workbookViewId="0"/>
  </sheetViews>
  <sheetFormatPr baseColWidth="10" defaultColWidth="11.42578125" defaultRowHeight="12.75" x14ac:dyDescent="0.2"/>
  <cols>
    <col min="1" max="1" width="41.5703125" style="166" customWidth="1"/>
    <col min="2" max="2" width="10.85546875" style="166" customWidth="1"/>
    <col min="3" max="3" width="11" style="166" customWidth="1"/>
    <col min="4" max="5" width="8.7109375" style="166" customWidth="1"/>
    <col min="6" max="7" width="10.85546875" style="166" customWidth="1"/>
    <col min="8" max="9" width="8.7109375" style="166" customWidth="1"/>
    <col min="10" max="11" width="10.85546875" style="166" customWidth="1"/>
    <col min="12" max="13" width="8.7109375" style="166" customWidth="1"/>
    <col min="14" max="14" width="11.42578125" style="166"/>
    <col min="15" max="15" width="3" style="165" bestFit="1" customWidth="1"/>
    <col min="16" max="16384" width="11.42578125" style="1"/>
  </cols>
  <sheetData>
    <row r="1" spans="1:15" x14ac:dyDescent="0.2">
      <c r="A1" s="189" t="s">
        <v>217</v>
      </c>
      <c r="B1" s="722"/>
      <c r="C1" s="265" t="s">
        <v>89</v>
      </c>
      <c r="D1" s="26"/>
      <c r="E1" s="26"/>
      <c r="F1" s="26"/>
      <c r="G1" s="26"/>
      <c r="H1" s="26"/>
      <c r="I1" s="26"/>
      <c r="J1" s="26"/>
      <c r="K1" s="26"/>
      <c r="L1" s="26"/>
      <c r="M1" s="26"/>
      <c r="O1" s="462"/>
    </row>
    <row r="2" spans="1:15" ht="15.75" x14ac:dyDescent="0.25">
      <c r="A2" s="182" t="s">
        <v>29</v>
      </c>
      <c r="B2" s="755"/>
      <c r="C2" s="755"/>
      <c r="D2" s="755"/>
      <c r="E2" s="442"/>
      <c r="F2" s="755"/>
      <c r="G2" s="755"/>
      <c r="H2" s="755"/>
      <c r="I2" s="442"/>
      <c r="J2" s="755"/>
      <c r="K2" s="755"/>
      <c r="L2" s="755"/>
      <c r="M2" s="442"/>
    </row>
    <row r="3" spans="1:15" ht="15.75" x14ac:dyDescent="0.25">
      <c r="A3" s="180"/>
      <c r="B3" s="442"/>
      <c r="C3" s="442"/>
      <c r="D3" s="442"/>
      <c r="E3" s="442"/>
      <c r="F3" s="442"/>
      <c r="G3" s="442"/>
      <c r="H3" s="442"/>
      <c r="I3" s="442"/>
      <c r="J3" s="442"/>
      <c r="K3" s="442"/>
      <c r="L3" s="442"/>
      <c r="M3" s="442"/>
    </row>
    <row r="4" spans="1:15" x14ac:dyDescent="0.2">
      <c r="A4" s="161"/>
      <c r="B4" s="752" t="s">
        <v>0</v>
      </c>
      <c r="C4" s="753"/>
      <c r="D4" s="753"/>
      <c r="E4" s="441"/>
      <c r="F4" s="752" t="s">
        <v>1</v>
      </c>
      <c r="G4" s="753"/>
      <c r="H4" s="753"/>
      <c r="I4" s="444"/>
      <c r="J4" s="752" t="s">
        <v>2</v>
      </c>
      <c r="K4" s="753"/>
      <c r="L4" s="753"/>
      <c r="M4" s="444"/>
    </row>
    <row r="5" spans="1:15" x14ac:dyDescent="0.2">
      <c r="A5" s="175"/>
      <c r="B5" s="169" t="s">
        <v>456</v>
      </c>
      <c r="C5" s="169" t="s">
        <v>457</v>
      </c>
      <c r="D5" s="261" t="s">
        <v>3</v>
      </c>
      <c r="E5" s="340" t="s">
        <v>30</v>
      </c>
      <c r="F5" s="169" t="s">
        <v>456</v>
      </c>
      <c r="G5" s="169" t="s">
        <v>457</v>
      </c>
      <c r="H5" s="261" t="s">
        <v>3</v>
      </c>
      <c r="I5" s="179" t="s">
        <v>30</v>
      </c>
      <c r="J5" s="169" t="s">
        <v>456</v>
      </c>
      <c r="K5" s="169" t="s">
        <v>457</v>
      </c>
      <c r="L5" s="261" t="s">
        <v>3</v>
      </c>
      <c r="M5" s="179" t="s">
        <v>30</v>
      </c>
      <c r="O5" s="721"/>
    </row>
    <row r="6" spans="1:15" x14ac:dyDescent="0.2">
      <c r="A6" s="723"/>
      <c r="B6" s="173"/>
      <c r="C6" s="173"/>
      <c r="D6" s="263" t="s">
        <v>4</v>
      </c>
      <c r="E6" s="173" t="s">
        <v>31</v>
      </c>
      <c r="F6" s="178"/>
      <c r="G6" s="178"/>
      <c r="H6" s="261" t="s">
        <v>4</v>
      </c>
      <c r="I6" s="173" t="s">
        <v>31</v>
      </c>
      <c r="J6" s="178"/>
      <c r="K6" s="178"/>
      <c r="L6" s="261" t="s">
        <v>4</v>
      </c>
      <c r="M6" s="173" t="s">
        <v>31</v>
      </c>
    </row>
    <row r="7" spans="1:15" ht="15.75" x14ac:dyDescent="0.2">
      <c r="A7" s="14" t="s">
        <v>24</v>
      </c>
      <c r="B7" s="342">
        <v>67238.801999999996</v>
      </c>
      <c r="C7" s="343">
        <v>69295.527000000002</v>
      </c>
      <c r="D7" s="384">
        <f>IF(B7=0, "    ---- ", IF(ABS(ROUND(100/B7*C7-100,1))&lt;999,ROUND(100/B7*C7-100,1),IF(ROUND(100/B7*C7-100,1)&gt;999,999,-999)))</f>
        <v>3.1</v>
      </c>
      <c r="E7" s="11">
        <f>IFERROR(100/'Skjema total MA'!C7*C7,0)</f>
        <v>4.1999001593674663</v>
      </c>
      <c r="F7" s="342">
        <v>128532.694</v>
      </c>
      <c r="G7" s="343">
        <v>112404.626</v>
      </c>
      <c r="H7" s="384">
        <f>IF(F7=0, "    ---- ", IF(ABS(ROUND(100/F7*G7-100,1))&lt;999,ROUND(100/F7*G7-100,1),IF(ROUND(100/F7*G7-100,1)&gt;999,999,-999)))</f>
        <v>-12.5</v>
      </c>
      <c r="I7" s="177">
        <f>IFERROR(100/'Skjema total MA'!F7*G7,0)</f>
        <v>5.5184148571133527</v>
      </c>
      <c r="J7" s="344">
        <v>195771.49599999998</v>
      </c>
      <c r="K7" s="345">
        <v>181700.15299999999</v>
      </c>
      <c r="L7" s="463">
        <f>IF(J7=0, "    ---- ", IF(ABS(ROUND(100/J7*K7-100,1))&lt;999,ROUND(100/J7*K7-100,1),IF(ROUND(100/J7*K7-100,1)&gt;999,999,-999)))</f>
        <v>-7.2</v>
      </c>
      <c r="M7" s="11">
        <f>IFERROR(100/'Skjema total MA'!I7*K7,0)</f>
        <v>4.9283527776052702</v>
      </c>
    </row>
    <row r="8" spans="1:15" ht="15.75" x14ac:dyDescent="0.2">
      <c r="A8" s="21" t="s">
        <v>26</v>
      </c>
      <c r="B8" s="316">
        <v>33059.142999999996</v>
      </c>
      <c r="C8" s="317">
        <v>33825.843999999997</v>
      </c>
      <c r="D8" s="183">
        <f t="shared" ref="D8:D10" si="0">IF(B8=0, "    ---- ", IF(ABS(ROUND(100/B8*C8-100,1))&lt;999,ROUND(100/B8*C8-100,1),IF(ROUND(100/B8*C8-100,1)&gt;999,999,-999)))</f>
        <v>2.2999999999999998</v>
      </c>
      <c r="E8" s="27">
        <f>IFERROR(100/'Skjema total MA'!C8*C8,0)</f>
        <v>3.3054509970644745</v>
      </c>
      <c r="F8" s="320"/>
      <c r="G8" s="321"/>
      <c r="H8" s="183"/>
      <c r="I8" s="193"/>
      <c r="J8" s="250">
        <v>33059.142999999996</v>
      </c>
      <c r="K8" s="322">
        <v>33825.843999999997</v>
      </c>
      <c r="L8" s="183">
        <f t="shared" ref="L8:L9" si="1">IF(J8=0, "    ---- ", IF(ABS(ROUND(100/J8*K8-100,1))&lt;999,ROUND(100/J8*K8-100,1),IF(ROUND(100/J8*K8-100,1)&gt;999,999,-999)))</f>
        <v>2.2999999999999998</v>
      </c>
      <c r="M8" s="27">
        <f>IFERROR(100/'Skjema total MA'!I8*K8,0)</f>
        <v>3.3054509970644745</v>
      </c>
    </row>
    <row r="9" spans="1:15" ht="15.75" x14ac:dyDescent="0.2">
      <c r="A9" s="21" t="s">
        <v>25</v>
      </c>
      <c r="B9" s="316">
        <v>20074.726999999999</v>
      </c>
      <c r="C9" s="317">
        <v>18719.095000000001</v>
      </c>
      <c r="D9" s="183">
        <f t="shared" si="0"/>
        <v>-6.8</v>
      </c>
      <c r="E9" s="27">
        <f>IFERROR(100/'Skjema total MA'!C9*C9,0)</f>
        <v>3.6096771767625317</v>
      </c>
      <c r="F9" s="320"/>
      <c r="G9" s="321"/>
      <c r="H9" s="183"/>
      <c r="I9" s="193"/>
      <c r="J9" s="250">
        <v>20074.726999999999</v>
      </c>
      <c r="K9" s="322">
        <v>18719.095000000001</v>
      </c>
      <c r="L9" s="183">
        <f t="shared" si="1"/>
        <v>-6.8</v>
      </c>
      <c r="M9" s="27">
        <f>IFERROR(100/'Skjema total MA'!I9*K9,0)</f>
        <v>3.6096771767625317</v>
      </c>
    </row>
    <row r="10" spans="1:15" ht="15.75" x14ac:dyDescent="0.2">
      <c r="A10" s="13" t="s">
        <v>466</v>
      </c>
      <c r="B10" s="346">
        <v>357193.63500000001</v>
      </c>
      <c r="C10" s="347">
        <v>336079.64299999998</v>
      </c>
      <c r="D10" s="188">
        <f t="shared" si="0"/>
        <v>-5.9</v>
      </c>
      <c r="E10" s="11">
        <f>IFERROR(100/'Skjema total MA'!C10*C10,0)</f>
        <v>1.5321845105043834</v>
      </c>
      <c r="F10" s="346">
        <v>2202716.8059999999</v>
      </c>
      <c r="G10" s="347">
        <v>2491016.3110000002</v>
      </c>
      <c r="H10" s="188">
        <f t="shared" ref="H10:H12" si="2">IF(F10=0, "    ---- ", IF(ABS(ROUND(100/F10*G10-100,1))&lt;999,ROUND(100/F10*G10-100,1),IF(ROUND(100/F10*G10-100,1)&gt;999,999,-999)))</f>
        <v>13.1</v>
      </c>
      <c r="I10" s="177">
        <f>IFERROR(100/'Skjema total MA'!F10*G10,0)</f>
        <v>5.9773236102547731</v>
      </c>
      <c r="J10" s="344">
        <v>2559910.4409999996</v>
      </c>
      <c r="K10" s="345">
        <v>2827095.9540000004</v>
      </c>
      <c r="L10" s="464">
        <f t="shared" ref="L10:L12" si="3">IF(J10=0, "    ---- ", IF(ABS(ROUND(100/J10*K10-100,1))&lt;999,ROUND(100/J10*K10-100,1),IF(ROUND(100/J10*K10-100,1)&gt;999,999,-999)))</f>
        <v>10.4</v>
      </c>
      <c r="M10" s="11">
        <f>IFERROR(100/'Skjema total MA'!I10*K10,0)</f>
        <v>4.4444824808685084</v>
      </c>
    </row>
    <row r="11" spans="1:15" s="43" customFormat="1" ht="15.75" x14ac:dyDescent="0.2">
      <c r="A11" s="13" t="s">
        <v>467</v>
      </c>
      <c r="B11" s="346"/>
      <c r="C11" s="347"/>
      <c r="D11" s="188"/>
      <c r="E11" s="11"/>
      <c r="F11" s="346">
        <v>45361.466999999997</v>
      </c>
      <c r="G11" s="347">
        <v>2349.875</v>
      </c>
      <c r="H11" s="188">
        <f t="shared" si="2"/>
        <v>-94.8</v>
      </c>
      <c r="I11" s="177">
        <f>IFERROR(100/'Skjema total MA'!F11*G11,0)</f>
        <v>4.4786679764932478</v>
      </c>
      <c r="J11" s="344">
        <v>45361.466999999997</v>
      </c>
      <c r="K11" s="345">
        <v>2349.875</v>
      </c>
      <c r="L11" s="464">
        <f t="shared" si="3"/>
        <v>-94.8</v>
      </c>
      <c r="M11" s="11">
        <f>IFERROR(100/'Skjema total MA'!I11*K11,0)</f>
        <v>4.2388843255372857</v>
      </c>
      <c r="N11" s="160"/>
      <c r="O11" s="165"/>
    </row>
    <row r="12" spans="1:15" s="43" customFormat="1" ht="15.75" x14ac:dyDescent="0.2">
      <c r="A12" s="41" t="s">
        <v>468</v>
      </c>
      <c r="B12" s="348"/>
      <c r="C12" s="349"/>
      <c r="D12" s="186"/>
      <c r="E12" s="36"/>
      <c r="F12" s="348">
        <v>7726.4539999999997</v>
      </c>
      <c r="G12" s="349">
        <v>8524.5040000000008</v>
      </c>
      <c r="H12" s="186">
        <f t="shared" si="2"/>
        <v>10.3</v>
      </c>
      <c r="I12" s="186">
        <f>IFERROR(100/'Skjema total MA'!F12*G12,0)</f>
        <v>13.92431811095658</v>
      </c>
      <c r="J12" s="350">
        <v>7726.4539999999997</v>
      </c>
      <c r="K12" s="351">
        <v>8524.5040000000008</v>
      </c>
      <c r="L12" s="465">
        <f t="shared" si="3"/>
        <v>10.3</v>
      </c>
      <c r="M12" s="36">
        <f>IFERROR(100/'Skjema total MA'!I12*K12,0)</f>
        <v>13.929096120883127</v>
      </c>
      <c r="N12" s="160"/>
      <c r="O12" s="165"/>
    </row>
    <row r="13" spans="1:15" s="43" customFormat="1" x14ac:dyDescent="0.2">
      <c r="A13" s="185"/>
      <c r="B13" s="162"/>
      <c r="C13" s="33"/>
      <c r="D13" s="176"/>
      <c r="E13" s="176"/>
      <c r="F13" s="162"/>
      <c r="G13" s="33"/>
      <c r="H13" s="176"/>
      <c r="I13" s="176"/>
      <c r="J13" s="48"/>
      <c r="K13" s="48"/>
      <c r="L13" s="176"/>
      <c r="M13" s="176"/>
      <c r="N13" s="160"/>
      <c r="O13" s="462"/>
    </row>
    <row r="14" spans="1:15" x14ac:dyDescent="0.2">
      <c r="A14" s="170" t="s">
        <v>365</v>
      </c>
      <c r="B14" s="26"/>
    </row>
    <row r="15" spans="1:15" x14ac:dyDescent="0.2">
      <c r="F15" s="163"/>
      <c r="G15" s="163"/>
      <c r="H15" s="163"/>
      <c r="I15" s="163"/>
      <c r="J15" s="163"/>
      <c r="K15" s="163"/>
      <c r="L15" s="163"/>
      <c r="M15" s="163"/>
    </row>
    <row r="16" spans="1:15" s="3" customFormat="1" ht="15.75" x14ac:dyDescent="0.25">
      <c r="A16" s="181"/>
      <c r="B16" s="165"/>
      <c r="C16" s="171"/>
      <c r="D16" s="171"/>
      <c r="E16" s="171"/>
      <c r="F16" s="171"/>
      <c r="G16" s="171"/>
      <c r="H16" s="171"/>
      <c r="I16" s="171"/>
      <c r="J16" s="171"/>
      <c r="K16" s="171"/>
      <c r="L16" s="171"/>
      <c r="M16" s="171"/>
      <c r="N16" s="165"/>
      <c r="O16" s="165"/>
    </row>
    <row r="17" spans="1:15" ht="15.75" x14ac:dyDescent="0.25">
      <c r="A17" s="164" t="s">
        <v>362</v>
      </c>
      <c r="B17" s="174"/>
      <c r="C17" s="174"/>
      <c r="D17" s="168"/>
      <c r="E17" s="168"/>
      <c r="F17" s="174"/>
      <c r="G17" s="174"/>
      <c r="H17" s="174"/>
      <c r="I17" s="174"/>
      <c r="J17" s="174"/>
      <c r="K17" s="174"/>
      <c r="L17" s="174"/>
      <c r="M17" s="174"/>
    </row>
    <row r="18" spans="1:15" ht="15.75" x14ac:dyDescent="0.25">
      <c r="B18" s="756"/>
      <c r="C18" s="756"/>
      <c r="D18" s="756"/>
      <c r="E18" s="442"/>
      <c r="F18" s="756"/>
      <c r="G18" s="756"/>
      <c r="H18" s="756"/>
      <c r="I18" s="442"/>
      <c r="J18" s="756"/>
      <c r="K18" s="756"/>
      <c r="L18" s="756"/>
      <c r="M18" s="442"/>
    </row>
    <row r="19" spans="1:15" x14ac:dyDescent="0.2">
      <c r="A19" s="161"/>
      <c r="B19" s="752" t="s">
        <v>0</v>
      </c>
      <c r="C19" s="753"/>
      <c r="D19" s="753"/>
      <c r="E19" s="441"/>
      <c r="F19" s="752" t="s">
        <v>1</v>
      </c>
      <c r="G19" s="753"/>
      <c r="H19" s="753"/>
      <c r="I19" s="444"/>
      <c r="J19" s="752" t="s">
        <v>2</v>
      </c>
      <c r="K19" s="753"/>
      <c r="L19" s="753"/>
      <c r="M19" s="444"/>
    </row>
    <row r="20" spans="1:15" x14ac:dyDescent="0.2">
      <c r="A20" s="157" t="s">
        <v>5</v>
      </c>
      <c r="B20" s="258" t="s">
        <v>456</v>
      </c>
      <c r="C20" s="258" t="s">
        <v>457</v>
      </c>
      <c r="D20" s="179" t="s">
        <v>3</v>
      </c>
      <c r="E20" s="340" t="s">
        <v>30</v>
      </c>
      <c r="F20" s="258" t="s">
        <v>456</v>
      </c>
      <c r="G20" s="258" t="s">
        <v>457</v>
      </c>
      <c r="H20" s="179" t="s">
        <v>3</v>
      </c>
      <c r="I20" s="179" t="s">
        <v>30</v>
      </c>
      <c r="J20" s="258" t="s">
        <v>456</v>
      </c>
      <c r="K20" s="258" t="s">
        <v>457</v>
      </c>
      <c r="L20" s="179" t="s">
        <v>3</v>
      </c>
      <c r="M20" s="179" t="s">
        <v>30</v>
      </c>
    </row>
    <row r="21" spans="1:15" x14ac:dyDescent="0.2">
      <c r="A21" s="724"/>
      <c r="B21" s="173"/>
      <c r="C21" s="173"/>
      <c r="D21" s="263" t="s">
        <v>4</v>
      </c>
      <c r="E21" s="452" t="s">
        <v>31</v>
      </c>
      <c r="F21" s="178"/>
      <c r="G21" s="178"/>
      <c r="H21" s="261" t="s">
        <v>4</v>
      </c>
      <c r="I21" s="173" t="s">
        <v>31</v>
      </c>
      <c r="J21" s="178"/>
      <c r="K21" s="178"/>
      <c r="L21" s="173" t="s">
        <v>4</v>
      </c>
      <c r="M21" s="173" t="s">
        <v>31</v>
      </c>
    </row>
    <row r="22" spans="1:15" ht="15.75" x14ac:dyDescent="0.2">
      <c r="A22" s="14" t="s">
        <v>24</v>
      </c>
      <c r="B22" s="352">
        <v>4486</v>
      </c>
      <c r="C22" s="352">
        <v>4138</v>
      </c>
      <c r="D22" s="384">
        <f t="shared" ref="D22:D29" si="4">IF(B22=0, "    ---- ", IF(ABS(ROUND(100/B22*C22-100,1))&lt;999,ROUND(100/B22*C22-100,1),IF(ROUND(100/B22*C22-100,1)&gt;999,999,-999)))</f>
        <v>-7.8</v>
      </c>
      <c r="E22" s="11">
        <f>IFERROR(100/'Skjema total MA'!C22*C22,0)</f>
        <v>0.8192794120176351</v>
      </c>
      <c r="F22" s="352">
        <v>2531.44</v>
      </c>
      <c r="G22" s="352">
        <v>18736.705999999998</v>
      </c>
      <c r="H22" s="384">
        <f t="shared" ref="H22:H35" si="5">IF(F22=0, "    ---- ", IF(ABS(ROUND(100/F22*G22-100,1))&lt;999,ROUND(100/F22*G22-100,1),IF(ROUND(100/F22*G22-100,1)&gt;999,999,-999)))</f>
        <v>640.20000000000005</v>
      </c>
      <c r="I22" s="177">
        <f>IFERROR(100/'Skjema total MA'!F22*G22,0)</f>
        <v>6.3523419773606147</v>
      </c>
      <c r="J22" s="352">
        <f t="shared" ref="J22:K35" si="6">SUM(B22,F22)</f>
        <v>7017.4400000000005</v>
      </c>
      <c r="K22" s="352">
        <f t="shared" si="6"/>
        <v>22874.705999999998</v>
      </c>
      <c r="L22" s="463">
        <f t="shared" ref="L22:L35" si="7">IF(J22=0, "    ---- ", IF(ABS(ROUND(100/J22*K22-100,1))&lt;999,ROUND(100/J22*K22-100,1),IF(ROUND(100/J22*K22-100,1)&gt;999,999,-999)))</f>
        <v>226</v>
      </c>
      <c r="M22" s="24">
        <f>IFERROR(100/'Skjema total MA'!I22*K22,0)</f>
        <v>2.8592115761584065</v>
      </c>
    </row>
    <row r="23" spans="1:15" ht="15.75" x14ac:dyDescent="0.2">
      <c r="A23" s="49" t="s">
        <v>469</v>
      </c>
      <c r="B23" s="44"/>
      <c r="C23" s="322"/>
      <c r="D23" s="183"/>
      <c r="E23" s="27"/>
      <c r="F23" s="250"/>
      <c r="G23" s="322">
        <v>1464.133</v>
      </c>
      <c r="H23" s="183" t="str">
        <f t="shared" ref="H23:H26" si="8">IF(F23=0, "    ---- ", IF(ABS(ROUND(100/F23*G23-100,1))&lt;999,ROUND(100/F23*G23-100,1),IF(ROUND(100/F23*G23-100,1)&gt;999,999,-999)))</f>
        <v xml:space="preserve">    ---- </v>
      </c>
      <c r="I23" s="193">
        <f>IFERROR(100/'Skjema total MA'!F23*G23,0)</f>
        <v>2.846911352007004</v>
      </c>
      <c r="J23" s="44"/>
      <c r="K23" s="44">
        <f t="shared" ref="K23:K26" si="9">SUM(C23,G23)</f>
        <v>1464.133</v>
      </c>
      <c r="L23" s="274" t="str">
        <f t="shared" ref="L23:L26" si="10">IF(J23=0, "    ---- ", IF(ABS(ROUND(100/J23*K23-100,1))&lt;999,ROUND(100/J23*K23-100,1),IF(ROUND(100/J23*K23-100,1)&gt;999,999,-999)))</f>
        <v xml:space="preserve">    ---- </v>
      </c>
      <c r="M23" s="23">
        <f>IFERROR(100/'Skjema total MA'!I23*K23,0)</f>
        <v>0.50574688787651734</v>
      </c>
    </row>
    <row r="24" spans="1:15" ht="15.75" x14ac:dyDescent="0.2">
      <c r="A24" s="49" t="s">
        <v>470</v>
      </c>
      <c r="B24" s="44"/>
      <c r="C24" s="322"/>
      <c r="D24" s="183"/>
      <c r="E24" s="27"/>
      <c r="F24" s="250"/>
      <c r="G24" s="322"/>
      <c r="H24" s="183"/>
      <c r="I24" s="193"/>
      <c r="J24" s="44"/>
      <c r="K24" s="44"/>
      <c r="L24" s="274"/>
      <c r="M24" s="23"/>
    </row>
    <row r="25" spans="1:15" ht="15.75" x14ac:dyDescent="0.2">
      <c r="A25" s="49" t="s">
        <v>471</v>
      </c>
      <c r="B25" s="44"/>
      <c r="C25" s="322"/>
      <c r="D25" s="183"/>
      <c r="E25" s="27"/>
      <c r="F25" s="250"/>
      <c r="G25" s="322">
        <v>508.73</v>
      </c>
      <c r="H25" s="183" t="str">
        <f>IF(F25=0, "    ---- ", IF(ABS(ROUND(100/F25*G25-100,1))&lt;999,ROUND(100/F25*G25-100,1),IF(ROUND(100/F25*G25-100,1)&gt;999,999,-999)))</f>
        <v xml:space="preserve">    ---- </v>
      </c>
      <c r="I25" s="193">
        <f>IFERROR(100/'Skjema total MA'!F25*G25,0)</f>
        <v>1.8647208489380545</v>
      </c>
      <c r="J25" s="44"/>
      <c r="K25" s="44">
        <f t="shared" si="9"/>
        <v>508.73</v>
      </c>
      <c r="L25" s="274" t="str">
        <f t="shared" si="10"/>
        <v xml:space="preserve">    ---- </v>
      </c>
      <c r="M25" s="23">
        <f>IFERROR(100/'Skjema total MA'!I25*K25,0)</f>
        <v>1.5689397726268175</v>
      </c>
    </row>
    <row r="26" spans="1:15" ht="15.75" x14ac:dyDescent="0.2">
      <c r="A26" s="49" t="s">
        <v>472</v>
      </c>
      <c r="B26" s="44"/>
      <c r="C26" s="322"/>
      <c r="D26" s="183"/>
      <c r="E26" s="27"/>
      <c r="F26" s="250"/>
      <c r="G26" s="322">
        <v>16763.843000000001</v>
      </c>
      <c r="H26" s="183" t="str">
        <f t="shared" si="8"/>
        <v xml:space="preserve">    ---- </v>
      </c>
      <c r="I26" s="193">
        <f>IFERROR(100/'Skjema total MA'!F26*G26,0)</f>
        <v>8.1360793561351077</v>
      </c>
      <c r="J26" s="44"/>
      <c r="K26" s="44">
        <f t="shared" si="9"/>
        <v>16763.843000000001</v>
      </c>
      <c r="L26" s="274" t="str">
        <f t="shared" si="10"/>
        <v xml:space="preserve">    ---- </v>
      </c>
      <c r="M26" s="23">
        <f>IFERROR(100/'Skjema total MA'!I26*K26,0)</f>
        <v>8.1360793561351077</v>
      </c>
    </row>
    <row r="27" spans="1:15" x14ac:dyDescent="0.2">
      <c r="A27" s="49" t="s">
        <v>11</v>
      </c>
      <c r="B27" s="44"/>
      <c r="C27" s="322"/>
      <c r="D27" s="183"/>
      <c r="E27" s="27"/>
      <c r="F27" s="250"/>
      <c r="G27" s="322"/>
      <c r="H27" s="183"/>
      <c r="I27" s="193"/>
      <c r="J27" s="44"/>
      <c r="K27" s="44"/>
      <c r="L27" s="274"/>
      <c r="M27" s="23"/>
    </row>
    <row r="28" spans="1:15" ht="15.75" x14ac:dyDescent="0.2">
      <c r="A28" s="49" t="s">
        <v>366</v>
      </c>
      <c r="B28" s="44">
        <v>4485.6949999999997</v>
      </c>
      <c r="C28" s="322">
        <v>4138.174</v>
      </c>
      <c r="D28" s="183">
        <f t="shared" si="4"/>
        <v>-7.7</v>
      </c>
      <c r="E28" s="27">
        <f>IFERROR(100/'Skjema total MA'!C28*C28,0)</f>
        <v>0.58469173885218606</v>
      </c>
      <c r="F28" s="250"/>
      <c r="G28" s="322"/>
      <c r="H28" s="183"/>
      <c r="I28" s="193"/>
      <c r="J28" s="44">
        <f t="shared" si="6"/>
        <v>4485.6949999999997</v>
      </c>
      <c r="K28" s="44">
        <f t="shared" si="6"/>
        <v>4138.174</v>
      </c>
      <c r="L28" s="274">
        <f t="shared" si="7"/>
        <v>-7.7</v>
      </c>
      <c r="M28" s="23">
        <f>IFERROR(100/'Skjema total MA'!I28*K28,0)</f>
        <v>0.58469173885218606</v>
      </c>
    </row>
    <row r="29" spans="1:15" s="3" customFormat="1" ht="15.75" x14ac:dyDescent="0.2">
      <c r="A29" s="13" t="s">
        <v>23</v>
      </c>
      <c r="B29" s="252">
        <v>62579.506999999998</v>
      </c>
      <c r="C29" s="252">
        <v>89138.062000000005</v>
      </c>
      <c r="D29" s="188">
        <f t="shared" si="4"/>
        <v>42.4</v>
      </c>
      <c r="E29" s="11">
        <f>IFERROR(100/'Skjema total MA'!C29*C29,0)</f>
        <v>0.18021605747641425</v>
      </c>
      <c r="F29" s="252">
        <v>2257427.7030000002</v>
      </c>
      <c r="G29" s="252">
        <v>2197127.1540000001</v>
      </c>
      <c r="H29" s="188">
        <f t="shared" si="5"/>
        <v>-2.7</v>
      </c>
      <c r="I29" s="177">
        <f>IFERROR(100/'Skjema total MA'!F29*G29,0)</f>
        <v>10.986594023329044</v>
      </c>
      <c r="J29" s="252">
        <f t="shared" si="6"/>
        <v>2320007.2100000004</v>
      </c>
      <c r="K29" s="252">
        <f t="shared" si="6"/>
        <v>2286265.216</v>
      </c>
      <c r="L29" s="464">
        <f t="shared" si="7"/>
        <v>-1.5</v>
      </c>
      <c r="M29" s="24">
        <f>IFERROR(100/'Skjema total MA'!I29*K29,0)</f>
        <v>3.2914831387747148</v>
      </c>
      <c r="N29" s="165"/>
      <c r="O29" s="165"/>
    </row>
    <row r="30" spans="1:15" s="3" customFormat="1" ht="15.75" x14ac:dyDescent="0.2">
      <c r="A30" s="49" t="s">
        <v>469</v>
      </c>
      <c r="B30" s="44"/>
      <c r="C30" s="322"/>
      <c r="D30" s="183"/>
      <c r="E30" s="27"/>
      <c r="F30" s="250"/>
      <c r="G30" s="322">
        <v>679096.67299999995</v>
      </c>
      <c r="H30" s="183" t="str">
        <f t="shared" si="5"/>
        <v xml:space="preserve">    ---- </v>
      </c>
      <c r="I30" s="193">
        <f>IFERROR(100/'Skjema total MA'!F30*G30,0)</f>
        <v>15.839520556255039</v>
      </c>
      <c r="J30" s="44"/>
      <c r="K30" s="44">
        <f t="shared" ref="K30:K33" si="11">SUM(C30,G30)</f>
        <v>679096.67299999995</v>
      </c>
      <c r="L30" s="183" t="str">
        <f t="shared" si="7"/>
        <v xml:space="preserve">    ---- </v>
      </c>
      <c r="M30" s="193">
        <f>IFERROR(100/'Skjema total MA'!J30*K30,0)</f>
        <v>0</v>
      </c>
      <c r="N30" s="165"/>
      <c r="O30" s="165"/>
    </row>
    <row r="31" spans="1:15" s="3" customFormat="1" ht="15.75" x14ac:dyDescent="0.2">
      <c r="A31" s="49" t="s">
        <v>470</v>
      </c>
      <c r="B31" s="44"/>
      <c r="C31" s="322"/>
      <c r="D31" s="183"/>
      <c r="E31" s="27"/>
      <c r="F31" s="250"/>
      <c r="G31" s="322">
        <v>1375523.446</v>
      </c>
      <c r="H31" s="183" t="str">
        <f t="shared" si="5"/>
        <v xml:space="preserve">    ---- </v>
      </c>
      <c r="I31" s="193">
        <f>IFERROR(100/'Skjema total MA'!F31*G31,0)</f>
        <v>14.758628187907451</v>
      </c>
      <c r="J31" s="44"/>
      <c r="K31" s="44">
        <f t="shared" si="11"/>
        <v>1375523.446</v>
      </c>
      <c r="L31" s="183" t="str">
        <f t="shared" si="7"/>
        <v xml:space="preserve">    ---- </v>
      </c>
      <c r="M31" s="193">
        <f>IFERROR(100/'Skjema total MA'!J31*K31,0)</f>
        <v>0</v>
      </c>
      <c r="N31" s="165"/>
      <c r="O31" s="165"/>
    </row>
    <row r="32" spans="1:15" ht="15.75" x14ac:dyDescent="0.2">
      <c r="A32" s="49" t="s">
        <v>471</v>
      </c>
      <c r="B32" s="44"/>
      <c r="C32" s="322"/>
      <c r="D32" s="183"/>
      <c r="E32" s="27"/>
      <c r="F32" s="250"/>
      <c r="G32" s="322">
        <v>74517.793000000005</v>
      </c>
      <c r="H32" s="183" t="str">
        <f t="shared" si="5"/>
        <v xml:space="preserve">    ---- </v>
      </c>
      <c r="I32" s="193">
        <f>IFERROR(100/'Skjema total MA'!F32*G32,0)</f>
        <v>1.9185333085461165</v>
      </c>
      <c r="J32" s="44"/>
      <c r="K32" s="44">
        <f t="shared" si="11"/>
        <v>74517.793000000005</v>
      </c>
      <c r="L32" s="183" t="str">
        <f t="shared" si="7"/>
        <v xml:space="preserve">    ---- </v>
      </c>
      <c r="M32" s="193">
        <f>IFERROR(100/'Skjema total MA'!J32*K32,0)</f>
        <v>0</v>
      </c>
    </row>
    <row r="33" spans="1:15" ht="15.75" x14ac:dyDescent="0.2">
      <c r="A33" s="49" t="s">
        <v>472</v>
      </c>
      <c r="B33" s="44"/>
      <c r="C33" s="322"/>
      <c r="D33" s="183"/>
      <c r="E33" s="27"/>
      <c r="F33" s="250"/>
      <c r="G33" s="322">
        <v>67989.241999999998</v>
      </c>
      <c r="H33" s="183" t="str">
        <f t="shared" si="5"/>
        <v xml:space="preserve">    ---- </v>
      </c>
      <c r="I33" s="193">
        <f>IFERROR(100/'Skjema total MA'!F33*G33,0)</f>
        <v>7.2913415472092344</v>
      </c>
      <c r="J33" s="44"/>
      <c r="K33" s="44">
        <f t="shared" si="11"/>
        <v>67989.241999999998</v>
      </c>
      <c r="L33" s="183" t="str">
        <f t="shared" si="7"/>
        <v xml:space="preserve">    ---- </v>
      </c>
      <c r="M33" s="193">
        <f>IFERROR(100/'Skjema total MA'!J33*K33,0)</f>
        <v>0</v>
      </c>
    </row>
    <row r="34" spans="1:15" ht="15.75" x14ac:dyDescent="0.2">
      <c r="A34" s="13" t="s">
        <v>467</v>
      </c>
      <c r="B34" s="252"/>
      <c r="C34" s="345"/>
      <c r="D34" s="188"/>
      <c r="E34" s="11"/>
      <c r="F34" s="344">
        <v>11371.834000000001</v>
      </c>
      <c r="G34" s="345">
        <v>592.40300000000002</v>
      </c>
      <c r="H34" s="188">
        <f t="shared" si="5"/>
        <v>-94.8</v>
      </c>
      <c r="I34" s="177">
        <f>IFERROR(100/'Skjema total MA'!F34*G34,0)</f>
        <v>10.617867310345623</v>
      </c>
      <c r="J34" s="252">
        <f t="shared" si="6"/>
        <v>11371.834000000001</v>
      </c>
      <c r="K34" s="252">
        <f t="shared" si="6"/>
        <v>592.40300000000002</v>
      </c>
      <c r="L34" s="464">
        <f t="shared" si="7"/>
        <v>-94.8</v>
      </c>
      <c r="M34" s="24">
        <f>IFERROR(100/'Skjema total MA'!I34*K34,0)</f>
        <v>4.4940800649445602</v>
      </c>
    </row>
    <row r="35" spans="1:15" ht="15.75" x14ac:dyDescent="0.2">
      <c r="A35" s="13" t="s">
        <v>468</v>
      </c>
      <c r="B35" s="252"/>
      <c r="C35" s="345"/>
      <c r="D35" s="188"/>
      <c r="E35" s="11"/>
      <c r="F35" s="344">
        <v>8108.9309999999996</v>
      </c>
      <c r="G35" s="345">
        <v>3225.8090000000002</v>
      </c>
      <c r="H35" s="188">
        <f t="shared" si="5"/>
        <v>-60.2</v>
      </c>
      <c r="I35" s="177">
        <f>IFERROR(100/'Skjema total MA'!F35*G35,0)</f>
        <v>11.871754358249341</v>
      </c>
      <c r="J35" s="252">
        <f t="shared" si="6"/>
        <v>8108.9309999999996</v>
      </c>
      <c r="K35" s="252">
        <f t="shared" si="6"/>
        <v>3225.8090000000002</v>
      </c>
      <c r="L35" s="464">
        <f t="shared" si="7"/>
        <v>-60.2</v>
      </c>
      <c r="M35" s="24">
        <f>IFERROR(100/'Skjema total MA'!I35*K35,0)</f>
        <v>18.725067726488067</v>
      </c>
    </row>
    <row r="36" spans="1:15" ht="15.75" x14ac:dyDescent="0.2">
      <c r="A36" s="12" t="s">
        <v>374</v>
      </c>
      <c r="B36" s="252"/>
      <c r="C36" s="345"/>
      <c r="D36" s="188"/>
      <c r="E36" s="11"/>
      <c r="F36" s="355"/>
      <c r="G36" s="356"/>
      <c r="H36" s="188"/>
      <c r="I36" s="466"/>
      <c r="J36" s="252"/>
      <c r="K36" s="252"/>
      <c r="L36" s="464"/>
      <c r="M36" s="24"/>
    </row>
    <row r="37" spans="1:15" ht="15.75" x14ac:dyDescent="0.2">
      <c r="A37" s="12" t="s">
        <v>473</v>
      </c>
      <c r="B37" s="252"/>
      <c r="C37" s="345"/>
      <c r="D37" s="188"/>
      <c r="E37" s="11"/>
      <c r="F37" s="355"/>
      <c r="G37" s="357"/>
      <c r="H37" s="188"/>
      <c r="I37" s="466"/>
      <c r="J37" s="252"/>
      <c r="K37" s="252"/>
      <c r="L37" s="464"/>
      <c r="M37" s="24"/>
    </row>
    <row r="38" spans="1:15" ht="15.75" x14ac:dyDescent="0.2">
      <c r="A38" s="12" t="s">
        <v>474</v>
      </c>
      <c r="B38" s="252"/>
      <c r="C38" s="345"/>
      <c r="D38" s="188"/>
      <c r="E38" s="24"/>
      <c r="F38" s="355"/>
      <c r="G38" s="356"/>
      <c r="H38" s="188"/>
      <c r="I38" s="466"/>
      <c r="J38" s="252"/>
      <c r="K38" s="252"/>
      <c r="L38" s="464"/>
      <c r="M38" s="24"/>
    </row>
    <row r="39" spans="1:15" ht="15.75" x14ac:dyDescent="0.2">
      <c r="A39" s="18" t="s">
        <v>475</v>
      </c>
      <c r="B39" s="311"/>
      <c r="C39" s="351"/>
      <c r="D39" s="186"/>
      <c r="E39" s="36"/>
      <c r="F39" s="358"/>
      <c r="G39" s="359"/>
      <c r="H39" s="186"/>
      <c r="I39" s="186"/>
      <c r="J39" s="252"/>
      <c r="K39" s="252"/>
      <c r="L39" s="464"/>
      <c r="M39" s="36"/>
    </row>
    <row r="40" spans="1:15" ht="15.75" x14ac:dyDescent="0.25">
      <c r="A40" s="47"/>
      <c r="B40" s="273"/>
      <c r="C40" s="273"/>
      <c r="D40" s="757"/>
      <c r="E40" s="757"/>
      <c r="F40" s="757"/>
      <c r="G40" s="757"/>
      <c r="H40" s="757"/>
      <c r="I40" s="757"/>
      <c r="J40" s="757"/>
      <c r="K40" s="757"/>
      <c r="L40" s="757"/>
      <c r="M40" s="443"/>
    </row>
    <row r="41" spans="1:15" x14ac:dyDescent="0.2">
      <c r="A41" s="172"/>
    </row>
    <row r="42" spans="1:15" ht="15.75" x14ac:dyDescent="0.25">
      <c r="A42" s="164" t="s">
        <v>363</v>
      </c>
      <c r="B42" s="755"/>
      <c r="C42" s="755"/>
      <c r="D42" s="755"/>
      <c r="E42" s="442"/>
      <c r="F42" s="758"/>
      <c r="G42" s="758"/>
      <c r="H42" s="758"/>
      <c r="I42" s="443"/>
      <c r="J42" s="758"/>
      <c r="K42" s="758"/>
      <c r="L42" s="758"/>
      <c r="M42" s="443"/>
    </row>
    <row r="43" spans="1:15" ht="15.75" x14ac:dyDescent="0.25">
      <c r="A43" s="180"/>
      <c r="B43" s="439"/>
      <c r="C43" s="439"/>
      <c r="D43" s="439"/>
      <c r="E43" s="439"/>
      <c r="F43" s="443"/>
      <c r="G43" s="443"/>
      <c r="H43" s="443"/>
      <c r="I43" s="443"/>
      <c r="J43" s="443"/>
      <c r="K43" s="443"/>
      <c r="L43" s="443"/>
      <c r="M43" s="443"/>
    </row>
    <row r="44" spans="1:15" ht="15.75" x14ac:dyDescent="0.25">
      <c r="A44" s="264"/>
      <c r="B44" s="752" t="s">
        <v>0</v>
      </c>
      <c r="C44" s="753"/>
      <c r="D44" s="753"/>
      <c r="E44" s="259"/>
      <c r="F44" s="443"/>
      <c r="G44" s="443"/>
      <c r="H44" s="443"/>
      <c r="I44" s="443"/>
      <c r="J44" s="443"/>
      <c r="K44" s="443"/>
      <c r="L44" s="443"/>
      <c r="M44" s="443"/>
    </row>
    <row r="45" spans="1:15" s="3" customFormat="1" x14ac:dyDescent="0.2">
      <c r="A45" s="157"/>
      <c r="B45" s="190" t="s">
        <v>456</v>
      </c>
      <c r="C45" s="190" t="s">
        <v>457</v>
      </c>
      <c r="D45" s="179" t="s">
        <v>3</v>
      </c>
      <c r="E45" s="179" t="s">
        <v>30</v>
      </c>
      <c r="F45" s="192"/>
      <c r="G45" s="192"/>
      <c r="H45" s="191"/>
      <c r="I45" s="191"/>
      <c r="J45" s="192"/>
      <c r="K45" s="192"/>
      <c r="L45" s="191"/>
      <c r="M45" s="191"/>
      <c r="N45" s="165"/>
      <c r="O45" s="165"/>
    </row>
    <row r="46" spans="1:15" s="3" customFormat="1" x14ac:dyDescent="0.2">
      <c r="A46" s="724"/>
      <c r="B46" s="260"/>
      <c r="C46" s="260"/>
      <c r="D46" s="261" t="s">
        <v>4</v>
      </c>
      <c r="E46" s="173" t="s">
        <v>31</v>
      </c>
      <c r="F46" s="191"/>
      <c r="G46" s="191"/>
      <c r="H46" s="191"/>
      <c r="I46" s="191"/>
      <c r="J46" s="191"/>
      <c r="K46" s="191"/>
      <c r="L46" s="191"/>
      <c r="M46" s="191"/>
      <c r="N46" s="165"/>
      <c r="O46" s="165"/>
    </row>
    <row r="47" spans="1:15" s="3" customFormat="1" ht="15.75" x14ac:dyDescent="0.2">
      <c r="A47" s="14" t="s">
        <v>24</v>
      </c>
      <c r="B47" s="346">
        <f>SUM(B48:B49)</f>
        <v>3001.297</v>
      </c>
      <c r="C47" s="347">
        <f>SUM(C48:C49)</f>
        <v>2813.6019999999999</v>
      </c>
      <c r="D47" s="463">
        <f t="shared" ref="D47:D48" si="12">IF(B47=0, "    ---- ", IF(ABS(ROUND(100/B47*C47-100,1))&lt;999,ROUND(100/B47*C47-100,1),IF(ROUND(100/B47*C47-100,1)&gt;999,999,-999)))</f>
        <v>-6.3</v>
      </c>
      <c r="E47" s="11">
        <f>IFERROR(100/'Skjema total MA'!C47*C47,0)</f>
        <v>0.12544267163011022</v>
      </c>
      <c r="F47" s="162"/>
      <c r="G47" s="33"/>
      <c r="H47" s="176"/>
      <c r="I47" s="176"/>
      <c r="J47" s="37"/>
      <c r="K47" s="37"/>
      <c r="L47" s="176"/>
      <c r="M47" s="176"/>
      <c r="N47" s="165"/>
      <c r="O47" s="165"/>
    </row>
    <row r="48" spans="1:15" s="3" customFormat="1" ht="15.75" x14ac:dyDescent="0.2">
      <c r="A48" s="38" t="s">
        <v>476</v>
      </c>
      <c r="B48" s="316">
        <v>3001.297</v>
      </c>
      <c r="C48" s="317">
        <v>2813.6019999999999</v>
      </c>
      <c r="D48" s="274">
        <f t="shared" si="12"/>
        <v>-6.3</v>
      </c>
      <c r="E48" s="27">
        <f>IFERROR(100/'Skjema total MA'!C48*C48,0)</f>
        <v>0.25278788537298369</v>
      </c>
      <c r="F48" s="162"/>
      <c r="G48" s="33"/>
      <c r="H48" s="162"/>
      <c r="I48" s="162"/>
      <c r="J48" s="33"/>
      <c r="K48" s="33"/>
      <c r="L48" s="176"/>
      <c r="M48" s="176"/>
      <c r="N48" s="165"/>
      <c r="O48" s="165"/>
    </row>
    <row r="49" spans="1:15" s="3" customFormat="1" ht="15.75" x14ac:dyDescent="0.2">
      <c r="A49" s="38" t="s">
        <v>477</v>
      </c>
      <c r="B49" s="44"/>
      <c r="C49" s="322"/>
      <c r="D49" s="274"/>
      <c r="E49" s="27"/>
      <c r="F49" s="162"/>
      <c r="G49" s="33"/>
      <c r="H49" s="162"/>
      <c r="I49" s="162"/>
      <c r="J49" s="37"/>
      <c r="K49" s="37"/>
      <c r="L49" s="176"/>
      <c r="M49" s="176"/>
      <c r="N49" s="165"/>
      <c r="O49" s="165"/>
    </row>
    <row r="50" spans="1:15" s="3" customFormat="1" x14ac:dyDescent="0.2">
      <c r="A50" s="331" t="s">
        <v>6</v>
      </c>
      <c r="B50" s="325"/>
      <c r="C50" s="326"/>
      <c r="D50" s="274"/>
      <c r="E50" s="23"/>
      <c r="F50" s="162"/>
      <c r="G50" s="33"/>
      <c r="H50" s="162"/>
      <c r="I50" s="162"/>
      <c r="J50" s="33"/>
      <c r="K50" s="33"/>
      <c r="L50" s="176"/>
      <c r="M50" s="176"/>
      <c r="N50" s="165"/>
      <c r="O50" s="165"/>
    </row>
    <row r="51" spans="1:15" s="3" customFormat="1" x14ac:dyDescent="0.2">
      <c r="A51" s="331" t="s">
        <v>7</v>
      </c>
      <c r="B51" s="325" t="s">
        <v>458</v>
      </c>
      <c r="C51" s="326" t="s">
        <v>458</v>
      </c>
      <c r="D51" s="274" t="str">
        <f>IF(kvartal=4,IF(B50=0, "    ---- ", IF(ABS(ROUND(100/B50*C50-100,1))&lt;999,ROUND(100/B50*C50-100,1),IF(ROUND(100/B50*C50-100,1)&gt;999,999,-999))),"")</f>
        <v/>
      </c>
      <c r="E51" s="23" t="str">
        <f>IF(kvartal=4,IFERROR(100/'Skjema total MA'!B51*C51,0),"")</f>
        <v/>
      </c>
      <c r="F51" s="162"/>
      <c r="G51" s="33"/>
      <c r="H51" s="162"/>
      <c r="I51" s="162"/>
      <c r="J51" s="33"/>
      <c r="K51" s="33"/>
      <c r="L51" s="176"/>
      <c r="M51" s="176"/>
      <c r="N51" s="165"/>
      <c r="O51" s="165"/>
    </row>
    <row r="52" spans="1:15" s="3" customFormat="1" x14ac:dyDescent="0.2">
      <c r="A52" s="331" t="s">
        <v>8</v>
      </c>
      <c r="B52" s="325" t="s">
        <v>458</v>
      </c>
      <c r="C52" s="326" t="s">
        <v>458</v>
      </c>
      <c r="D52" s="274" t="str">
        <f>IF(kvartal=4,IF(B51=0, "    ---- ", IF(ABS(ROUND(100/B51*C51-100,1))&lt;999,ROUND(100/B51*C51-100,1),IF(ROUND(100/B51*C51-100,1)&gt;999,999,-999))),"")</f>
        <v/>
      </c>
      <c r="E52" s="23" t="str">
        <f>IF(kvartal=4,IFERROR(100/'Skjema total MA'!B52*C52,0),"")</f>
        <v/>
      </c>
      <c r="F52" s="162"/>
      <c r="G52" s="33"/>
      <c r="H52" s="162"/>
      <c r="I52" s="162"/>
      <c r="J52" s="33"/>
      <c r="K52" s="33"/>
      <c r="L52" s="176"/>
      <c r="M52" s="176"/>
      <c r="N52" s="165"/>
      <c r="O52" s="165"/>
    </row>
    <row r="53" spans="1:15" s="3" customFormat="1" ht="15.75" x14ac:dyDescent="0.2">
      <c r="A53" s="39" t="s">
        <v>489</v>
      </c>
      <c r="B53" s="346"/>
      <c r="C53" s="347"/>
      <c r="D53" s="464"/>
      <c r="E53" s="11"/>
      <c r="F53" s="162"/>
      <c r="G53" s="33"/>
      <c r="H53" s="162"/>
      <c r="I53" s="162"/>
      <c r="J53" s="33"/>
      <c r="K53" s="33"/>
      <c r="L53" s="176"/>
      <c r="M53" s="176"/>
      <c r="N53" s="165"/>
      <c r="O53" s="165"/>
    </row>
    <row r="54" spans="1:15" s="3" customFormat="1" ht="15.75" x14ac:dyDescent="0.2">
      <c r="A54" s="38" t="s">
        <v>476</v>
      </c>
      <c r="B54" s="316"/>
      <c r="C54" s="317"/>
      <c r="D54" s="274"/>
      <c r="E54" s="27"/>
      <c r="F54" s="162"/>
      <c r="G54" s="33"/>
      <c r="H54" s="162"/>
      <c r="I54" s="162"/>
      <c r="J54" s="33"/>
      <c r="K54" s="33"/>
      <c r="L54" s="176"/>
      <c r="M54" s="176"/>
      <c r="N54" s="165"/>
      <c r="O54" s="165"/>
    </row>
    <row r="55" spans="1:15" s="3" customFormat="1" ht="15.75" x14ac:dyDescent="0.2">
      <c r="A55" s="38" t="s">
        <v>477</v>
      </c>
      <c r="B55" s="316"/>
      <c r="C55" s="317"/>
      <c r="D55" s="274"/>
      <c r="E55" s="27"/>
      <c r="F55" s="162"/>
      <c r="G55" s="33"/>
      <c r="H55" s="162"/>
      <c r="I55" s="162"/>
      <c r="J55" s="33"/>
      <c r="K55" s="33"/>
      <c r="L55" s="176"/>
      <c r="M55" s="176"/>
      <c r="N55" s="165"/>
      <c r="O55" s="165"/>
    </row>
    <row r="56" spans="1:15" s="3" customFormat="1" ht="15.75" x14ac:dyDescent="0.2">
      <c r="A56" s="39" t="s">
        <v>490</v>
      </c>
      <c r="B56" s="346"/>
      <c r="C56" s="347"/>
      <c r="D56" s="464"/>
      <c r="E56" s="11"/>
      <c r="F56" s="162"/>
      <c r="G56" s="33"/>
      <c r="H56" s="162"/>
      <c r="I56" s="162"/>
      <c r="J56" s="33"/>
      <c r="K56" s="33"/>
      <c r="L56" s="176"/>
      <c r="M56" s="176"/>
      <c r="N56" s="165"/>
      <c r="O56" s="165"/>
    </row>
    <row r="57" spans="1:15" s="3" customFormat="1" ht="15.75" x14ac:dyDescent="0.2">
      <c r="A57" s="38" t="s">
        <v>476</v>
      </c>
      <c r="B57" s="316"/>
      <c r="C57" s="317"/>
      <c r="D57" s="274"/>
      <c r="E57" s="27"/>
      <c r="F57" s="162"/>
      <c r="G57" s="33"/>
      <c r="H57" s="162"/>
      <c r="I57" s="162"/>
      <c r="J57" s="33"/>
      <c r="K57" s="33"/>
      <c r="L57" s="176"/>
      <c r="M57" s="176"/>
      <c r="N57" s="165"/>
      <c r="O57" s="165"/>
    </row>
    <row r="58" spans="1:15" s="3" customFormat="1" ht="15.75" x14ac:dyDescent="0.2">
      <c r="A58" s="46" t="s">
        <v>477</v>
      </c>
      <c r="B58" s="318"/>
      <c r="C58" s="319"/>
      <c r="D58" s="275"/>
      <c r="E58" s="22"/>
      <c r="F58" s="162"/>
      <c r="G58" s="33"/>
      <c r="H58" s="162"/>
      <c r="I58" s="162"/>
      <c r="J58" s="33"/>
      <c r="K58" s="33"/>
      <c r="L58" s="176"/>
      <c r="M58" s="176"/>
      <c r="N58" s="165"/>
      <c r="O58" s="165"/>
    </row>
    <row r="59" spans="1:15" s="3" customFormat="1" ht="15.75" x14ac:dyDescent="0.25">
      <c r="A59" s="181"/>
      <c r="B59" s="171"/>
      <c r="C59" s="171"/>
      <c r="D59" s="171"/>
      <c r="E59" s="171"/>
      <c r="F59" s="159"/>
      <c r="G59" s="159"/>
      <c r="H59" s="159"/>
      <c r="I59" s="159"/>
      <c r="J59" s="159"/>
      <c r="K59" s="159"/>
      <c r="L59" s="159"/>
      <c r="M59" s="159"/>
      <c r="N59" s="165"/>
      <c r="O59" s="165"/>
    </row>
    <row r="60" spans="1:15" x14ac:dyDescent="0.2">
      <c r="A60" s="172"/>
    </row>
    <row r="61" spans="1:15" ht="15.75" x14ac:dyDescent="0.25">
      <c r="A61" s="164" t="s">
        <v>364</v>
      </c>
      <c r="C61" s="26"/>
      <c r="D61" s="26"/>
      <c r="E61" s="26"/>
      <c r="F61" s="26"/>
      <c r="G61" s="26"/>
      <c r="H61" s="26"/>
      <c r="I61" s="26"/>
      <c r="J61" s="26"/>
      <c r="K61" s="26"/>
      <c r="L61" s="26"/>
      <c r="M61" s="26"/>
    </row>
    <row r="62" spans="1:15" ht="15.75" x14ac:dyDescent="0.25">
      <c r="B62" s="756"/>
      <c r="C62" s="756"/>
      <c r="D62" s="756"/>
      <c r="E62" s="442"/>
      <c r="F62" s="756"/>
      <c r="G62" s="756"/>
      <c r="H62" s="756"/>
      <c r="I62" s="442"/>
      <c r="J62" s="756"/>
      <c r="K62" s="756"/>
      <c r="L62" s="756"/>
      <c r="M62" s="442"/>
    </row>
    <row r="63" spans="1:15" x14ac:dyDescent="0.2">
      <c r="A63" s="161"/>
      <c r="B63" s="752" t="s">
        <v>0</v>
      </c>
      <c r="C63" s="753"/>
      <c r="D63" s="754"/>
      <c r="E63" s="440"/>
      <c r="F63" s="753" t="s">
        <v>1</v>
      </c>
      <c r="G63" s="753"/>
      <c r="H63" s="753"/>
      <c r="I63" s="444"/>
      <c r="J63" s="752" t="s">
        <v>2</v>
      </c>
      <c r="K63" s="753"/>
      <c r="L63" s="753"/>
      <c r="M63" s="444"/>
    </row>
    <row r="64" spans="1:15" x14ac:dyDescent="0.2">
      <c r="A64" s="157"/>
      <c r="B64" s="169" t="s">
        <v>456</v>
      </c>
      <c r="C64" s="169" t="s">
        <v>457</v>
      </c>
      <c r="D64" s="261" t="s">
        <v>3</v>
      </c>
      <c r="E64" s="340" t="s">
        <v>30</v>
      </c>
      <c r="F64" s="169" t="s">
        <v>456</v>
      </c>
      <c r="G64" s="169" t="s">
        <v>457</v>
      </c>
      <c r="H64" s="261" t="s">
        <v>3</v>
      </c>
      <c r="I64" s="340" t="s">
        <v>30</v>
      </c>
      <c r="J64" s="169" t="s">
        <v>456</v>
      </c>
      <c r="K64" s="169" t="s">
        <v>457</v>
      </c>
      <c r="L64" s="261" t="s">
        <v>3</v>
      </c>
      <c r="M64" s="179" t="s">
        <v>30</v>
      </c>
    </row>
    <row r="65" spans="1:15" x14ac:dyDescent="0.2">
      <c r="A65" s="724"/>
      <c r="B65" s="173"/>
      <c r="C65" s="173"/>
      <c r="D65" s="263" t="s">
        <v>4</v>
      </c>
      <c r="E65" s="173" t="s">
        <v>31</v>
      </c>
      <c r="F65" s="178"/>
      <c r="G65" s="178"/>
      <c r="H65" s="261" t="s">
        <v>4</v>
      </c>
      <c r="I65" s="173" t="s">
        <v>31</v>
      </c>
      <c r="J65" s="178"/>
      <c r="K65" s="222"/>
      <c r="L65" s="173" t="s">
        <v>4</v>
      </c>
      <c r="M65" s="173" t="s">
        <v>31</v>
      </c>
    </row>
    <row r="66" spans="1:15" ht="15.75" x14ac:dyDescent="0.2">
      <c r="A66" s="14" t="s">
        <v>24</v>
      </c>
      <c r="B66" s="387">
        <f>B67+B68+B75+B76</f>
        <v>26609.764999999999</v>
      </c>
      <c r="C66" s="387">
        <f>C67+C68+C75+C76</f>
        <v>29275.7</v>
      </c>
      <c r="D66" s="384">
        <f t="shared" ref="D66:D120" si="13">IF(B66=0, "    ---- ", IF(ABS(ROUND(100/B66*C66-100,1))&lt;999,ROUND(100/B66*C66-100,1),IF(ROUND(100/B66*C66-100,1)&gt;999,999,-999)))</f>
        <v>10</v>
      </c>
      <c r="E66" s="11">
        <f>IFERROR(100/'Skjema total MA'!C66*C66,0)</f>
        <v>0.77874110793009754</v>
      </c>
      <c r="F66" s="386">
        <f>F67+F68+F75+F76</f>
        <v>350247.68099999998</v>
      </c>
      <c r="G66" s="386">
        <f>G67+G68+G75+G76</f>
        <v>381411.973</v>
      </c>
      <c r="H66" s="384">
        <f t="shared" ref="H66:H125" si="14">IF(F66=0, "    ---- ", IF(ABS(ROUND(100/F66*G66-100,1))&lt;999,ROUND(100/F66*G66-100,1),IF(ROUND(100/F66*G66-100,1)&gt;999,999,-999)))</f>
        <v>8.9</v>
      </c>
      <c r="I66" s="11">
        <f>IFERROR(100/'Skjema total MA'!F66*G66,0)</f>
        <v>5.5190968850181399</v>
      </c>
      <c r="J66" s="345">
        <f t="shared" ref="J66:K79" si="15">SUM(B66,F66)</f>
        <v>376857.446</v>
      </c>
      <c r="K66" s="352">
        <f t="shared" si="15"/>
        <v>410687.67300000001</v>
      </c>
      <c r="L66" s="464">
        <f t="shared" ref="L66:L125" si="16">IF(J66=0, "    ---- ", IF(ABS(ROUND(100/J66*K66-100,1))&lt;999,ROUND(100/J66*K66-100,1),IF(ROUND(100/J66*K66-100,1)&gt;999,999,-999)))</f>
        <v>9</v>
      </c>
      <c r="M66" s="11">
        <f>IFERROR(100/'Skjema total MA'!I66*K66,0)</f>
        <v>3.8489471588112143</v>
      </c>
    </row>
    <row r="67" spans="1:15" x14ac:dyDescent="0.2">
      <c r="A67" s="21" t="s">
        <v>9</v>
      </c>
      <c r="B67" s="44">
        <v>26609.764999999999</v>
      </c>
      <c r="C67" s="162">
        <v>29275.7</v>
      </c>
      <c r="D67" s="183">
        <f t="shared" si="13"/>
        <v>10</v>
      </c>
      <c r="E67" s="27">
        <f>IFERROR(100/'Skjema total MA'!C67*C67,0)</f>
        <v>0.92536668718991821</v>
      </c>
      <c r="F67" s="250"/>
      <c r="G67" s="162"/>
      <c r="H67" s="183"/>
      <c r="I67" s="27"/>
      <c r="J67" s="322">
        <f t="shared" si="15"/>
        <v>26609.764999999999</v>
      </c>
      <c r="K67" s="44">
        <f t="shared" si="15"/>
        <v>29275.7</v>
      </c>
      <c r="L67" s="274">
        <f t="shared" si="16"/>
        <v>10</v>
      </c>
      <c r="M67" s="27">
        <f>IFERROR(100/'Skjema total MA'!I67*K67,0)</f>
        <v>0.92536668718991821</v>
      </c>
    </row>
    <row r="68" spans="1:15" x14ac:dyDescent="0.2">
      <c r="A68" s="21" t="s">
        <v>10</v>
      </c>
      <c r="B68" s="327"/>
      <c r="C68" s="328"/>
      <c r="D68" s="183"/>
      <c r="E68" s="27"/>
      <c r="F68" s="327">
        <v>350247.68099999998</v>
      </c>
      <c r="G68" s="328">
        <v>381411.973</v>
      </c>
      <c r="H68" s="183">
        <f t="shared" si="14"/>
        <v>8.9</v>
      </c>
      <c r="I68" s="27">
        <f>IFERROR(100/'Skjema total MA'!F68*G68,0)</f>
        <v>5.5999857911178657</v>
      </c>
      <c r="J68" s="322">
        <f t="shared" si="15"/>
        <v>350247.68099999998</v>
      </c>
      <c r="K68" s="44">
        <f t="shared" si="15"/>
        <v>381411.973</v>
      </c>
      <c r="L68" s="274">
        <f t="shared" si="16"/>
        <v>8.9</v>
      </c>
      <c r="M68" s="27">
        <f>IFERROR(100/'Skjema total MA'!I68*K68,0)</f>
        <v>5.5243879781149117</v>
      </c>
    </row>
    <row r="69" spans="1:15" ht="15.75" x14ac:dyDescent="0.2">
      <c r="A69" s="729" t="s">
        <v>478</v>
      </c>
      <c r="B69" s="316" t="s">
        <v>458</v>
      </c>
      <c r="C69" s="316" t="s">
        <v>458</v>
      </c>
      <c r="D69" s="183" t="str">
        <f>IF(kvartal=4,IF(B69=0, "    ---- ", IF(ABS(ROUND(100/B69*C69-100,1))&lt;999,ROUND(100/B69*C69-100,1),IF(ROUND(100/B69*C69-100,1)&gt;999,999,-999))),"")</f>
        <v/>
      </c>
      <c r="E69" s="453" t="str">
        <f>IF(kvartal=4,IFERROR(100/'Skjema total MA'!B69*C69,0),"")</f>
        <v/>
      </c>
      <c r="F69" s="316" t="s">
        <v>458</v>
      </c>
      <c r="G69" s="316" t="s">
        <v>458</v>
      </c>
      <c r="H69" s="183" t="str">
        <f t="shared" ref="H69:H74" si="17">IF(kvartal=4,IF(F69=0, "    ---- ", IF(ABS(ROUND(100/F69*G69-100,1))&lt;999,ROUND(100/F69*G69-100,1),IF(ROUND(100/F69*G69-100,1)&gt;999,999,-999))),"")</f>
        <v/>
      </c>
      <c r="I69" s="453"/>
      <c r="J69" s="325" t="str">
        <f t="shared" ref="J69:K74" si="18">IF(kvartal=4,SUM(B69,F69),"")</f>
        <v/>
      </c>
      <c r="K69" s="325" t="str">
        <f t="shared" si="18"/>
        <v/>
      </c>
      <c r="L69" s="183" t="str">
        <f t="shared" ref="L69:L74" si="19">IF(kvartal=4,IF(J69=0, "    ---- ", IF(ABS(ROUND(100/J69*K69-100,1))&lt;999,ROUND(100/J69*K69-100,1),IF(ROUND(100/J69*K69-100,1)&gt;999,999,-999))),"")</f>
        <v/>
      </c>
      <c r="M69" s="23"/>
    </row>
    <row r="70" spans="1:15" x14ac:dyDescent="0.2">
      <c r="A70" s="729" t="s">
        <v>12</v>
      </c>
      <c r="B70" s="329"/>
      <c r="C70" s="330"/>
      <c r="D70" s="183"/>
      <c r="E70" s="453" t="str">
        <f>IF(kvartal=4,IFERROR(100/'Skjema total MA'!B70*C70,0),"")</f>
        <v/>
      </c>
      <c r="F70" s="316" t="s">
        <v>458</v>
      </c>
      <c r="G70" s="316" t="s">
        <v>458</v>
      </c>
      <c r="H70" s="183" t="str">
        <f t="shared" si="17"/>
        <v/>
      </c>
      <c r="I70" s="453"/>
      <c r="J70" s="325" t="str">
        <f t="shared" si="18"/>
        <v/>
      </c>
      <c r="K70" s="325" t="str">
        <f t="shared" si="18"/>
        <v/>
      </c>
      <c r="L70" s="183" t="str">
        <f t="shared" si="19"/>
        <v/>
      </c>
      <c r="M70" s="23"/>
    </row>
    <row r="71" spans="1:15" x14ac:dyDescent="0.2">
      <c r="A71" s="729" t="s">
        <v>13</v>
      </c>
      <c r="B71" s="251"/>
      <c r="C71" s="324"/>
      <c r="D71" s="183"/>
      <c r="E71" s="453" t="str">
        <f>IF(kvartal=4,IFERROR(100/'Skjema total MA'!B71*C71,0),"")</f>
        <v/>
      </c>
      <c r="F71" s="316" t="s">
        <v>458</v>
      </c>
      <c r="G71" s="316" t="s">
        <v>458</v>
      </c>
      <c r="H71" s="183" t="str">
        <f t="shared" si="17"/>
        <v/>
      </c>
      <c r="I71" s="453"/>
      <c r="J71" s="325" t="str">
        <f t="shared" si="18"/>
        <v/>
      </c>
      <c r="K71" s="325" t="str">
        <f t="shared" si="18"/>
        <v/>
      </c>
      <c r="L71" s="183" t="str">
        <f t="shared" si="19"/>
        <v/>
      </c>
      <c r="M71" s="23"/>
    </row>
    <row r="72" spans="1:15" ht="15.75" x14ac:dyDescent="0.2">
      <c r="A72" s="729" t="s">
        <v>479</v>
      </c>
      <c r="B72" s="316" t="s">
        <v>458</v>
      </c>
      <c r="C72" s="316" t="s">
        <v>458</v>
      </c>
      <c r="D72" s="183" t="str">
        <f>IF(kvartal=4,IF(B72=0, "    ---- ", IF(ABS(ROUND(100/B72*C72-100,1))&lt;999,ROUND(100/B72*C72-100,1),IF(ROUND(100/B72*C72-100,1)&gt;999,999,-999))),"")</f>
        <v/>
      </c>
      <c r="E72" s="453" t="str">
        <f>IF(kvartal=4,IFERROR(100/'Skjema total MA'!B72*C72,0),"")</f>
        <v/>
      </c>
      <c r="F72" s="316" t="s">
        <v>458</v>
      </c>
      <c r="G72" s="316" t="s">
        <v>458</v>
      </c>
      <c r="H72" s="183" t="str">
        <f t="shared" si="17"/>
        <v/>
      </c>
      <c r="I72" s="453"/>
      <c r="J72" s="325" t="str">
        <f t="shared" si="18"/>
        <v/>
      </c>
      <c r="K72" s="325" t="str">
        <f t="shared" si="18"/>
        <v/>
      </c>
      <c r="L72" s="183" t="str">
        <f t="shared" si="19"/>
        <v/>
      </c>
      <c r="M72" s="23"/>
    </row>
    <row r="73" spans="1:15" x14ac:dyDescent="0.2">
      <c r="A73" s="729" t="s">
        <v>12</v>
      </c>
      <c r="B73" s="251"/>
      <c r="C73" s="324"/>
      <c r="D73" s="183"/>
      <c r="E73" s="453" t="str">
        <f>IF(kvartal=4,IFERROR(100/'Skjema total MA'!B73*C73,0),"")</f>
        <v/>
      </c>
      <c r="F73" s="316" t="s">
        <v>458</v>
      </c>
      <c r="G73" s="316" t="s">
        <v>458</v>
      </c>
      <c r="H73" s="183" t="str">
        <f t="shared" si="17"/>
        <v/>
      </c>
      <c r="I73" s="453"/>
      <c r="J73" s="325" t="str">
        <f t="shared" si="18"/>
        <v/>
      </c>
      <c r="K73" s="325" t="str">
        <f t="shared" si="18"/>
        <v/>
      </c>
      <c r="L73" s="183" t="str">
        <f t="shared" si="19"/>
        <v/>
      </c>
      <c r="M73" s="23"/>
    </row>
    <row r="74" spans="1:15" s="3" customFormat="1" x14ac:dyDescent="0.2">
      <c r="A74" s="729" t="s">
        <v>13</v>
      </c>
      <c r="B74" s="251"/>
      <c r="C74" s="324"/>
      <c r="D74" s="183"/>
      <c r="E74" s="453" t="str">
        <f>IF(kvartal=4,IFERROR(100/'Skjema total MA'!B74*C74,0),"")</f>
        <v/>
      </c>
      <c r="F74" s="316" t="s">
        <v>458</v>
      </c>
      <c r="G74" s="316" t="s">
        <v>458</v>
      </c>
      <c r="H74" s="183" t="str">
        <f t="shared" si="17"/>
        <v/>
      </c>
      <c r="I74" s="453"/>
      <c r="J74" s="325" t="str">
        <f t="shared" si="18"/>
        <v/>
      </c>
      <c r="K74" s="325" t="str">
        <f t="shared" si="18"/>
        <v/>
      </c>
      <c r="L74" s="183" t="str">
        <f t="shared" si="19"/>
        <v/>
      </c>
      <c r="M74" s="23"/>
      <c r="N74" s="165"/>
      <c r="O74" s="165"/>
    </row>
    <row r="75" spans="1:15" s="3" customFormat="1" x14ac:dyDescent="0.2">
      <c r="A75" s="21" t="s">
        <v>443</v>
      </c>
      <c r="B75" s="250"/>
      <c r="C75" s="162"/>
      <c r="D75" s="183"/>
      <c r="E75" s="27"/>
      <c r="F75" s="250"/>
      <c r="G75" s="162"/>
      <c r="H75" s="183"/>
      <c r="I75" s="27"/>
      <c r="J75" s="322"/>
      <c r="K75" s="44"/>
      <c r="L75" s="274"/>
      <c r="M75" s="27"/>
      <c r="N75" s="165"/>
      <c r="O75" s="165"/>
    </row>
    <row r="76" spans="1:15" s="3" customFormat="1" x14ac:dyDescent="0.2">
      <c r="A76" s="21" t="s">
        <v>442</v>
      </c>
      <c r="B76" s="250"/>
      <c r="C76" s="162"/>
      <c r="D76" s="183"/>
      <c r="E76" s="27"/>
      <c r="F76" s="250"/>
      <c r="G76" s="162"/>
      <c r="H76" s="183"/>
      <c r="I76" s="27"/>
      <c r="J76" s="322"/>
      <c r="K76" s="44"/>
      <c r="L76" s="274"/>
      <c r="M76" s="27"/>
      <c r="N76" s="165"/>
      <c r="O76" s="165"/>
    </row>
    <row r="77" spans="1:15" ht="15.75" x14ac:dyDescent="0.2">
      <c r="A77" s="21" t="s">
        <v>480</v>
      </c>
      <c r="B77" s="250">
        <v>26609.764999999999</v>
      </c>
      <c r="C77" s="250">
        <v>29275.7</v>
      </c>
      <c r="D77" s="183">
        <f t="shared" si="13"/>
        <v>10</v>
      </c>
      <c r="E77" s="27">
        <f>IFERROR(100/'Skjema total MA'!C77*C77,0)</f>
        <v>0.93773392927119659</v>
      </c>
      <c r="F77" s="250">
        <v>350247.68099999998</v>
      </c>
      <c r="G77" s="162">
        <v>381411.973</v>
      </c>
      <c r="H77" s="183">
        <f t="shared" si="14"/>
        <v>8.9</v>
      </c>
      <c r="I77" s="27">
        <f>IFERROR(100/'Skjema total MA'!F77*G77,0)</f>
        <v>5.6029452813228495</v>
      </c>
      <c r="J77" s="322">
        <f t="shared" si="15"/>
        <v>376857.446</v>
      </c>
      <c r="K77" s="44">
        <f t="shared" si="15"/>
        <v>410687.67300000001</v>
      </c>
      <c r="L77" s="274">
        <f t="shared" si="16"/>
        <v>9</v>
      </c>
      <c r="M77" s="27">
        <f>IFERROR(100/'Skjema total MA'!I77*K77,0)</f>
        <v>4.1361148686010019</v>
      </c>
    </row>
    <row r="78" spans="1:15" x14ac:dyDescent="0.2">
      <c r="A78" s="21" t="s">
        <v>9</v>
      </c>
      <c r="B78" s="250">
        <v>26609.764999999999</v>
      </c>
      <c r="C78" s="162">
        <v>29275.7</v>
      </c>
      <c r="D78" s="183">
        <f t="shared" si="13"/>
        <v>10</v>
      </c>
      <c r="E78" s="27">
        <f>IFERROR(100/'Skjema total MA'!C78*C78,0)</f>
        <v>0.96614185701705191</v>
      </c>
      <c r="F78" s="250"/>
      <c r="G78" s="162"/>
      <c r="H78" s="183"/>
      <c r="I78" s="27"/>
      <c r="J78" s="322">
        <f t="shared" si="15"/>
        <v>26609.764999999999</v>
      </c>
      <c r="K78" s="44">
        <f t="shared" si="15"/>
        <v>29275.7</v>
      </c>
      <c r="L78" s="274">
        <f t="shared" si="16"/>
        <v>10</v>
      </c>
      <c r="M78" s="27">
        <f>IFERROR(100/'Skjema total MA'!I78*K78,0)</f>
        <v>0.96614185701705191</v>
      </c>
    </row>
    <row r="79" spans="1:15" x14ac:dyDescent="0.2">
      <c r="A79" s="21" t="s">
        <v>10</v>
      </c>
      <c r="B79" s="327"/>
      <c r="C79" s="328"/>
      <c r="D79" s="183"/>
      <c r="E79" s="27"/>
      <c r="F79" s="327">
        <v>350247.68099999998</v>
      </c>
      <c r="G79" s="328">
        <v>381411.973</v>
      </c>
      <c r="H79" s="183">
        <f t="shared" si="14"/>
        <v>8.9</v>
      </c>
      <c r="I79" s="27">
        <f>IFERROR(100/'Skjema total MA'!F79*G79,0)</f>
        <v>5.6029452813228495</v>
      </c>
      <c r="J79" s="322">
        <f t="shared" si="15"/>
        <v>350247.68099999998</v>
      </c>
      <c r="K79" s="44">
        <f t="shared" si="15"/>
        <v>381411.973</v>
      </c>
      <c r="L79" s="274">
        <f t="shared" si="16"/>
        <v>8.9</v>
      </c>
      <c r="M79" s="27">
        <f>IFERROR(100/'Skjema total MA'!I79*K79,0)</f>
        <v>5.5283953128359808</v>
      </c>
    </row>
    <row r="80" spans="1:15" ht="15.75" x14ac:dyDescent="0.2">
      <c r="A80" s="729" t="s">
        <v>478</v>
      </c>
      <c r="B80" s="316" t="s">
        <v>458</v>
      </c>
      <c r="C80" s="316" t="s">
        <v>458</v>
      </c>
      <c r="D80" s="183" t="str">
        <f>IF(kvartal=4,IF(B80=0, "    ---- ", IF(ABS(ROUND(100/B80*C80-100,1))&lt;999,ROUND(100/B80*C80-100,1),IF(ROUND(100/B80*C80-100,1)&gt;999,999,-999))),"")</f>
        <v/>
      </c>
      <c r="E80" s="453" t="str">
        <f>IF(kvartal=4,IFERROR(100/'Skjema total MA'!B80*C80,0),"")</f>
        <v/>
      </c>
      <c r="F80" s="316" t="s">
        <v>458</v>
      </c>
      <c r="G80" s="316" t="s">
        <v>458</v>
      </c>
      <c r="H80" s="183" t="str">
        <f t="shared" ref="H80:H85" si="20">IF(kvartal=4,IF(F80=0, "    ---- ", IF(ABS(ROUND(100/F80*G80-100,1))&lt;999,ROUND(100/F80*G80-100,1),IF(ROUND(100/F80*G80-100,1)&gt;999,999,-999))),"")</f>
        <v/>
      </c>
      <c r="I80" s="453"/>
      <c r="J80" s="325"/>
      <c r="K80" s="325"/>
      <c r="L80" s="183"/>
      <c r="M80" s="23"/>
    </row>
    <row r="81" spans="1:13" x14ac:dyDescent="0.2">
      <c r="A81" s="729" t="s">
        <v>12</v>
      </c>
      <c r="B81" s="251"/>
      <c r="C81" s="324"/>
      <c r="D81" s="183"/>
      <c r="E81" s="453" t="str">
        <f>IF(kvartal=4,IFERROR(100/'Skjema total MA'!B81*C81,0),"")</f>
        <v/>
      </c>
      <c r="F81" s="316" t="s">
        <v>458</v>
      </c>
      <c r="G81" s="316" t="s">
        <v>458</v>
      </c>
      <c r="H81" s="183" t="str">
        <f t="shared" si="20"/>
        <v/>
      </c>
      <c r="I81" s="453"/>
      <c r="J81" s="325"/>
      <c r="K81" s="325"/>
      <c r="L81" s="183"/>
      <c r="M81" s="23"/>
    </row>
    <row r="82" spans="1:13" x14ac:dyDescent="0.2">
      <c r="A82" s="729" t="s">
        <v>13</v>
      </c>
      <c r="B82" s="251"/>
      <c r="C82" s="324"/>
      <c r="D82" s="183"/>
      <c r="E82" s="453" t="str">
        <f>IF(kvartal=4,IFERROR(100/'Skjema total MA'!B82*C82,0),"")</f>
        <v/>
      </c>
      <c r="F82" s="316" t="s">
        <v>458</v>
      </c>
      <c r="G82" s="316" t="s">
        <v>458</v>
      </c>
      <c r="H82" s="183" t="str">
        <f t="shared" si="20"/>
        <v/>
      </c>
      <c r="I82" s="453"/>
      <c r="J82" s="325"/>
      <c r="K82" s="325"/>
      <c r="L82" s="183"/>
      <c r="M82" s="23"/>
    </row>
    <row r="83" spans="1:13" ht="15.75" x14ac:dyDescent="0.2">
      <c r="A83" s="729" t="s">
        <v>479</v>
      </c>
      <c r="B83" s="316" t="s">
        <v>458</v>
      </c>
      <c r="C83" s="316" t="s">
        <v>458</v>
      </c>
      <c r="D83" s="183" t="str">
        <f>IF(kvartal=4,IF(B83=0, "    ---- ", IF(ABS(ROUND(100/B83*C83-100,1))&lt;999,ROUND(100/B83*C83-100,1),IF(ROUND(100/B83*C83-100,1)&gt;999,999,-999))),"")</f>
        <v/>
      </c>
      <c r="E83" s="453" t="str">
        <f>IF(kvartal=4,IFERROR(100/'Skjema total MA'!B83*C83,0),"")</f>
        <v/>
      </c>
      <c r="F83" s="316" t="s">
        <v>458</v>
      </c>
      <c r="G83" s="316" t="s">
        <v>458</v>
      </c>
      <c r="H83" s="183" t="str">
        <f t="shared" si="20"/>
        <v/>
      </c>
      <c r="I83" s="453"/>
      <c r="J83" s="325"/>
      <c r="K83" s="325"/>
      <c r="L83" s="183"/>
      <c r="M83" s="23"/>
    </row>
    <row r="84" spans="1:13" x14ac:dyDescent="0.2">
      <c r="A84" s="729" t="s">
        <v>12</v>
      </c>
      <c r="B84" s="251"/>
      <c r="C84" s="324"/>
      <c r="D84" s="183"/>
      <c r="E84" s="453" t="str">
        <f>IF(kvartal=4,IFERROR(100/'Skjema total MA'!B84*C84,0),"")</f>
        <v/>
      </c>
      <c r="F84" s="316" t="s">
        <v>458</v>
      </c>
      <c r="G84" s="316" t="s">
        <v>458</v>
      </c>
      <c r="H84" s="183" t="str">
        <f t="shared" si="20"/>
        <v/>
      </c>
      <c r="I84" s="453"/>
      <c r="J84" s="325"/>
      <c r="K84" s="325"/>
      <c r="L84" s="183"/>
      <c r="M84" s="23"/>
    </row>
    <row r="85" spans="1:13" x14ac:dyDescent="0.2">
      <c r="A85" s="729" t="s">
        <v>13</v>
      </c>
      <c r="B85" s="251"/>
      <c r="C85" s="324"/>
      <c r="D85" s="183"/>
      <c r="E85" s="453" t="str">
        <f>IF(kvartal=4,IFERROR(100/'Skjema total MA'!B85*C85,0),"")</f>
        <v/>
      </c>
      <c r="F85" s="316" t="s">
        <v>458</v>
      </c>
      <c r="G85" s="316" t="s">
        <v>458</v>
      </c>
      <c r="H85" s="183" t="str">
        <f t="shared" si="20"/>
        <v/>
      </c>
      <c r="I85" s="453"/>
      <c r="J85" s="325"/>
      <c r="K85" s="325"/>
      <c r="L85" s="183"/>
      <c r="M85" s="23"/>
    </row>
    <row r="86" spans="1:13" ht="15.75" x14ac:dyDescent="0.2">
      <c r="A86" s="21" t="s">
        <v>481</v>
      </c>
      <c r="B86" s="250"/>
      <c r="C86" s="162"/>
      <c r="D86" s="183"/>
      <c r="E86" s="27"/>
      <c r="F86" s="250"/>
      <c r="G86" s="162"/>
      <c r="H86" s="183"/>
      <c r="I86" s="27"/>
      <c r="J86" s="322"/>
      <c r="K86" s="44"/>
      <c r="L86" s="274"/>
      <c r="M86" s="27"/>
    </row>
    <row r="87" spans="1:13" ht="15.75" x14ac:dyDescent="0.2">
      <c r="A87" s="13" t="s">
        <v>466</v>
      </c>
      <c r="B87" s="387">
        <f>B88+B89+B96+B97</f>
        <v>563152.67700000003</v>
      </c>
      <c r="C87" s="387">
        <f>C88+C89+C96+C97</f>
        <v>631079.86100000003</v>
      </c>
      <c r="D87" s="188">
        <f t="shared" si="13"/>
        <v>12.1</v>
      </c>
      <c r="E87" s="11">
        <f>IFERROR(100/'Skjema total MA'!C87*C87,0)</f>
        <v>0.16401528948368033</v>
      </c>
      <c r="F87" s="386">
        <f>SUM(F88,F89,F96,F97)</f>
        <v>10511053.952</v>
      </c>
      <c r="G87" s="386">
        <f>SUM(G88,G89,G96,G97)</f>
        <v>12018441.109999999</v>
      </c>
      <c r="H87" s="188">
        <f t="shared" si="14"/>
        <v>14.3</v>
      </c>
      <c r="I87" s="11">
        <f>IFERROR(100/'Skjema total MA'!F87*G87,0)</f>
        <v>5.125949463890918</v>
      </c>
      <c r="J87" s="345">
        <f t="shared" ref="J87:K111" si="21">SUM(B87,F87)</f>
        <v>11074206.628999999</v>
      </c>
      <c r="K87" s="252">
        <f t="shared" si="21"/>
        <v>12649520.970999999</v>
      </c>
      <c r="L87" s="464">
        <f t="shared" si="16"/>
        <v>14.2</v>
      </c>
      <c r="M87" s="11">
        <f>IFERROR(100/'Skjema total MA'!I87*K87,0)</f>
        <v>2.0427768687327714</v>
      </c>
    </row>
    <row r="88" spans="1:13" x14ac:dyDescent="0.2">
      <c r="A88" s="21" t="s">
        <v>9</v>
      </c>
      <c r="B88" s="250">
        <v>563152.67700000003</v>
      </c>
      <c r="C88" s="162">
        <v>631079.86100000003</v>
      </c>
      <c r="D88" s="183">
        <f t="shared" si="13"/>
        <v>12.1</v>
      </c>
      <c r="E88" s="27">
        <f>IFERROR(100/'Skjema total MA'!C88*C88,0)</f>
        <v>0.16743858561002695</v>
      </c>
      <c r="F88" s="250"/>
      <c r="G88" s="162"/>
      <c r="H88" s="183"/>
      <c r="I88" s="27"/>
      <c r="J88" s="322">
        <f t="shared" si="21"/>
        <v>563152.67700000003</v>
      </c>
      <c r="K88" s="44">
        <f t="shared" si="21"/>
        <v>631079.86100000003</v>
      </c>
      <c r="L88" s="274">
        <f t="shared" si="16"/>
        <v>12.1</v>
      </c>
      <c r="M88" s="27">
        <f>IFERROR(100/'Skjema total MA'!I88*K88,0)</f>
        <v>0.16743858561002695</v>
      </c>
    </row>
    <row r="89" spans="1:13" x14ac:dyDescent="0.2">
      <c r="A89" s="21" t="s">
        <v>10</v>
      </c>
      <c r="B89" s="250"/>
      <c r="C89" s="162"/>
      <c r="D89" s="183"/>
      <c r="E89" s="27"/>
      <c r="F89" s="250">
        <v>10511053.952</v>
      </c>
      <c r="G89" s="162">
        <v>12018441.109999999</v>
      </c>
      <c r="H89" s="183">
        <f t="shared" si="14"/>
        <v>14.3</v>
      </c>
      <c r="I89" s="27">
        <f>IFERROR(100/'Skjema total MA'!F89*G89,0)</f>
        <v>5.1431367978404499</v>
      </c>
      <c r="J89" s="322">
        <f t="shared" si="21"/>
        <v>10511053.952</v>
      </c>
      <c r="K89" s="44">
        <f t="shared" si="21"/>
        <v>12018441.109999999</v>
      </c>
      <c r="L89" s="274">
        <f t="shared" si="16"/>
        <v>14.3</v>
      </c>
      <c r="M89" s="27">
        <f>IFERROR(100/'Skjema total MA'!I89*K89,0)</f>
        <v>5.0847914999069923</v>
      </c>
    </row>
    <row r="90" spans="1:13" ht="15.75" x14ac:dyDescent="0.2">
      <c r="A90" s="729" t="s">
        <v>478</v>
      </c>
      <c r="B90" s="316" t="s">
        <v>458</v>
      </c>
      <c r="C90" s="316" t="s">
        <v>458</v>
      </c>
      <c r="D90" s="183" t="str">
        <f>IF(kvartal=4,IF(B90=0, "    ---- ", IF(ABS(ROUND(100/B90*C90-100,1))&lt;999,ROUND(100/B90*C90-100,1),IF(ROUND(100/B90*C90-100,1)&gt;999,999,-999))),"")</f>
        <v/>
      </c>
      <c r="E90" s="453" t="str">
        <f>IF(kvartal=4,IFERROR(100/'Skjema total MA'!B90*C90,0),"")</f>
        <v/>
      </c>
      <c r="F90" s="316" t="s">
        <v>458</v>
      </c>
      <c r="G90" s="316" t="s">
        <v>458</v>
      </c>
      <c r="H90" s="183" t="str">
        <f t="shared" ref="H90:H95" si="22">IF(kvartal=4,IF(F90=0, "    ---- ", IF(ABS(ROUND(100/F90*G90-100,1))&lt;999,ROUND(100/F90*G90-100,1),IF(ROUND(100/F90*G90-100,1)&gt;999,999,-999))),"")</f>
        <v/>
      </c>
      <c r="I90" s="453"/>
      <c r="J90" s="325" t="str">
        <f t="shared" ref="J90:K95" si="23">IF(kvartal=4,SUM(B90,F90),"")</f>
        <v/>
      </c>
      <c r="K90" s="325" t="str">
        <f t="shared" si="23"/>
        <v/>
      </c>
      <c r="L90" s="183" t="str">
        <f t="shared" ref="L90:L95" si="24">IF(kvartal=4,IF(J90=0, "    ---- ", IF(ABS(ROUND(100/J90*K90-100,1))&lt;999,ROUND(100/J90*K90-100,1),IF(ROUND(100/J90*K90-100,1)&gt;999,999,-999))),"")</f>
        <v/>
      </c>
      <c r="M90" s="23"/>
    </row>
    <row r="91" spans="1:13" x14ac:dyDescent="0.2">
      <c r="A91" s="729" t="s">
        <v>12</v>
      </c>
      <c r="B91" s="251"/>
      <c r="C91" s="324"/>
      <c r="D91" s="183"/>
      <c r="E91" s="453" t="str">
        <f>IF(kvartal=4,IFERROR(100/'Skjema total MA'!B91*C91,0),"")</f>
        <v/>
      </c>
      <c r="F91" s="316" t="s">
        <v>458</v>
      </c>
      <c r="G91" s="316" t="s">
        <v>458</v>
      </c>
      <c r="H91" s="183" t="str">
        <f t="shared" si="22"/>
        <v/>
      </c>
      <c r="I91" s="453"/>
      <c r="J91" s="325" t="str">
        <f t="shared" si="23"/>
        <v/>
      </c>
      <c r="K91" s="325" t="str">
        <f t="shared" si="23"/>
        <v/>
      </c>
      <c r="L91" s="183" t="str">
        <f t="shared" si="24"/>
        <v/>
      </c>
      <c r="M91" s="23"/>
    </row>
    <row r="92" spans="1:13" x14ac:dyDescent="0.2">
      <c r="A92" s="729" t="s">
        <v>13</v>
      </c>
      <c r="B92" s="251"/>
      <c r="C92" s="324"/>
      <c r="D92" s="183"/>
      <c r="E92" s="453" t="str">
        <f>IF(kvartal=4,IFERROR(100/'Skjema total MA'!B92*C92,0),"")</f>
        <v/>
      </c>
      <c r="F92" s="316" t="s">
        <v>458</v>
      </c>
      <c r="G92" s="316" t="s">
        <v>458</v>
      </c>
      <c r="H92" s="183" t="str">
        <f t="shared" si="22"/>
        <v/>
      </c>
      <c r="I92" s="453"/>
      <c r="J92" s="325" t="str">
        <f t="shared" si="23"/>
        <v/>
      </c>
      <c r="K92" s="325" t="str">
        <f t="shared" si="23"/>
        <v/>
      </c>
      <c r="L92" s="183" t="str">
        <f t="shared" si="24"/>
        <v/>
      </c>
      <c r="M92" s="23"/>
    </row>
    <row r="93" spans="1:13" ht="15.75" x14ac:dyDescent="0.2">
      <c r="A93" s="729" t="s">
        <v>479</v>
      </c>
      <c r="B93" s="316" t="s">
        <v>458</v>
      </c>
      <c r="C93" s="316" t="s">
        <v>458</v>
      </c>
      <c r="D93" s="183" t="str">
        <f>IF(kvartal=4,IF(B93=0, "    ---- ", IF(ABS(ROUND(100/B93*C93-100,1))&lt;999,ROUND(100/B93*C93-100,1),IF(ROUND(100/B93*C93-100,1)&gt;999,999,-999))),"")</f>
        <v/>
      </c>
      <c r="E93" s="453" t="str">
        <f>IF(kvartal=4,IFERROR(100/'Skjema total MA'!B93*C93,0),"")</f>
        <v/>
      </c>
      <c r="F93" s="316" t="s">
        <v>458</v>
      </c>
      <c r="G93" s="316" t="s">
        <v>458</v>
      </c>
      <c r="H93" s="183" t="str">
        <f t="shared" si="22"/>
        <v/>
      </c>
      <c r="I93" s="453"/>
      <c r="J93" s="325" t="str">
        <f t="shared" si="23"/>
        <v/>
      </c>
      <c r="K93" s="325" t="str">
        <f t="shared" si="23"/>
        <v/>
      </c>
      <c r="L93" s="183" t="str">
        <f t="shared" si="24"/>
        <v/>
      </c>
      <c r="M93" s="23"/>
    </row>
    <row r="94" spans="1:13" x14ac:dyDescent="0.2">
      <c r="A94" s="729" t="s">
        <v>12</v>
      </c>
      <c r="B94" s="251"/>
      <c r="C94" s="324"/>
      <c r="D94" s="183"/>
      <c r="E94" s="453" t="str">
        <f>IF(kvartal=4,IFERROR(100/'Skjema total MA'!B94*C94,0),"")</f>
        <v/>
      </c>
      <c r="F94" s="316" t="s">
        <v>458</v>
      </c>
      <c r="G94" s="316" t="s">
        <v>458</v>
      </c>
      <c r="H94" s="183" t="str">
        <f t="shared" si="22"/>
        <v/>
      </c>
      <c r="I94" s="453"/>
      <c r="J94" s="325" t="str">
        <f t="shared" si="23"/>
        <v/>
      </c>
      <c r="K94" s="325" t="str">
        <f t="shared" si="23"/>
        <v/>
      </c>
      <c r="L94" s="183" t="str">
        <f t="shared" si="24"/>
        <v/>
      </c>
      <c r="M94" s="23"/>
    </row>
    <row r="95" spans="1:13" x14ac:dyDescent="0.2">
      <c r="A95" s="729" t="s">
        <v>13</v>
      </c>
      <c r="B95" s="251"/>
      <c r="C95" s="324"/>
      <c r="D95" s="183"/>
      <c r="E95" s="453" t="str">
        <f>IF(kvartal=4,IFERROR(100/'Skjema total MA'!B95*C95,0),"")</f>
        <v/>
      </c>
      <c r="F95" s="316" t="s">
        <v>458</v>
      </c>
      <c r="G95" s="316" t="s">
        <v>458</v>
      </c>
      <c r="H95" s="183" t="str">
        <f t="shared" si="22"/>
        <v/>
      </c>
      <c r="I95" s="453"/>
      <c r="J95" s="325" t="str">
        <f t="shared" si="23"/>
        <v/>
      </c>
      <c r="K95" s="325" t="str">
        <f t="shared" si="23"/>
        <v/>
      </c>
      <c r="L95" s="183" t="str">
        <f t="shared" si="24"/>
        <v/>
      </c>
      <c r="M95" s="23"/>
    </row>
    <row r="96" spans="1:13" x14ac:dyDescent="0.2">
      <c r="A96" s="21" t="s">
        <v>443</v>
      </c>
      <c r="B96" s="250"/>
      <c r="C96" s="162"/>
      <c r="D96" s="183"/>
      <c r="E96" s="27"/>
      <c r="F96" s="250"/>
      <c r="G96" s="162"/>
      <c r="H96" s="183"/>
      <c r="I96" s="27"/>
      <c r="J96" s="322"/>
      <c r="K96" s="44"/>
      <c r="L96" s="274"/>
      <c r="M96" s="27"/>
    </row>
    <row r="97" spans="1:13" x14ac:dyDescent="0.2">
      <c r="A97" s="21" t="s">
        <v>442</v>
      </c>
      <c r="B97" s="250"/>
      <c r="C97" s="162"/>
      <c r="D97" s="183"/>
      <c r="E97" s="27"/>
      <c r="F97" s="250"/>
      <c r="G97" s="162"/>
      <c r="H97" s="183"/>
      <c r="I97" s="27"/>
      <c r="J97" s="322"/>
      <c r="K97" s="44"/>
      <c r="L97" s="274"/>
      <c r="M97" s="27"/>
    </row>
    <row r="98" spans="1:13" ht="15.75" x14ac:dyDescent="0.2">
      <c r="A98" s="21" t="s">
        <v>480</v>
      </c>
      <c r="B98" s="250">
        <v>563152.67700000003</v>
      </c>
      <c r="C98" s="250">
        <v>631079.86100000003</v>
      </c>
      <c r="D98" s="183">
        <f t="shared" si="13"/>
        <v>12.1</v>
      </c>
      <c r="E98" s="27">
        <f>IFERROR(100/'Skjema total MA'!C98*C98,0)</f>
        <v>0.16843837249913798</v>
      </c>
      <c r="F98" s="327">
        <v>10511053.952</v>
      </c>
      <c r="G98" s="327">
        <v>12018441.109999999</v>
      </c>
      <c r="H98" s="183">
        <f t="shared" si="14"/>
        <v>14.3</v>
      </c>
      <c r="I98" s="27">
        <f>IFERROR(100/'Skjema total MA'!F98*G98,0)</f>
        <v>5.1566479480752392</v>
      </c>
      <c r="J98" s="322">
        <f t="shared" si="21"/>
        <v>11074206.628999999</v>
      </c>
      <c r="K98" s="44">
        <f t="shared" si="21"/>
        <v>12649520.970999999</v>
      </c>
      <c r="L98" s="274">
        <f t="shared" si="16"/>
        <v>14.2</v>
      </c>
      <c r="M98" s="27">
        <f>IFERROR(100/'Skjema total MA'!I98*K98,0)</f>
        <v>2.0814305539277682</v>
      </c>
    </row>
    <row r="99" spans="1:13" x14ac:dyDescent="0.2">
      <c r="A99" s="21" t="s">
        <v>9</v>
      </c>
      <c r="B99" s="327">
        <v>563152.67700000003</v>
      </c>
      <c r="C99" s="328">
        <v>631079.86100000003</v>
      </c>
      <c r="D99" s="183">
        <f t="shared" si="13"/>
        <v>12.1</v>
      </c>
      <c r="E99" s="27">
        <f>IFERROR(100/'Skjema total MA'!C99*C99,0)</f>
        <v>0.16965251537139944</v>
      </c>
      <c r="F99" s="250"/>
      <c r="G99" s="162"/>
      <c r="H99" s="183"/>
      <c r="I99" s="27"/>
      <c r="J99" s="322">
        <f t="shared" si="21"/>
        <v>563152.67700000003</v>
      </c>
      <c r="K99" s="44">
        <f t="shared" si="21"/>
        <v>631079.86100000003</v>
      </c>
      <c r="L99" s="274">
        <f t="shared" si="16"/>
        <v>12.1</v>
      </c>
      <c r="M99" s="27">
        <f>IFERROR(100/'Skjema total MA'!I99*K99,0)</f>
        <v>0.16965251537139944</v>
      </c>
    </row>
    <row r="100" spans="1:13" x14ac:dyDescent="0.2">
      <c r="A100" s="21" t="s">
        <v>10</v>
      </c>
      <c r="B100" s="327"/>
      <c r="C100" s="328"/>
      <c r="D100" s="183"/>
      <c r="E100" s="27"/>
      <c r="F100" s="250">
        <v>10511053.952</v>
      </c>
      <c r="G100" s="250">
        <v>12018441.109999999</v>
      </c>
      <c r="H100" s="183">
        <f t="shared" si="14"/>
        <v>14.3</v>
      </c>
      <c r="I100" s="27">
        <f>IFERROR(100/'Skjema total MA'!F100*G100,0)</f>
        <v>5.1566479480752392</v>
      </c>
      <c r="J100" s="322">
        <f t="shared" si="21"/>
        <v>10511053.952</v>
      </c>
      <c r="K100" s="44">
        <f t="shared" si="21"/>
        <v>12018441.109999999</v>
      </c>
      <c r="L100" s="274">
        <f t="shared" si="16"/>
        <v>14.3</v>
      </c>
      <c r="M100" s="27">
        <f>IFERROR(100/'Skjema total MA'!I100*K100,0)</f>
        <v>5.0979974462324362</v>
      </c>
    </row>
    <row r="101" spans="1:13" ht="15.75" x14ac:dyDescent="0.2">
      <c r="A101" s="729" t="s">
        <v>478</v>
      </c>
      <c r="B101" s="316"/>
      <c r="C101" s="316"/>
      <c r="D101" s="183"/>
      <c r="E101" s="453"/>
      <c r="F101" s="316" t="s">
        <v>458</v>
      </c>
      <c r="G101" s="316" t="s">
        <v>458</v>
      </c>
      <c r="H101" s="183" t="str">
        <f t="shared" ref="H101:H106" si="25">IF(kvartal=4,IF(F101=0, "    ---- ", IF(ABS(ROUND(100/F101*G101-100,1))&lt;999,ROUND(100/F101*G101-100,1),IF(ROUND(100/F101*G101-100,1)&gt;999,999,-999))),"")</f>
        <v/>
      </c>
      <c r="I101" s="453"/>
      <c r="J101" s="325"/>
      <c r="K101" s="325"/>
      <c r="L101" s="183"/>
      <c r="M101" s="23"/>
    </row>
    <row r="102" spans="1:13" x14ac:dyDescent="0.2">
      <c r="A102" s="729" t="s">
        <v>12</v>
      </c>
      <c r="B102" s="251"/>
      <c r="C102" s="324"/>
      <c r="D102" s="183"/>
      <c r="E102" s="453"/>
      <c r="F102" s="316" t="s">
        <v>458</v>
      </c>
      <c r="G102" s="316" t="s">
        <v>458</v>
      </c>
      <c r="H102" s="183" t="str">
        <f t="shared" si="25"/>
        <v/>
      </c>
      <c r="I102" s="453"/>
      <c r="J102" s="325"/>
      <c r="K102" s="325"/>
      <c r="L102" s="183"/>
      <c r="M102" s="23"/>
    </row>
    <row r="103" spans="1:13" x14ac:dyDescent="0.2">
      <c r="A103" s="729" t="s">
        <v>13</v>
      </c>
      <c r="B103" s="251"/>
      <c r="C103" s="324"/>
      <c r="D103" s="183"/>
      <c r="E103" s="453"/>
      <c r="F103" s="316" t="s">
        <v>458</v>
      </c>
      <c r="G103" s="316" t="s">
        <v>458</v>
      </c>
      <c r="H103" s="183" t="str">
        <f t="shared" si="25"/>
        <v/>
      </c>
      <c r="I103" s="453"/>
      <c r="J103" s="325"/>
      <c r="K103" s="325"/>
      <c r="L103" s="183"/>
      <c r="M103" s="23"/>
    </row>
    <row r="104" spans="1:13" ht="15.75" x14ac:dyDescent="0.2">
      <c r="A104" s="729" t="s">
        <v>479</v>
      </c>
      <c r="B104" s="316"/>
      <c r="C104" s="316"/>
      <c r="D104" s="183"/>
      <c r="E104" s="453"/>
      <c r="F104" s="316" t="s">
        <v>458</v>
      </c>
      <c r="G104" s="316" t="s">
        <v>458</v>
      </c>
      <c r="H104" s="183" t="str">
        <f t="shared" si="25"/>
        <v/>
      </c>
      <c r="I104" s="453"/>
      <c r="J104" s="325"/>
      <c r="K104" s="325"/>
      <c r="L104" s="183"/>
      <c r="M104" s="23"/>
    </row>
    <row r="105" spans="1:13" x14ac:dyDescent="0.2">
      <c r="A105" s="729" t="s">
        <v>12</v>
      </c>
      <c r="B105" s="251"/>
      <c r="C105" s="324"/>
      <c r="D105" s="183"/>
      <c r="E105" s="453"/>
      <c r="F105" s="316" t="s">
        <v>458</v>
      </c>
      <c r="G105" s="316" t="s">
        <v>458</v>
      </c>
      <c r="H105" s="183" t="str">
        <f t="shared" si="25"/>
        <v/>
      </c>
      <c r="I105" s="453"/>
      <c r="J105" s="325"/>
      <c r="K105" s="325"/>
      <c r="L105" s="183"/>
      <c r="M105" s="23"/>
    </row>
    <row r="106" spans="1:13" x14ac:dyDescent="0.2">
      <c r="A106" s="729" t="s">
        <v>13</v>
      </c>
      <c r="B106" s="251"/>
      <c r="C106" s="324"/>
      <c r="D106" s="183"/>
      <c r="E106" s="453"/>
      <c r="F106" s="316" t="s">
        <v>458</v>
      </c>
      <c r="G106" s="316" t="s">
        <v>458</v>
      </c>
      <c r="H106" s="183" t="str">
        <f t="shared" si="25"/>
        <v/>
      </c>
      <c r="I106" s="453"/>
      <c r="J106" s="325"/>
      <c r="K106" s="325"/>
      <c r="L106" s="183"/>
      <c r="M106" s="23"/>
    </row>
    <row r="107" spans="1:13" ht="15.75" x14ac:dyDescent="0.2">
      <c r="A107" s="21" t="s">
        <v>481</v>
      </c>
      <c r="B107" s="250"/>
      <c r="C107" s="162"/>
      <c r="D107" s="183"/>
      <c r="E107" s="27"/>
      <c r="F107" s="250"/>
      <c r="G107" s="162"/>
      <c r="H107" s="183"/>
      <c r="I107" s="27"/>
      <c r="J107" s="322"/>
      <c r="K107" s="44"/>
      <c r="L107" s="274"/>
      <c r="M107" s="27"/>
    </row>
    <row r="108" spans="1:13" ht="15.75" x14ac:dyDescent="0.2">
      <c r="A108" s="21" t="s">
        <v>482</v>
      </c>
      <c r="B108" s="250">
        <v>26721.976999999999</v>
      </c>
      <c r="C108" s="250">
        <v>27880.652999999998</v>
      </c>
      <c r="D108" s="183">
        <f t="shared" si="13"/>
        <v>4.3</v>
      </c>
      <c r="E108" s="27">
        <f>IFERROR(100/'Skjema total MA'!C108*C108,0)</f>
        <v>9.0740776567123232E-3</v>
      </c>
      <c r="F108" s="250">
        <v>159730.60999999999</v>
      </c>
      <c r="G108" s="250">
        <v>176470.58600000001</v>
      </c>
      <c r="H108" s="183">
        <f t="shared" si="14"/>
        <v>10.5</v>
      </c>
      <c r="I108" s="27">
        <f>IFERROR(100/'Skjema total MA'!F108*G108,0)</f>
        <v>1.1436099036881366</v>
      </c>
      <c r="J108" s="322">
        <f t="shared" si="21"/>
        <v>186452.587</v>
      </c>
      <c r="K108" s="44">
        <f t="shared" si="21"/>
        <v>204351.239</v>
      </c>
      <c r="L108" s="274">
        <f t="shared" si="16"/>
        <v>9.6</v>
      </c>
      <c r="M108" s="27">
        <f>IFERROR(100/'Skjema total MA'!I108*K108,0)</f>
        <v>6.3327991697302063E-2</v>
      </c>
    </row>
    <row r="109" spans="1:13" ht="15.75" x14ac:dyDescent="0.2">
      <c r="A109" s="21" t="s">
        <v>483</v>
      </c>
      <c r="B109" s="250"/>
      <c r="C109" s="250"/>
      <c r="D109" s="183"/>
      <c r="E109" s="27"/>
      <c r="F109" s="250">
        <v>3655174.65</v>
      </c>
      <c r="G109" s="250">
        <v>4258917.62</v>
      </c>
      <c r="H109" s="183">
        <f t="shared" si="14"/>
        <v>16.5</v>
      </c>
      <c r="I109" s="27">
        <f>IFERROR(100/'Skjema total MA'!F109*G109,0)</f>
        <v>5.7546237345440971</v>
      </c>
      <c r="J109" s="322">
        <f t="shared" si="21"/>
        <v>3655174.65</v>
      </c>
      <c r="K109" s="44">
        <f t="shared" si="21"/>
        <v>4258917.62</v>
      </c>
      <c r="L109" s="274">
        <f t="shared" si="16"/>
        <v>16.5</v>
      </c>
      <c r="M109" s="27">
        <f>IFERROR(100/'Skjema total MA'!I109*K109,0)</f>
        <v>5.6736303485208621</v>
      </c>
    </row>
    <row r="110" spans="1:13" ht="15.75" x14ac:dyDescent="0.2">
      <c r="A110" s="21" t="s">
        <v>484</v>
      </c>
      <c r="B110" s="250"/>
      <c r="C110" s="250"/>
      <c r="D110" s="183"/>
      <c r="E110" s="27"/>
      <c r="F110" s="250"/>
      <c r="G110" s="250"/>
      <c r="H110" s="183"/>
      <c r="I110" s="27"/>
      <c r="J110" s="322"/>
      <c r="K110" s="44"/>
      <c r="L110" s="274"/>
      <c r="M110" s="27"/>
    </row>
    <row r="111" spans="1:13" ht="15.75" x14ac:dyDescent="0.2">
      <c r="A111" s="13" t="s">
        <v>467</v>
      </c>
      <c r="B111" s="344">
        <f>SUM(B112:B114)</f>
        <v>6513.8019999999997</v>
      </c>
      <c r="C111" s="176">
        <f>SUM(C112:C114)</f>
        <v>8194.5480000000007</v>
      </c>
      <c r="D111" s="188">
        <f t="shared" si="13"/>
        <v>25.8</v>
      </c>
      <c r="E111" s="11">
        <f>IFERROR(100/'Skjema total MA'!C111*C111,0)</f>
        <v>1.8461931869980908</v>
      </c>
      <c r="F111" s="344">
        <f>SUM(F112:F114)</f>
        <v>277894.32699999999</v>
      </c>
      <c r="G111" s="176">
        <f>SUM(G112:G114)</f>
        <v>222397.883</v>
      </c>
      <c r="H111" s="188">
        <f t="shared" si="14"/>
        <v>-20</v>
      </c>
      <c r="I111" s="11">
        <f>IFERROR(100/'Skjema total MA'!F111*G111,0)</f>
        <v>4.633241856469474</v>
      </c>
      <c r="J111" s="345">
        <f t="shared" si="21"/>
        <v>284408.12900000002</v>
      </c>
      <c r="K111" s="252">
        <f t="shared" si="21"/>
        <v>230592.43100000001</v>
      </c>
      <c r="L111" s="464">
        <f t="shared" si="16"/>
        <v>-18.899999999999999</v>
      </c>
      <c r="M111" s="11">
        <f>IFERROR(100/'Skjema total MA'!I111*K111,0)</f>
        <v>4.397336879951232</v>
      </c>
    </row>
    <row r="112" spans="1:13" x14ac:dyDescent="0.2">
      <c r="A112" s="21" t="s">
        <v>9</v>
      </c>
      <c r="B112" s="250">
        <v>6513.8019999999997</v>
      </c>
      <c r="C112" s="162">
        <v>8194.5480000000007</v>
      </c>
      <c r="D112" s="183">
        <f t="shared" si="13"/>
        <v>25.8</v>
      </c>
      <c r="E112" s="27">
        <f>IFERROR(100/'Skjema total MA'!C112*C112,0)</f>
        <v>1.9102257926131763</v>
      </c>
      <c r="F112" s="250"/>
      <c r="G112" s="162"/>
      <c r="H112" s="183"/>
      <c r="I112" s="27"/>
      <c r="J112" s="322">
        <f t="shared" ref="J112:K125" si="26">SUM(B112,F112)</f>
        <v>6513.8019999999997</v>
      </c>
      <c r="K112" s="44">
        <f t="shared" si="26"/>
        <v>8194.5480000000007</v>
      </c>
      <c r="L112" s="274">
        <f t="shared" si="16"/>
        <v>25.8</v>
      </c>
      <c r="M112" s="27">
        <f>IFERROR(100/'Skjema total MA'!I112*K112,0)</f>
        <v>1.9091366876477227</v>
      </c>
    </row>
    <row r="113" spans="1:14" x14ac:dyDescent="0.2">
      <c r="A113" s="21" t="s">
        <v>10</v>
      </c>
      <c r="B113" s="250"/>
      <c r="C113" s="162"/>
      <c r="D113" s="183"/>
      <c r="E113" s="27"/>
      <c r="F113" s="250">
        <v>277894.32699999999</v>
      </c>
      <c r="G113" s="162">
        <v>222397.883</v>
      </c>
      <c r="H113" s="183">
        <f t="shared" si="14"/>
        <v>-20</v>
      </c>
      <c r="I113" s="27">
        <f>IFERROR(100/'Skjema total MA'!F113*G113,0)</f>
        <v>4.6466080557352294</v>
      </c>
      <c r="J113" s="322">
        <f t="shared" si="26"/>
        <v>277894.32699999999</v>
      </c>
      <c r="K113" s="44">
        <f t="shared" si="26"/>
        <v>222397.883</v>
      </c>
      <c r="L113" s="274">
        <f t="shared" si="16"/>
        <v>-20</v>
      </c>
      <c r="M113" s="27">
        <f>IFERROR(100/'Skjema total MA'!I113*K113,0)</f>
        <v>4.6466080557352294</v>
      </c>
    </row>
    <row r="114" spans="1:14" x14ac:dyDescent="0.2">
      <c r="A114" s="21" t="s">
        <v>27</v>
      </c>
      <c r="B114" s="250"/>
      <c r="C114" s="162"/>
      <c r="D114" s="183"/>
      <c r="E114" s="27"/>
      <c r="F114" s="250"/>
      <c r="G114" s="162"/>
      <c r="H114" s="183"/>
      <c r="I114" s="27"/>
      <c r="J114" s="322"/>
      <c r="K114" s="44"/>
      <c r="L114" s="274"/>
      <c r="M114" s="27"/>
    </row>
    <row r="115" spans="1:14" x14ac:dyDescent="0.2">
      <c r="A115" s="729" t="s">
        <v>15</v>
      </c>
      <c r="B115" s="316"/>
      <c r="C115" s="316"/>
      <c r="D115" s="183"/>
      <c r="E115" s="453"/>
      <c r="F115" s="316"/>
      <c r="G115" s="316"/>
      <c r="H115" s="183"/>
      <c r="I115" s="453"/>
      <c r="J115" s="325"/>
      <c r="K115" s="325"/>
      <c r="L115" s="183"/>
      <c r="M115" s="23"/>
    </row>
    <row r="116" spans="1:14" ht="15.75" x14ac:dyDescent="0.2">
      <c r="A116" s="21" t="s">
        <v>482</v>
      </c>
      <c r="B116" s="250">
        <v>1145.056</v>
      </c>
      <c r="C116" s="250">
        <v>109.667</v>
      </c>
      <c r="D116" s="183">
        <f t="shared" si="13"/>
        <v>-90.4</v>
      </c>
      <c r="E116" s="27">
        <f>IFERROR(100/'Skjema total MA'!C116*C116,0)</f>
        <v>0.23665744924597748</v>
      </c>
      <c r="F116" s="250">
        <v>7049.1859999999997</v>
      </c>
      <c r="G116" s="250">
        <v>305.82400000000001</v>
      </c>
      <c r="H116" s="183">
        <f t="shared" si="14"/>
        <v>-95.7</v>
      </c>
      <c r="I116" s="27">
        <f>IFERROR(100/'Skjema total MA'!F116*G116,0)</f>
        <v>55.549218412267088</v>
      </c>
      <c r="J116" s="322">
        <f t="shared" si="26"/>
        <v>8194.2420000000002</v>
      </c>
      <c r="K116" s="44">
        <f t="shared" si="26"/>
        <v>415.49099999999999</v>
      </c>
      <c r="L116" s="274">
        <f t="shared" si="16"/>
        <v>-94.9</v>
      </c>
      <c r="M116" s="27">
        <f>IFERROR(100/'Skjema total MA'!I116*K116,0)</f>
        <v>0.88608742595212431</v>
      </c>
    </row>
    <row r="117" spans="1:14" ht="15.75" x14ac:dyDescent="0.2">
      <c r="A117" s="21" t="s">
        <v>483</v>
      </c>
      <c r="B117" s="250"/>
      <c r="C117" s="250"/>
      <c r="D117" s="183"/>
      <c r="E117" s="27"/>
      <c r="F117" s="250">
        <v>31604.419000000002</v>
      </c>
      <c r="G117" s="250">
        <v>21018.966</v>
      </c>
      <c r="H117" s="183">
        <f t="shared" si="14"/>
        <v>-33.5</v>
      </c>
      <c r="I117" s="27">
        <f>IFERROR(100/'Skjema total MA'!F117*G117,0)</f>
        <v>4.2173004344404692</v>
      </c>
      <c r="J117" s="322">
        <f t="shared" si="26"/>
        <v>31604.419000000002</v>
      </c>
      <c r="K117" s="44">
        <f t="shared" si="26"/>
        <v>21018.966</v>
      </c>
      <c r="L117" s="274">
        <f t="shared" si="16"/>
        <v>-33.5</v>
      </c>
      <c r="M117" s="27">
        <f>IFERROR(100/'Skjema total MA'!I117*K117,0)</f>
        <v>4.2173004344404692</v>
      </c>
    </row>
    <row r="118" spans="1:14" ht="15.75" x14ac:dyDescent="0.2">
      <c r="A118" s="21" t="s">
        <v>484</v>
      </c>
      <c r="B118" s="250"/>
      <c r="C118" s="250"/>
      <c r="D118" s="183"/>
      <c r="E118" s="27"/>
      <c r="F118" s="250"/>
      <c r="G118" s="250"/>
      <c r="H118" s="183"/>
      <c r="I118" s="27"/>
      <c r="J118" s="322"/>
      <c r="K118" s="44"/>
      <c r="L118" s="274"/>
      <c r="M118" s="27"/>
    </row>
    <row r="119" spans="1:14" ht="15.75" x14ac:dyDescent="0.2">
      <c r="A119" s="13" t="s">
        <v>468</v>
      </c>
      <c r="B119" s="344">
        <f>SUM(B120:B122)</f>
        <v>3281.0619999999999</v>
      </c>
      <c r="C119" s="176">
        <f>SUM(C120:C122)</f>
        <v>6276.17</v>
      </c>
      <c r="D119" s="188">
        <f t="shared" si="13"/>
        <v>91.3</v>
      </c>
      <c r="E119" s="11">
        <f>IFERROR(100/'Skjema total MA'!C119*C119,0)</f>
        <v>3.6880416281286226</v>
      </c>
      <c r="F119" s="344">
        <f>SUM(F120:F122)</f>
        <v>172330.114</v>
      </c>
      <c r="G119" s="176">
        <f>SUM(G120:G122)</f>
        <v>275774.30900000001</v>
      </c>
      <c r="H119" s="188">
        <f t="shared" si="14"/>
        <v>60</v>
      </c>
      <c r="I119" s="11">
        <f>IFERROR(100/'Skjema total MA'!F119*G119,0)</f>
        <v>5.4946933447806199</v>
      </c>
      <c r="J119" s="345">
        <f t="shared" si="26"/>
        <v>175611.17600000001</v>
      </c>
      <c r="K119" s="252">
        <f t="shared" si="26"/>
        <v>282050.47899999999</v>
      </c>
      <c r="L119" s="464">
        <f t="shared" si="16"/>
        <v>60.6</v>
      </c>
      <c r="M119" s="11">
        <f>IFERROR(100/'Skjema total MA'!I119*K119,0)</f>
        <v>5.4354442760747474</v>
      </c>
    </row>
    <row r="120" spans="1:14" x14ac:dyDescent="0.2">
      <c r="A120" s="21" t="s">
        <v>9</v>
      </c>
      <c r="B120" s="250">
        <v>3281.0619999999999</v>
      </c>
      <c r="C120" s="162">
        <v>6276.17</v>
      </c>
      <c r="D120" s="183">
        <f t="shared" si="13"/>
        <v>91.3</v>
      </c>
      <c r="E120" s="27">
        <f>IFERROR(100/'Skjema total MA'!C120*C120,0)</f>
        <v>5.4364357547735525</v>
      </c>
      <c r="F120" s="250"/>
      <c r="G120" s="162"/>
      <c r="H120" s="183"/>
      <c r="I120" s="27"/>
      <c r="J120" s="322">
        <f t="shared" si="26"/>
        <v>3281.0619999999999</v>
      </c>
      <c r="K120" s="44">
        <f t="shared" si="26"/>
        <v>6276.17</v>
      </c>
      <c r="L120" s="274">
        <f t="shared" si="16"/>
        <v>91.3</v>
      </c>
      <c r="M120" s="27">
        <f>IFERROR(100/'Skjema total MA'!I120*K120,0)</f>
        <v>5.4364357547735525</v>
      </c>
    </row>
    <row r="121" spans="1:14" x14ac:dyDescent="0.2">
      <c r="A121" s="21" t="s">
        <v>10</v>
      </c>
      <c r="B121" s="250"/>
      <c r="C121" s="162"/>
      <c r="D121" s="183"/>
      <c r="E121" s="27"/>
      <c r="F121" s="250">
        <v>172330.114</v>
      </c>
      <c r="G121" s="162">
        <v>275774.30900000001</v>
      </c>
      <c r="H121" s="183">
        <f t="shared" si="14"/>
        <v>60</v>
      </c>
      <c r="I121" s="27">
        <f>IFERROR(100/'Skjema total MA'!F121*G121,0)</f>
        <v>5.494531176373358</v>
      </c>
      <c r="J121" s="322">
        <f t="shared" si="26"/>
        <v>172330.114</v>
      </c>
      <c r="K121" s="44">
        <f t="shared" si="26"/>
        <v>275774.30900000001</v>
      </c>
      <c r="L121" s="274">
        <f t="shared" si="16"/>
        <v>60</v>
      </c>
      <c r="M121" s="27">
        <f>IFERROR(100/'Skjema total MA'!I121*K121,0)</f>
        <v>5.4864416113690426</v>
      </c>
    </row>
    <row r="122" spans="1:14" x14ac:dyDescent="0.2">
      <c r="A122" s="21" t="s">
        <v>27</v>
      </c>
      <c r="B122" s="250"/>
      <c r="C122" s="162"/>
      <c r="D122" s="183"/>
      <c r="E122" s="27"/>
      <c r="F122" s="250"/>
      <c r="G122" s="162"/>
      <c r="H122" s="183"/>
      <c r="I122" s="27"/>
      <c r="J122" s="322"/>
      <c r="K122" s="44"/>
      <c r="L122" s="274"/>
      <c r="M122" s="27"/>
    </row>
    <row r="123" spans="1:14" x14ac:dyDescent="0.2">
      <c r="A123" s="729" t="s">
        <v>14</v>
      </c>
      <c r="B123" s="316"/>
      <c r="C123" s="316"/>
      <c r="D123" s="183"/>
      <c r="E123" s="453"/>
      <c r="F123" s="316"/>
      <c r="G123" s="316"/>
      <c r="H123" s="183"/>
      <c r="I123" s="453"/>
      <c r="J123" s="325"/>
      <c r="K123" s="325"/>
      <c r="L123" s="183"/>
      <c r="M123" s="23"/>
    </row>
    <row r="124" spans="1:14" ht="15.75" x14ac:dyDescent="0.2">
      <c r="A124" s="21" t="s">
        <v>482</v>
      </c>
      <c r="B124" s="250"/>
      <c r="C124" s="250"/>
      <c r="D124" s="183"/>
      <c r="E124" s="27"/>
      <c r="F124" s="250">
        <v>0</v>
      </c>
      <c r="G124" s="250">
        <v>4.3090000000000002</v>
      </c>
      <c r="H124" s="183" t="str">
        <f t="shared" si="14"/>
        <v xml:space="preserve">    ---- </v>
      </c>
      <c r="I124" s="27">
        <f>IFERROR(100/'Skjema total MA'!F124*G124,0)</f>
        <v>0.35331458937530796</v>
      </c>
      <c r="J124" s="322">
        <f t="shared" si="26"/>
        <v>0</v>
      </c>
      <c r="K124" s="44">
        <f t="shared" si="26"/>
        <v>4.3090000000000002</v>
      </c>
      <c r="L124" s="274" t="str">
        <f t="shared" si="16"/>
        <v xml:space="preserve">    ---- </v>
      </c>
      <c r="M124" s="27">
        <f>IFERROR(100/'Skjema total MA'!I124*K124,0)</f>
        <v>1.2348966961197218E-2</v>
      </c>
    </row>
    <row r="125" spans="1:14" ht="15.75" x14ac:dyDescent="0.2">
      <c r="A125" s="21" t="s">
        <v>483</v>
      </c>
      <c r="B125" s="250"/>
      <c r="C125" s="250"/>
      <c r="D125" s="183"/>
      <c r="E125" s="27"/>
      <c r="F125" s="250">
        <v>38969.633999999998</v>
      </c>
      <c r="G125" s="250">
        <v>39192.794000000002</v>
      </c>
      <c r="H125" s="183">
        <f t="shared" si="14"/>
        <v>0.6</v>
      </c>
      <c r="I125" s="27">
        <f>IFERROR(100/'Skjema total MA'!F125*G125,0)</f>
        <v>10.595043408790884</v>
      </c>
      <c r="J125" s="322">
        <f t="shared" si="26"/>
        <v>38969.633999999998</v>
      </c>
      <c r="K125" s="44">
        <f t="shared" si="26"/>
        <v>39192.794000000002</v>
      </c>
      <c r="L125" s="274">
        <f t="shared" si="16"/>
        <v>0.6</v>
      </c>
      <c r="M125" s="27">
        <f>IFERROR(100/'Skjema total MA'!I125*K125,0)</f>
        <v>10.576275489672305</v>
      </c>
    </row>
    <row r="126" spans="1:14" ht="15.75" x14ac:dyDescent="0.2">
      <c r="A126" s="10" t="s">
        <v>484</v>
      </c>
      <c r="B126" s="45"/>
      <c r="C126" s="45"/>
      <c r="D126" s="184"/>
      <c r="E126" s="454"/>
      <c r="F126" s="45"/>
      <c r="G126" s="45"/>
      <c r="H126" s="184"/>
      <c r="I126" s="22"/>
      <c r="J126" s="323"/>
      <c r="K126" s="45"/>
      <c r="L126" s="275"/>
      <c r="M126" s="22"/>
    </row>
    <row r="127" spans="1:14" x14ac:dyDescent="0.2">
      <c r="A127" s="172"/>
      <c r="L127" s="26"/>
      <c r="M127" s="26"/>
      <c r="N127" s="26"/>
    </row>
    <row r="128" spans="1:14" x14ac:dyDescent="0.2">
      <c r="L128" s="26"/>
      <c r="M128" s="26"/>
      <c r="N128" s="26"/>
    </row>
    <row r="129" spans="1:15" ht="15.75" x14ac:dyDescent="0.25">
      <c r="A129" s="182" t="s">
        <v>28</v>
      </c>
    </row>
    <row r="130" spans="1:15" ht="15.75" x14ac:dyDescent="0.25">
      <c r="B130" s="756"/>
      <c r="C130" s="756"/>
      <c r="D130" s="756"/>
      <c r="E130" s="442"/>
      <c r="F130" s="756"/>
      <c r="G130" s="756"/>
      <c r="H130" s="756"/>
      <c r="I130" s="442"/>
      <c r="J130" s="756"/>
      <c r="K130" s="756"/>
      <c r="L130" s="756"/>
      <c r="M130" s="442"/>
    </row>
    <row r="131" spans="1:15" s="3" customFormat="1" x14ac:dyDescent="0.2">
      <c r="A131" s="161"/>
      <c r="B131" s="752" t="s">
        <v>0</v>
      </c>
      <c r="C131" s="753"/>
      <c r="D131" s="753"/>
      <c r="E131" s="441"/>
      <c r="F131" s="752" t="s">
        <v>1</v>
      </c>
      <c r="G131" s="753"/>
      <c r="H131" s="753"/>
      <c r="I131" s="444"/>
      <c r="J131" s="752" t="s">
        <v>2</v>
      </c>
      <c r="K131" s="753"/>
      <c r="L131" s="753"/>
      <c r="M131" s="444"/>
      <c r="N131" s="165"/>
      <c r="O131" s="165"/>
    </row>
    <row r="132" spans="1:15" s="3" customFormat="1" x14ac:dyDescent="0.2">
      <c r="A132" s="157"/>
      <c r="B132" s="169" t="s">
        <v>456</v>
      </c>
      <c r="C132" s="169" t="s">
        <v>457</v>
      </c>
      <c r="D132" s="261" t="s">
        <v>3</v>
      </c>
      <c r="E132" s="340" t="s">
        <v>30</v>
      </c>
      <c r="F132" s="169" t="s">
        <v>456</v>
      </c>
      <c r="G132" s="169" t="s">
        <v>457</v>
      </c>
      <c r="H132" s="222" t="s">
        <v>3</v>
      </c>
      <c r="I132" s="179" t="s">
        <v>30</v>
      </c>
      <c r="J132" s="262" t="s">
        <v>456</v>
      </c>
      <c r="K132" s="262" t="s">
        <v>457</v>
      </c>
      <c r="L132" s="263" t="s">
        <v>3</v>
      </c>
      <c r="M132" s="179" t="s">
        <v>30</v>
      </c>
      <c r="N132" s="165"/>
      <c r="O132" s="165"/>
    </row>
    <row r="133" spans="1:15" s="3" customFormat="1" x14ac:dyDescent="0.2">
      <c r="A133" s="724"/>
      <c r="B133" s="173"/>
      <c r="C133" s="173"/>
      <c r="D133" s="263" t="s">
        <v>4</v>
      </c>
      <c r="E133" s="173" t="s">
        <v>31</v>
      </c>
      <c r="F133" s="178"/>
      <c r="G133" s="178"/>
      <c r="H133" s="222" t="s">
        <v>4</v>
      </c>
      <c r="I133" s="173" t="s">
        <v>31</v>
      </c>
      <c r="J133" s="173"/>
      <c r="K133" s="173"/>
      <c r="L133" s="167" t="s">
        <v>4</v>
      </c>
      <c r="M133" s="173" t="s">
        <v>31</v>
      </c>
      <c r="N133" s="165"/>
      <c r="O133" s="165"/>
    </row>
    <row r="134" spans="1:15" s="3" customFormat="1" ht="15.75" x14ac:dyDescent="0.2">
      <c r="A134" s="14" t="s">
        <v>485</v>
      </c>
      <c r="B134" s="252"/>
      <c r="C134" s="345"/>
      <c r="D134" s="384"/>
      <c r="E134" s="11"/>
      <c r="F134" s="352"/>
      <c r="G134" s="353"/>
      <c r="H134" s="467"/>
      <c r="I134" s="24"/>
      <c r="J134" s="354"/>
      <c r="K134" s="354"/>
      <c r="L134" s="463"/>
      <c r="M134" s="11"/>
      <c r="N134" s="165"/>
      <c r="O134" s="165"/>
    </row>
    <row r="135" spans="1:15" s="3" customFormat="1" ht="15.75" x14ac:dyDescent="0.2">
      <c r="A135" s="13" t="s">
        <v>486</v>
      </c>
      <c r="B135" s="252"/>
      <c r="C135" s="345"/>
      <c r="D135" s="188"/>
      <c r="E135" s="11"/>
      <c r="F135" s="252"/>
      <c r="G135" s="345"/>
      <c r="H135" s="468"/>
      <c r="I135" s="24"/>
      <c r="J135" s="344"/>
      <c r="K135" s="344"/>
      <c r="L135" s="464"/>
      <c r="M135" s="11"/>
      <c r="N135" s="165"/>
      <c r="O135" s="165"/>
    </row>
    <row r="136" spans="1:15" s="3" customFormat="1" ht="15.75" x14ac:dyDescent="0.2">
      <c r="A136" s="13" t="s">
        <v>487</v>
      </c>
      <c r="B136" s="252"/>
      <c r="C136" s="345"/>
      <c r="D136" s="188"/>
      <c r="E136" s="11"/>
      <c r="F136" s="252"/>
      <c r="G136" s="345"/>
      <c r="H136" s="468"/>
      <c r="I136" s="24"/>
      <c r="J136" s="344"/>
      <c r="K136" s="344"/>
      <c r="L136" s="464"/>
      <c r="M136" s="11"/>
      <c r="N136" s="165"/>
      <c r="O136" s="165"/>
    </row>
    <row r="137" spans="1:15" s="3" customFormat="1" ht="15.75" x14ac:dyDescent="0.2">
      <c r="A137" s="41" t="s">
        <v>488</v>
      </c>
      <c r="B137" s="311"/>
      <c r="C137" s="351"/>
      <c r="D137" s="186"/>
      <c r="E137" s="9"/>
      <c r="F137" s="311"/>
      <c r="G137" s="351"/>
      <c r="H137" s="469"/>
      <c r="I137" s="36"/>
      <c r="J137" s="350"/>
      <c r="K137" s="350"/>
      <c r="L137" s="465"/>
      <c r="M137" s="36"/>
      <c r="N137" s="165"/>
      <c r="O137" s="165"/>
    </row>
    <row r="138" spans="1:15" s="3" customFormat="1" x14ac:dyDescent="0.2">
      <c r="A138" s="185"/>
      <c r="B138" s="33"/>
      <c r="C138" s="33"/>
      <c r="D138" s="176"/>
      <c r="E138" s="176"/>
      <c r="F138" s="33"/>
      <c r="G138" s="33"/>
      <c r="H138" s="176"/>
      <c r="I138" s="176"/>
      <c r="J138" s="33"/>
      <c r="K138" s="33"/>
      <c r="L138" s="176"/>
      <c r="M138" s="176"/>
      <c r="N138" s="165"/>
      <c r="O138" s="165"/>
    </row>
    <row r="139" spans="1:15" x14ac:dyDescent="0.2">
      <c r="A139" s="185"/>
      <c r="B139" s="33"/>
      <c r="C139" s="33"/>
      <c r="D139" s="176"/>
      <c r="E139" s="176"/>
      <c r="F139" s="33"/>
      <c r="G139" s="33"/>
      <c r="H139" s="176"/>
      <c r="I139" s="176"/>
      <c r="J139" s="33"/>
      <c r="K139" s="33"/>
      <c r="L139" s="176"/>
      <c r="M139" s="176"/>
      <c r="N139" s="165"/>
    </row>
    <row r="140" spans="1:15" x14ac:dyDescent="0.2">
      <c r="A140" s="185"/>
      <c r="B140" s="33"/>
      <c r="C140" s="33"/>
      <c r="D140" s="176"/>
      <c r="E140" s="176"/>
      <c r="F140" s="33"/>
      <c r="G140" s="33"/>
      <c r="H140" s="176"/>
      <c r="I140" s="176"/>
      <c r="J140" s="33"/>
      <c r="K140" s="33"/>
      <c r="L140" s="176"/>
      <c r="M140" s="176"/>
      <c r="N140" s="165"/>
    </row>
    <row r="141" spans="1:15" x14ac:dyDescent="0.2">
      <c r="A141" s="163"/>
      <c r="B141" s="163"/>
      <c r="C141" s="163"/>
      <c r="D141" s="163"/>
      <c r="E141" s="163"/>
      <c r="F141" s="163"/>
      <c r="G141" s="163"/>
      <c r="H141" s="163"/>
      <c r="I141" s="163"/>
      <c r="J141" s="163"/>
      <c r="K141" s="163"/>
      <c r="L141" s="163"/>
      <c r="M141" s="163"/>
      <c r="N141" s="163"/>
    </row>
    <row r="142" spans="1:15" ht="15.75" x14ac:dyDescent="0.25">
      <c r="B142" s="159"/>
      <c r="C142" s="159"/>
      <c r="D142" s="159"/>
      <c r="E142" s="159"/>
      <c r="F142" s="159"/>
      <c r="G142" s="159"/>
      <c r="H142" s="159"/>
      <c r="I142" s="159"/>
      <c r="J142" s="159"/>
      <c r="K142" s="159"/>
      <c r="L142" s="159"/>
      <c r="M142" s="159"/>
      <c r="N142" s="159"/>
    </row>
    <row r="143" spans="1:15" ht="15.75" x14ac:dyDescent="0.25">
      <c r="B143" s="174"/>
      <c r="C143" s="174"/>
      <c r="D143" s="174"/>
      <c r="E143" s="174"/>
      <c r="F143" s="174"/>
      <c r="G143" s="174"/>
      <c r="H143" s="174"/>
      <c r="I143" s="174"/>
      <c r="J143" s="174"/>
      <c r="K143" s="174"/>
      <c r="L143" s="174"/>
      <c r="M143" s="174"/>
      <c r="N143" s="174"/>
      <c r="O143" s="171"/>
    </row>
    <row r="144" spans="1:15" ht="15.75" x14ac:dyDescent="0.25">
      <c r="B144" s="174"/>
      <c r="C144" s="174"/>
      <c r="D144" s="174"/>
      <c r="E144" s="174"/>
      <c r="F144" s="174"/>
      <c r="G144" s="174"/>
      <c r="H144" s="174"/>
      <c r="I144" s="174"/>
      <c r="J144" s="174"/>
      <c r="K144" s="174"/>
      <c r="L144" s="174"/>
      <c r="M144" s="174"/>
      <c r="N144" s="174"/>
      <c r="O144" s="171"/>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263" priority="88">
      <formula>kvartal &lt; 4</formula>
    </cfRule>
  </conditionalFormatting>
  <conditionalFormatting sqref="B69">
    <cfRule type="expression" dxfId="1262" priority="67">
      <formula>kvartal &lt; 4</formula>
    </cfRule>
  </conditionalFormatting>
  <conditionalFormatting sqref="C69">
    <cfRule type="expression" dxfId="1261" priority="66">
      <formula>kvartal &lt; 4</formula>
    </cfRule>
  </conditionalFormatting>
  <conditionalFormatting sqref="B72">
    <cfRule type="expression" dxfId="1260" priority="65">
      <formula>kvartal &lt; 4</formula>
    </cfRule>
  </conditionalFormatting>
  <conditionalFormatting sqref="C72">
    <cfRule type="expression" dxfId="1259" priority="64">
      <formula>kvartal &lt; 4</formula>
    </cfRule>
  </conditionalFormatting>
  <conditionalFormatting sqref="B80">
    <cfRule type="expression" dxfId="1258" priority="63">
      <formula>kvartal &lt; 4</formula>
    </cfRule>
  </conditionalFormatting>
  <conditionalFormatting sqref="C80">
    <cfRule type="expression" dxfId="1257" priority="62">
      <formula>kvartal &lt; 4</formula>
    </cfRule>
  </conditionalFormatting>
  <conditionalFormatting sqref="B83">
    <cfRule type="expression" dxfId="1256" priority="61">
      <formula>kvartal &lt; 4</formula>
    </cfRule>
  </conditionalFormatting>
  <conditionalFormatting sqref="C83">
    <cfRule type="expression" dxfId="1255" priority="60">
      <formula>kvartal &lt; 4</formula>
    </cfRule>
  </conditionalFormatting>
  <conditionalFormatting sqref="B90">
    <cfRule type="expression" dxfId="1254" priority="59">
      <formula>kvartal &lt; 4</formula>
    </cfRule>
  </conditionalFormatting>
  <conditionalFormatting sqref="C90">
    <cfRule type="expression" dxfId="1253" priority="58">
      <formula>kvartal &lt; 4</formula>
    </cfRule>
  </conditionalFormatting>
  <conditionalFormatting sqref="B93">
    <cfRule type="expression" dxfId="1252" priority="57">
      <formula>kvartal &lt; 4</formula>
    </cfRule>
  </conditionalFormatting>
  <conditionalFormatting sqref="C93">
    <cfRule type="expression" dxfId="1251" priority="56">
      <formula>kvartal &lt; 4</formula>
    </cfRule>
  </conditionalFormatting>
  <conditionalFormatting sqref="B101">
    <cfRule type="expression" dxfId="1250" priority="55">
      <formula>kvartal &lt; 4</formula>
    </cfRule>
  </conditionalFormatting>
  <conditionalFormatting sqref="C101">
    <cfRule type="expression" dxfId="1249" priority="54">
      <formula>kvartal &lt; 4</formula>
    </cfRule>
  </conditionalFormatting>
  <conditionalFormatting sqref="B104">
    <cfRule type="expression" dxfId="1248" priority="53">
      <formula>kvartal &lt; 4</formula>
    </cfRule>
  </conditionalFormatting>
  <conditionalFormatting sqref="C104">
    <cfRule type="expression" dxfId="1247" priority="52">
      <formula>kvartal &lt; 4</formula>
    </cfRule>
  </conditionalFormatting>
  <conditionalFormatting sqref="B115">
    <cfRule type="expression" dxfId="1246" priority="51">
      <formula>kvartal &lt; 4</formula>
    </cfRule>
  </conditionalFormatting>
  <conditionalFormatting sqref="C115">
    <cfRule type="expression" dxfId="1245" priority="50">
      <formula>kvartal &lt; 4</formula>
    </cfRule>
  </conditionalFormatting>
  <conditionalFormatting sqref="B123">
    <cfRule type="expression" dxfId="1244" priority="49">
      <formula>kvartal &lt; 4</formula>
    </cfRule>
  </conditionalFormatting>
  <conditionalFormatting sqref="C123">
    <cfRule type="expression" dxfId="1243" priority="48">
      <formula>kvartal &lt; 4</formula>
    </cfRule>
  </conditionalFormatting>
  <conditionalFormatting sqref="F70">
    <cfRule type="expression" dxfId="1242" priority="47">
      <formula>kvartal &lt; 4</formula>
    </cfRule>
  </conditionalFormatting>
  <conditionalFormatting sqref="G70">
    <cfRule type="expression" dxfId="1241" priority="46">
      <formula>kvartal &lt; 4</formula>
    </cfRule>
  </conditionalFormatting>
  <conditionalFormatting sqref="F71:G71">
    <cfRule type="expression" dxfId="1240" priority="45">
      <formula>kvartal &lt; 4</formula>
    </cfRule>
  </conditionalFormatting>
  <conditionalFormatting sqref="F73:G74">
    <cfRule type="expression" dxfId="1239" priority="44">
      <formula>kvartal &lt; 4</formula>
    </cfRule>
  </conditionalFormatting>
  <conditionalFormatting sqref="F81:G82">
    <cfRule type="expression" dxfId="1238" priority="43">
      <formula>kvartal &lt; 4</formula>
    </cfRule>
  </conditionalFormatting>
  <conditionalFormatting sqref="F84:G85">
    <cfRule type="expression" dxfId="1237" priority="42">
      <formula>kvartal &lt; 4</formula>
    </cfRule>
  </conditionalFormatting>
  <conditionalFormatting sqref="F91:G92">
    <cfRule type="expression" dxfId="1236" priority="41">
      <formula>kvartal &lt; 4</formula>
    </cfRule>
  </conditionalFormatting>
  <conditionalFormatting sqref="F94:G95">
    <cfRule type="expression" dxfId="1235" priority="40">
      <formula>kvartal &lt; 4</formula>
    </cfRule>
  </conditionalFormatting>
  <conditionalFormatting sqref="F102:G103">
    <cfRule type="expression" dxfId="1234" priority="39">
      <formula>kvartal &lt; 4</formula>
    </cfRule>
  </conditionalFormatting>
  <conditionalFormatting sqref="F105:G106">
    <cfRule type="expression" dxfId="1233" priority="38">
      <formula>kvartal &lt; 4</formula>
    </cfRule>
  </conditionalFormatting>
  <conditionalFormatting sqref="F115">
    <cfRule type="expression" dxfId="1232" priority="37">
      <formula>kvartal &lt; 4</formula>
    </cfRule>
  </conditionalFormatting>
  <conditionalFormatting sqref="G115">
    <cfRule type="expression" dxfId="1231" priority="36">
      <formula>kvartal &lt; 4</formula>
    </cfRule>
  </conditionalFormatting>
  <conditionalFormatting sqref="F123:G123">
    <cfRule type="expression" dxfId="1230" priority="35">
      <formula>kvartal &lt; 4</formula>
    </cfRule>
  </conditionalFormatting>
  <conditionalFormatting sqref="F69:G69">
    <cfRule type="expression" dxfId="1229" priority="34">
      <formula>kvartal &lt; 4</formula>
    </cfRule>
  </conditionalFormatting>
  <conditionalFormatting sqref="F72:G72">
    <cfRule type="expression" dxfId="1228" priority="33">
      <formula>kvartal &lt; 4</formula>
    </cfRule>
  </conditionalFormatting>
  <conditionalFormatting sqref="F80:G80">
    <cfRule type="expression" dxfId="1227" priority="32">
      <formula>kvartal &lt; 4</formula>
    </cfRule>
  </conditionalFormatting>
  <conditionalFormatting sqref="F83:G83">
    <cfRule type="expression" dxfId="1226" priority="31">
      <formula>kvartal &lt; 4</formula>
    </cfRule>
  </conditionalFormatting>
  <conditionalFormatting sqref="F90:G90">
    <cfRule type="expression" dxfId="1225" priority="30">
      <formula>kvartal &lt; 4</formula>
    </cfRule>
  </conditionalFormatting>
  <conditionalFormatting sqref="F93">
    <cfRule type="expression" dxfId="1224" priority="29">
      <formula>kvartal &lt; 4</formula>
    </cfRule>
  </conditionalFormatting>
  <conditionalFormatting sqref="G93">
    <cfRule type="expression" dxfId="1223" priority="28">
      <formula>kvartal &lt; 4</formula>
    </cfRule>
  </conditionalFormatting>
  <conditionalFormatting sqref="F101">
    <cfRule type="expression" dxfId="1222" priority="27">
      <formula>kvartal &lt; 4</formula>
    </cfRule>
  </conditionalFormatting>
  <conditionalFormatting sqref="G101">
    <cfRule type="expression" dxfId="1221" priority="26">
      <formula>kvartal &lt; 4</formula>
    </cfRule>
  </conditionalFormatting>
  <conditionalFormatting sqref="G104">
    <cfRule type="expression" dxfId="1220" priority="25">
      <formula>kvartal &lt; 4</formula>
    </cfRule>
  </conditionalFormatting>
  <conditionalFormatting sqref="F104">
    <cfRule type="expression" dxfId="1219" priority="24">
      <formula>kvartal &lt; 4</formula>
    </cfRule>
  </conditionalFormatting>
  <conditionalFormatting sqref="J69:K73">
    <cfRule type="expression" dxfId="1218" priority="23">
      <formula>kvartal &lt; 4</formula>
    </cfRule>
  </conditionalFormatting>
  <conditionalFormatting sqref="J74:K74">
    <cfRule type="expression" dxfId="1217" priority="22">
      <formula>kvartal &lt; 4</formula>
    </cfRule>
  </conditionalFormatting>
  <conditionalFormatting sqref="J80:K85">
    <cfRule type="expression" dxfId="1216" priority="21">
      <formula>kvartal &lt; 4</formula>
    </cfRule>
  </conditionalFormatting>
  <conditionalFormatting sqref="J90:K95">
    <cfRule type="expression" dxfId="1215" priority="20">
      <formula>kvartal &lt; 4</formula>
    </cfRule>
  </conditionalFormatting>
  <conditionalFormatting sqref="J101:K106">
    <cfRule type="expression" dxfId="1214" priority="19">
      <formula>kvartal &lt; 4</formula>
    </cfRule>
  </conditionalFormatting>
  <conditionalFormatting sqref="J115:K115">
    <cfRule type="expression" dxfId="1213" priority="18">
      <formula>kvartal &lt; 4</formula>
    </cfRule>
  </conditionalFormatting>
  <conditionalFormatting sqref="J123:K123">
    <cfRule type="expression" dxfId="1212" priority="17">
      <formula>kvartal &lt; 4</formula>
    </cfRule>
  </conditionalFormatting>
  <conditionalFormatting sqref="A50:A52">
    <cfRule type="expression" dxfId="1211" priority="14">
      <formula>kvartal &lt; 4</formula>
    </cfRule>
  </conditionalFormatting>
  <conditionalFormatting sqref="A69:A74">
    <cfRule type="expression" dxfId="1210" priority="6">
      <formula>kvartal &lt; 4</formula>
    </cfRule>
  </conditionalFormatting>
  <conditionalFormatting sqref="A115">
    <cfRule type="expression" dxfId="1209" priority="5">
      <formula>kvartal &lt; 4</formula>
    </cfRule>
  </conditionalFormatting>
  <conditionalFormatting sqref="A123">
    <cfRule type="expression" dxfId="1208" priority="4">
      <formula>kvartal &lt; 4</formula>
    </cfRule>
  </conditionalFormatting>
  <conditionalFormatting sqref="A80:A85">
    <cfRule type="expression" dxfId="1207" priority="3">
      <formula>kvartal &lt; 4</formula>
    </cfRule>
  </conditionalFormatting>
  <conditionalFormatting sqref="A90:A95">
    <cfRule type="expression" dxfId="1206" priority="2">
      <formula>kvartal &lt; 4</formula>
    </cfRule>
  </conditionalFormatting>
  <conditionalFormatting sqref="A101:A106">
    <cfRule type="expression" dxfId="1205" priority="1">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D k u 9 T E a C Q G W n A A A A + A A A A B I A H A B D b 2 5 m a W c v U G F j a 2 F n Z S 5 4 b W w g o h g A K K A U A A A A A A A A A A A A A A A A A A A A A A A A A A A A h Y 9 N D o I w G E S v Q r q n P 8 A C y U d Z u B U 1 M T F u K 1 R o h G J o s d z N h U f y C p I o 6 s 7 l T N 4 k b x 6 3 O 2 R j 2 3 h X 2 R v V 6 R Q x T J E n d d G V S l c p G u z J j 1 H G Y S u K s 6 i k N 8 H a J K N R K a q t v S S E O O e w C 3 H X V y S g l J F D v t o V t W y F r 7 S x Q h c S f V b l / x X i s H / J 8 A B H C x z F I c N h z I D M N e R K f 5 F g M s Y U y E 8 J y 6 G x Q y + 5 P v r r D Z A 5 A n m / 4 E 9 Q S w M E F A A C A A g A D k u 9 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L v U x 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A O S 7 1 M R o J A Z a c A A A D 4 A A A A E g A A A A A A A A A A A A A A A A A A A A A A Q 2 9 u Z m l n L 1 B h Y 2 t h Z 2 U u e G 1 s U E s B A i 0 A F A A C A A g A D k u 9 T A / K 6 a u k A A A A 6 Q A A A B M A A A A A A A A A A A A A A A A A 8 w A A A F t D b 2 5 0 Z W 5 0 X 1 R 5 c G V z X S 5 4 b W x Q S w E C L Q A U A A I A C A A O S 7 1 M 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M C w A A A A A A A G o 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B Z G R l Z F R v R G F 0 Y U 1 v Z G V s I i B W Y W x 1 Z T 0 i b D A 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Z p b G x M Y X N 0 V X B k Y X R l Z C I g V m F s d W U 9 I m Q y M D E 4 L T A 1 L T I 5 V D A 3 O j E y O j A 4 L j k x O T Y 2 M j d a 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x F b n R y e S B U e X B l P S J G a W x s R X J y b 3 J D b 3 V u d C I g V m F s d W U 9 I m w w I i A v P j x F b n R y e S B U e X B l P S J G a W x s U 3 R h d H V z I i B W Y W x 1 Z T 0 i c 0 N v b X B s Z X R l I i A v P j x F b n R y e S B U e X B l P S J G a W x s R X J y b 3 J D b 2 R l I i B W Y W x 1 Z T 0 i c 1 V u a 2 5 v d 2 4 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D b 2 x 1 b W 5 U e X B l c y I g V m F s d W U 9 I n N C Z 0 l D Q W d J Q 0 F n V T 0 i I C 8 + P E V u d H J 5 I F R 5 c G U 9 I k Z p b G x D b 3 V u d C I g V m F s d W U 9 I m w 3 M T c 2 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C C I v 4 k 7 5 a Y R 4 G T q Z M N W s / O A A A A A A I A A A A A A A N m A A D A A A A A E A A A A D B A W x r o y r s c J M C W w r i l A j E A A A A A B I A A A K A A A A A Q A A A A Z T 7 G 4 E z a O g B J P W 1 J k c B U c 1 A A A A A R 1 3 m w l y L H 6 v j V f n O + x k 1 O c Y C 5 A c p + I y p 2 1 Y + E u y S Q X T 0 d T N g u j j A 2 z I T U B G w s + p r N S R T 3 Z x J F E n E 9 Q M B I C m L f 2 J o A 3 b P e p A Q 9 Q 3 2 j B E s h E B Q A A A C d J L u L / y k D 0 A e t q 9 W t v E M k F E 9 y b Q = = < / 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2020-123998358-371</_dlc_DocId>
    <_dlc_DocIdUrl xmlns="6edf9311-6556-4af2-85ff-d57844cfe120">
      <Url>https://finansnorge.sharepoint.com/sites/intranett/arkiv/_layouts/15/DocIdRedir.aspx?ID=2020-123998358-371</Url>
      <Description>2020-123998358-371</Description>
    </_dlc_DocIdUrl>
  </documentManagement>
</p:properties>
</file>

<file path=customXml/itemProps1.xml><?xml version="1.0" encoding="utf-8"?>
<ds:datastoreItem xmlns:ds="http://schemas.openxmlformats.org/officeDocument/2006/customXml" ds:itemID="{17FF309F-816C-4C26-8987-39C6F2058A7D}">
  <ds:schemaRefs>
    <ds:schemaRef ds:uri="http://schemas.microsoft.com/DataMashup"/>
  </ds:schemaRefs>
</ds:datastoreItem>
</file>

<file path=customXml/itemProps2.xml><?xml version="1.0" encoding="utf-8"?>
<ds:datastoreItem xmlns:ds="http://schemas.openxmlformats.org/officeDocument/2006/customXml" ds:itemID="{DD1AD95F-CB1D-4DE0-BD97-C0441D8132E3}"/>
</file>

<file path=customXml/itemProps3.xml><?xml version="1.0" encoding="utf-8"?>
<ds:datastoreItem xmlns:ds="http://schemas.openxmlformats.org/officeDocument/2006/customXml" ds:itemID="{960CDCB5-72C7-4217-BC89-93C69517D597}"/>
</file>

<file path=customXml/itemProps4.xml><?xml version="1.0" encoding="utf-8"?>
<ds:datastoreItem xmlns:ds="http://schemas.openxmlformats.org/officeDocument/2006/customXml" ds:itemID="{583DDA15-9289-47AF-BE76-F69B54513777}"/>
</file>

<file path=customXml/itemProps5.xml><?xml version="1.0" encoding="utf-8"?>
<ds:datastoreItem xmlns:ds="http://schemas.openxmlformats.org/officeDocument/2006/customXml" ds:itemID="{87173E71-A3D2-4EB2-A59E-2D7998E9C7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16</vt:i4>
      </vt:variant>
    </vt:vector>
  </HeadingPairs>
  <TitlesOfParts>
    <vt:vector size="50"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Sparebank 1</vt:lpstr>
      <vt:lpstr>Storebrand Livsforsikring</vt:lpstr>
      <vt:lpstr>Telenor Forsikring</vt:lpstr>
      <vt:lpstr>Tryg Forsikring</vt:lpstr>
      <vt:lpstr>Tabell 4</vt:lpstr>
      <vt:lpstr>Tabell 6</vt:lpstr>
      <vt:lpstr>Tabell 8</vt:lpstr>
      <vt:lpstr>Noter og kommentarer</vt:lpstr>
      <vt:lpstr>Oppslag</vt:lpstr>
      <vt:lpstr>Dag</vt:lpstr>
      <vt:lpstr>Dager</vt:lpstr>
      <vt:lpstr>Feilmelding</vt:lpstr>
      <vt:lpstr>kvartal</vt:lpstr>
      <vt:lpstr>Måned</vt:lpstr>
      <vt:lpstr>OppslagsKolonneDataVerdi</vt:lpstr>
      <vt:lpstr>OppslagsKolonneSelskapNavn</vt:lpstr>
      <vt:lpstr>SelskapListe</vt:lpstr>
      <vt:lpstr>'ACE European Group'!Utskriftsområde</vt:lpstr>
      <vt:lpstr>'NEMI Forsikring'!Utskriftsområde</vt:lpstr>
      <vt:lpstr>'Noter og kommentarer'!Utskriftsområde</vt:lpstr>
      <vt:lpstr>'Skjema total MA'!Utskriftsområde</vt:lpstr>
      <vt:lpstr>'Tabell 8'!Utskriftsområde</vt:lpstr>
      <vt:lpstr>'Tabell 8'!Utskriftstitler</vt:lpstr>
      <vt:lpstr>år</vt:lpstr>
      <vt:lpstr>ÅrFratrekk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2018-06-04T07:28:07Z</cp:lastPrinted>
  <dcterms:created xsi:type="dcterms:W3CDTF">2010-12-15T10:21:26Z</dcterms:created>
  <dcterms:modified xsi:type="dcterms:W3CDTF">2018-06-11T11:23:31Z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5ff53a5f-10dc-42bf-9489-fb0722aaabcc</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